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ы\Отделка\"/>
    </mc:Choice>
  </mc:AlternateContent>
  <xr:revisionPtr revIDLastSave="0" documentId="13_ncr:1_{7D192049-66FB-44A5-89F1-20A32714A0B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Лист1 (2)" sheetId="11" r:id="rId1"/>
    <sheet name="№1 ВОР " sheetId="8" r:id="rId2"/>
    <sheet name="." sheetId="9" r:id="rId3"/>
    <sheet name="Лист1" sheetId="10" r:id="rId4"/>
  </sheets>
  <definedNames>
    <definedName name="_xlnm._FilterDatabase" localSheetId="1" hidden="1">'№1 ВОР '!$A$10:$K$177</definedName>
    <definedName name="_xlnm.Print_Area" localSheetId="2">'.'!$A$1:$D$19</definedName>
    <definedName name="_xlnm.Print_Area" localSheetId="1">'№1 ВОР '!$A$1:$K$188</definedName>
    <definedName name="_xlnm.Print_Area" localSheetId="0">'Лист1 (2)'!$O$23:$S$28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11" l="1"/>
  <c r="Q27" i="11"/>
  <c r="S27" i="11" s="1"/>
  <c r="S24" i="11"/>
  <c r="S25" i="11"/>
  <c r="S26" i="11"/>
  <c r="S28" i="11" l="1"/>
  <c r="N15" i="11" l="1"/>
  <c r="N16" i="11"/>
  <c r="N6" i="11"/>
  <c r="N5" i="11"/>
  <c r="N17" i="11" l="1"/>
  <c r="Q17" i="11" s="1"/>
  <c r="G175" i="8"/>
  <c r="G174" i="8"/>
  <c r="G173" i="8"/>
  <c r="G172" i="8"/>
  <c r="G171" i="8"/>
  <c r="I169" i="8"/>
  <c r="H169" i="8"/>
  <c r="G169" i="8"/>
  <c r="K68" i="11"/>
  <c r="L68" i="11" s="1"/>
  <c r="K67" i="11"/>
  <c r="L67" i="11" s="1"/>
  <c r="K66" i="11"/>
  <c r="I64" i="11"/>
  <c r="K64" i="11" s="1"/>
  <c r="M63" i="11"/>
  <c r="M64" i="11" s="1"/>
  <c r="K63" i="11"/>
  <c r="K62" i="11"/>
  <c r="K60" i="11"/>
  <c r="L61" i="11" s="1"/>
  <c r="K59" i="11"/>
  <c r="K57" i="11"/>
  <c r="L58" i="11" s="1"/>
  <c r="K56" i="11"/>
  <c r="K54" i="11"/>
  <c r="K53" i="11"/>
  <c r="K52" i="11"/>
  <c r="K51" i="11"/>
  <c r="K50" i="11"/>
  <c r="K49" i="11"/>
  <c r="K48" i="11"/>
  <c r="K46" i="11"/>
  <c r="I45" i="11"/>
  <c r="K45" i="11" s="1"/>
  <c r="I44" i="11"/>
  <c r="K44" i="11" s="1"/>
  <c r="K43" i="11"/>
  <c r="I42" i="11"/>
  <c r="K42" i="11" s="1"/>
  <c r="I41" i="11"/>
  <c r="K41" i="11" s="1"/>
  <c r="K40" i="11"/>
  <c r="K38" i="11"/>
  <c r="K37" i="11"/>
  <c r="K36" i="11"/>
  <c r="K35" i="11"/>
  <c r="K34" i="11"/>
  <c r="K33" i="11"/>
  <c r="J32" i="11"/>
  <c r="K32" i="11" s="1"/>
  <c r="K31" i="11"/>
  <c r="K29" i="11"/>
  <c r="K28" i="11"/>
  <c r="K27" i="11"/>
  <c r="K26" i="11"/>
  <c r="K25" i="11"/>
  <c r="K24" i="11"/>
  <c r="K23" i="11"/>
  <c r="N21" i="11"/>
  <c r="K21" i="11"/>
  <c r="N20" i="11"/>
  <c r="K20" i="11"/>
  <c r="K19" i="11"/>
  <c r="K17" i="11"/>
  <c r="K16" i="11"/>
  <c r="K15" i="11"/>
  <c r="K14" i="11"/>
  <c r="K12" i="11"/>
  <c r="L13" i="11" s="1"/>
  <c r="K11" i="11"/>
  <c r="K9" i="11"/>
  <c r="L10" i="11" s="1"/>
  <c r="K8" i="11"/>
  <c r="K6" i="11"/>
  <c r="K5" i="11"/>
  <c r="K4" i="11"/>
  <c r="I166" i="8"/>
  <c r="H166" i="8"/>
  <c r="G166" i="8"/>
  <c r="I165" i="8"/>
  <c r="H165" i="8"/>
  <c r="G165" i="8"/>
  <c r="I164" i="8"/>
  <c r="H164" i="8"/>
  <c r="G164" i="8"/>
  <c r="I163" i="8"/>
  <c r="H163" i="8"/>
  <c r="G163" i="8"/>
  <c r="I161" i="8"/>
  <c r="H161" i="8"/>
  <c r="G161" i="8"/>
  <c r="I160" i="8"/>
  <c r="H160" i="8"/>
  <c r="J160" i="8" s="1"/>
  <c r="G160" i="8"/>
  <c r="I158" i="8"/>
  <c r="H158" i="8"/>
  <c r="G158" i="8"/>
  <c r="I156" i="8"/>
  <c r="H156" i="8"/>
  <c r="G156" i="8"/>
  <c r="I154" i="8"/>
  <c r="H154" i="8"/>
  <c r="G154" i="8"/>
  <c r="I152" i="8"/>
  <c r="H152" i="8"/>
  <c r="G152" i="8"/>
  <c r="I149" i="8"/>
  <c r="H149" i="8"/>
  <c r="G149" i="8"/>
  <c r="I148" i="8"/>
  <c r="H148" i="8"/>
  <c r="G148" i="8"/>
  <c r="I147" i="8"/>
  <c r="H147" i="8"/>
  <c r="G147" i="8"/>
  <c r="I146" i="8"/>
  <c r="H146" i="8"/>
  <c r="J146" i="8" s="1"/>
  <c r="G146" i="8"/>
  <c r="I144" i="8"/>
  <c r="H144" i="8"/>
  <c r="G144" i="8"/>
  <c r="I143" i="8"/>
  <c r="H143" i="8"/>
  <c r="G143" i="8"/>
  <c r="I141" i="8"/>
  <c r="H141" i="8"/>
  <c r="G141" i="8"/>
  <c r="G139" i="8"/>
  <c r="I137" i="8"/>
  <c r="H137" i="8"/>
  <c r="G137" i="8"/>
  <c r="I135" i="8"/>
  <c r="H135" i="8"/>
  <c r="J135" i="8" s="1"/>
  <c r="G135" i="8"/>
  <c r="I132" i="8"/>
  <c r="H132" i="8"/>
  <c r="G132" i="8"/>
  <c r="I131" i="8"/>
  <c r="H131" i="8"/>
  <c r="G131" i="8"/>
  <c r="I130" i="8"/>
  <c r="H130" i="8"/>
  <c r="G130" i="8"/>
  <c r="I129" i="8"/>
  <c r="H129" i="8"/>
  <c r="G129" i="8"/>
  <c r="I127" i="8"/>
  <c r="H127" i="8"/>
  <c r="G127" i="8"/>
  <c r="I126" i="8"/>
  <c r="H126" i="8"/>
  <c r="G126" i="8"/>
  <c r="I124" i="8"/>
  <c r="H124" i="8"/>
  <c r="G124" i="8"/>
  <c r="I122" i="8"/>
  <c r="H122" i="8"/>
  <c r="J122" i="8" s="1"/>
  <c r="G122" i="8"/>
  <c r="I120" i="8"/>
  <c r="H120" i="8"/>
  <c r="G120" i="8"/>
  <c r="I118" i="8"/>
  <c r="H118" i="8"/>
  <c r="G118" i="8"/>
  <c r="I115" i="8"/>
  <c r="H115" i="8"/>
  <c r="G115" i="8"/>
  <c r="I114" i="8"/>
  <c r="H114" i="8"/>
  <c r="G114" i="8"/>
  <c r="I113" i="8"/>
  <c r="H113" i="8"/>
  <c r="G113" i="8"/>
  <c r="I112" i="8"/>
  <c r="H112" i="8"/>
  <c r="G112" i="8"/>
  <c r="I110" i="8"/>
  <c r="H110" i="8"/>
  <c r="G110" i="8"/>
  <c r="I109" i="8"/>
  <c r="H109" i="8"/>
  <c r="G109" i="8"/>
  <c r="I107" i="8"/>
  <c r="H107" i="8"/>
  <c r="G107" i="8"/>
  <c r="I105" i="8"/>
  <c r="H105" i="8"/>
  <c r="G105" i="8"/>
  <c r="I103" i="8"/>
  <c r="H103" i="8"/>
  <c r="G103" i="8"/>
  <c r="I101" i="8"/>
  <c r="H101" i="8"/>
  <c r="G101" i="8"/>
  <c r="I98" i="8"/>
  <c r="H98" i="8"/>
  <c r="G98" i="8"/>
  <c r="I97" i="8"/>
  <c r="H97" i="8"/>
  <c r="G97" i="8"/>
  <c r="I96" i="8"/>
  <c r="H96" i="8"/>
  <c r="G96" i="8"/>
  <c r="I95" i="8"/>
  <c r="H95" i="8"/>
  <c r="J95" i="8" s="1"/>
  <c r="G95" i="8"/>
  <c r="I93" i="8"/>
  <c r="H93" i="8"/>
  <c r="G93" i="8"/>
  <c r="I92" i="8"/>
  <c r="H92" i="8"/>
  <c r="G92" i="8"/>
  <c r="I90" i="8"/>
  <c r="H90" i="8"/>
  <c r="G90" i="8"/>
  <c r="I88" i="8"/>
  <c r="H88" i="8"/>
  <c r="G88" i="8"/>
  <c r="I86" i="8"/>
  <c r="H86" i="8"/>
  <c r="G86" i="8"/>
  <c r="I84" i="8"/>
  <c r="H84" i="8"/>
  <c r="G84" i="8"/>
  <c r="G81" i="8"/>
  <c r="G80" i="8"/>
  <c r="G79" i="8"/>
  <c r="G78" i="8"/>
  <c r="G76" i="8"/>
  <c r="G75" i="8"/>
  <c r="G73" i="8"/>
  <c r="G71" i="8"/>
  <c r="G69" i="8"/>
  <c r="G67" i="8"/>
  <c r="I65" i="8"/>
  <c r="H65" i="8"/>
  <c r="G65" i="8"/>
  <c r="G62" i="8"/>
  <c r="G60" i="8"/>
  <c r="G58" i="8"/>
  <c r="G57" i="8"/>
  <c r="G56" i="8"/>
  <c r="G55" i="8"/>
  <c r="G54" i="8"/>
  <c r="G52" i="8"/>
  <c r="G51" i="8"/>
  <c r="G50" i="8"/>
  <c r="G49" i="8"/>
  <c r="G47" i="8"/>
  <c r="G46" i="8"/>
  <c r="G45" i="8"/>
  <c r="G44" i="8"/>
  <c r="G42" i="8"/>
  <c r="G41" i="8"/>
  <c r="G40" i="8"/>
  <c r="G39" i="8"/>
  <c r="G38" i="8"/>
  <c r="G37" i="8"/>
  <c r="G36" i="8"/>
  <c r="G34" i="8"/>
  <c r="G33" i="8"/>
  <c r="G32" i="8"/>
  <c r="G31" i="8"/>
  <c r="G30" i="8"/>
  <c r="G28" i="8"/>
  <c r="G27" i="8"/>
  <c r="G26" i="8"/>
  <c r="G25" i="8"/>
  <c r="G19" i="8"/>
  <c r="G18" i="8"/>
  <c r="G17" i="8"/>
  <c r="I16" i="8"/>
  <c r="H16" i="8"/>
  <c r="G16" i="8"/>
  <c r="G15" i="8"/>
  <c r="G13" i="8"/>
  <c r="E161" i="8"/>
  <c r="E156" i="8"/>
  <c r="E144" i="8"/>
  <c r="E139" i="8"/>
  <c r="E127" i="8"/>
  <c r="E122" i="8"/>
  <c r="E110" i="8"/>
  <c r="E105" i="8"/>
  <c r="E93" i="8"/>
  <c r="E88" i="8"/>
  <c r="E76" i="8"/>
  <c r="E71" i="8"/>
  <c r="E60" i="8"/>
  <c r="E58" i="8"/>
  <c r="E47" i="8"/>
  <c r="J93" i="8" l="1"/>
  <c r="J120" i="8"/>
  <c r="J144" i="8"/>
  <c r="L65" i="11"/>
  <c r="L30" i="11"/>
  <c r="L55" i="11"/>
  <c r="L22" i="11"/>
  <c r="L7" i="11"/>
  <c r="L18" i="11"/>
  <c r="L39" i="11"/>
  <c r="L69" i="11"/>
  <c r="J156" i="8"/>
  <c r="J132" i="8"/>
  <c r="J107" i="8"/>
  <c r="J16" i="8"/>
  <c r="J65" i="8"/>
  <c r="J86" i="8"/>
  <c r="J113" i="8"/>
  <c r="J127" i="8"/>
  <c r="J163" i="8"/>
  <c r="J169" i="8"/>
  <c r="J90" i="8"/>
  <c r="J103" i="8"/>
  <c r="J115" i="8"/>
  <c r="J130" i="8"/>
  <c r="J141" i="8"/>
  <c r="J154" i="8"/>
  <c r="J158" i="8"/>
  <c r="J84" i="8"/>
  <c r="J97" i="8"/>
  <c r="J148" i="8"/>
  <c r="J105" i="8"/>
  <c r="J118" i="8"/>
  <c r="J131" i="8"/>
  <c r="J96" i="8"/>
  <c r="J110" i="8"/>
  <c r="J124" i="8"/>
  <c r="J137" i="8"/>
  <c r="J147" i="8"/>
  <c r="J109" i="8"/>
  <c r="J98" i="8"/>
  <c r="J164" i="8"/>
  <c r="J143" i="8"/>
  <c r="J161" i="8"/>
  <c r="J88" i="8"/>
  <c r="J101" i="8"/>
  <c r="J114" i="8"/>
  <c r="J152" i="8"/>
  <c r="J165" i="8"/>
  <c r="J129" i="8"/>
  <c r="J166" i="8"/>
  <c r="J92" i="8"/>
  <c r="J112" i="8"/>
  <c r="J126" i="8"/>
  <c r="J149" i="8"/>
  <c r="L47" i="11"/>
  <c r="N24" i="11"/>
  <c r="N25" i="11" s="1"/>
  <c r="N26" i="11" s="1"/>
  <c r="D145" i="8" l="1"/>
  <c r="D138" i="8"/>
  <c r="D139" i="8" s="1"/>
  <c r="D141" i="8"/>
  <c r="D140" i="8"/>
  <c r="D128" i="8"/>
  <c r="D121" i="8"/>
  <c r="D111" i="8"/>
  <c r="D104" i="8"/>
  <c r="D102" i="8"/>
  <c r="D100" i="8"/>
  <c r="D94" i="8"/>
  <c r="D91" i="8"/>
  <c r="D90" i="8"/>
  <c r="D89" i="8"/>
  <c r="D87" i="8"/>
  <c r="D85" i="8"/>
  <c r="D83" i="8"/>
  <c r="D81" i="8"/>
  <c r="D80" i="8"/>
  <c r="D79" i="8"/>
  <c r="D78" i="8"/>
  <c r="H78" i="8" l="1"/>
  <c r="I78" i="8"/>
  <c r="I79" i="8"/>
  <c r="H79" i="8"/>
  <c r="I80" i="8"/>
  <c r="H80" i="8"/>
  <c r="I81" i="8"/>
  <c r="H81" i="8"/>
  <c r="I139" i="8"/>
  <c r="H139" i="8"/>
  <c r="D75" i="8"/>
  <c r="D73" i="8"/>
  <c r="D69" i="8"/>
  <c r="D67" i="8"/>
  <c r="D62" i="8"/>
  <c r="D60" i="8"/>
  <c r="D58" i="8"/>
  <c r="D57" i="8"/>
  <c r="D52" i="8"/>
  <c r="D47" i="8"/>
  <c r="D42" i="8"/>
  <c r="D41" i="8"/>
  <c r="D40" i="8"/>
  <c r="D39" i="8"/>
  <c r="D34" i="8"/>
  <c r="D33" i="8"/>
  <c r="D32" i="8"/>
  <c r="D31" i="8"/>
  <c r="D30" i="8"/>
  <c r="D28" i="8"/>
  <c r="D19" i="8"/>
  <c r="D18" i="8"/>
  <c r="D13" i="8"/>
  <c r="J139" i="8" l="1"/>
  <c r="J80" i="8"/>
  <c r="J79" i="8"/>
  <c r="J81" i="8"/>
  <c r="I19" i="8"/>
  <c r="H19" i="8"/>
  <c r="I39" i="8"/>
  <c r="H39" i="8"/>
  <c r="J39" i="8" s="1"/>
  <c r="I60" i="8"/>
  <c r="H60" i="8"/>
  <c r="H40" i="8"/>
  <c r="I40" i="8"/>
  <c r="H62" i="8"/>
  <c r="I62" i="8"/>
  <c r="I28" i="8"/>
  <c r="H28" i="8"/>
  <c r="H41" i="8"/>
  <c r="I41" i="8"/>
  <c r="I67" i="8"/>
  <c r="H67" i="8"/>
  <c r="I30" i="8"/>
  <c r="H30" i="8"/>
  <c r="J30" i="8" s="1"/>
  <c r="I42" i="8"/>
  <c r="H42" i="8"/>
  <c r="I69" i="8"/>
  <c r="H69" i="8"/>
  <c r="H31" i="8"/>
  <c r="I31" i="8"/>
  <c r="I47" i="8"/>
  <c r="H47" i="8"/>
  <c r="I73" i="8"/>
  <c r="H73" i="8"/>
  <c r="I52" i="8"/>
  <c r="H52" i="8"/>
  <c r="I33" i="8"/>
  <c r="H33" i="8"/>
  <c r="I57" i="8"/>
  <c r="H57" i="8"/>
  <c r="H32" i="8"/>
  <c r="I32" i="8"/>
  <c r="H75" i="8"/>
  <c r="I75" i="8"/>
  <c r="H13" i="8"/>
  <c r="I13" i="8"/>
  <c r="I18" i="8"/>
  <c r="H18" i="8"/>
  <c r="J18" i="8" s="1"/>
  <c r="I34" i="8"/>
  <c r="H34" i="8"/>
  <c r="H58" i="8"/>
  <c r="I58" i="8"/>
  <c r="J78" i="8"/>
  <c r="F21" i="10"/>
  <c r="G17" i="10"/>
  <c r="E16" i="10"/>
  <c r="D16" i="10"/>
  <c r="D11" i="10"/>
  <c r="E11" i="10"/>
  <c r="E9" i="10"/>
  <c r="D9" i="10"/>
  <c r="D175" i="8"/>
  <c r="D174" i="8"/>
  <c r="D173" i="8"/>
  <c r="D172" i="8"/>
  <c r="D171" i="8"/>
  <c r="J57" i="8" l="1"/>
  <c r="J52" i="8"/>
  <c r="J69" i="8"/>
  <c r="J34" i="8"/>
  <c r="J73" i="8"/>
  <c r="J42" i="8"/>
  <c r="J28" i="8"/>
  <c r="J60" i="8"/>
  <c r="J33" i="8"/>
  <c r="J67" i="8"/>
  <c r="J75" i="8"/>
  <c r="J41" i="8"/>
  <c r="I172" i="8"/>
  <c r="H172" i="8"/>
  <c r="I173" i="8"/>
  <c r="H173" i="8"/>
  <c r="I174" i="8"/>
  <c r="H174" i="8"/>
  <c r="J47" i="8"/>
  <c r="J62" i="8"/>
  <c r="I175" i="8"/>
  <c r="H175" i="8"/>
  <c r="J58" i="8"/>
  <c r="H171" i="8"/>
  <c r="I171" i="8"/>
  <c r="J32" i="8"/>
  <c r="J13" i="8"/>
  <c r="J31" i="8"/>
  <c r="J40" i="8"/>
  <c r="J19" i="8"/>
  <c r="D76" i="8"/>
  <c r="D56" i="8"/>
  <c r="D55" i="8"/>
  <c r="D54" i="8"/>
  <c r="D51" i="8"/>
  <c r="D50" i="8"/>
  <c r="D49" i="8"/>
  <c r="D46" i="8"/>
  <c r="D45" i="8"/>
  <c r="D44" i="8"/>
  <c r="D38" i="8"/>
  <c r="D37" i="8"/>
  <c r="D36" i="8"/>
  <c r="D26" i="8"/>
  <c r="D27" i="8"/>
  <c r="D25" i="8"/>
  <c r="D15" i="8"/>
  <c r="J172" i="8" l="1"/>
  <c r="J171" i="8"/>
  <c r="J174" i="8"/>
  <c r="I45" i="8"/>
  <c r="H45" i="8"/>
  <c r="H76" i="8"/>
  <c r="I76" i="8"/>
  <c r="I25" i="8"/>
  <c r="H25" i="8"/>
  <c r="I49" i="8"/>
  <c r="H49" i="8"/>
  <c r="I26" i="8"/>
  <c r="H26" i="8"/>
  <c r="J173" i="8"/>
  <c r="H36" i="8"/>
  <c r="I36" i="8"/>
  <c r="I37" i="8"/>
  <c r="H37" i="8"/>
  <c r="I38" i="8"/>
  <c r="H38" i="8"/>
  <c r="H46" i="8"/>
  <c r="I46" i="8"/>
  <c r="I27" i="8"/>
  <c r="H27" i="8"/>
  <c r="H50" i="8"/>
  <c r="I50" i="8"/>
  <c r="H51" i="8"/>
  <c r="I51" i="8"/>
  <c r="I54" i="8"/>
  <c r="H54" i="8"/>
  <c r="J175" i="8"/>
  <c r="I15" i="8"/>
  <c r="H15" i="8"/>
  <c r="H55" i="8"/>
  <c r="I55" i="8"/>
  <c r="I44" i="8"/>
  <c r="H44" i="8"/>
  <c r="H56" i="8"/>
  <c r="I56" i="8"/>
  <c r="D17" i="8"/>
  <c r="D71" i="8"/>
  <c r="J44" i="8" l="1"/>
  <c r="J25" i="8"/>
  <c r="J54" i="8"/>
  <c r="J26" i="8"/>
  <c r="J49" i="8"/>
  <c r="J27" i="8"/>
  <c r="J37" i="8"/>
  <c r="J56" i="8"/>
  <c r="J38" i="8"/>
  <c r="J46" i="8"/>
  <c r="J51" i="8"/>
  <c r="J55" i="8"/>
  <c r="J15" i="8"/>
  <c r="J36" i="8"/>
  <c r="H71" i="8"/>
  <c r="I71" i="8"/>
  <c r="J76" i="8"/>
  <c r="I17" i="8"/>
  <c r="H17" i="8"/>
  <c r="J50" i="8"/>
  <c r="J45" i="8"/>
  <c r="H4" i="9"/>
  <c r="C3" i="9"/>
  <c r="G3" i="9" s="1"/>
  <c r="I3" i="9" s="1"/>
  <c r="J71" i="8" l="1"/>
  <c r="I176" i="8"/>
  <c r="I177" i="8" s="1"/>
  <c r="H176" i="8"/>
  <c r="H177" i="8" s="1"/>
  <c r="J17" i="8"/>
  <c r="L3" i="9"/>
  <c r="D3" i="9"/>
  <c r="M3" i="9"/>
  <c r="K3" i="9"/>
  <c r="C6" i="9"/>
  <c r="G6" i="9" s="1"/>
  <c r="I6" i="9" s="1"/>
  <c r="J176" i="8" l="1"/>
  <c r="J177" i="8" s="1"/>
  <c r="M6" i="9"/>
  <c r="C5" i="9"/>
  <c r="D6" i="9"/>
  <c r="C7" i="9"/>
  <c r="G7" i="9" s="1"/>
  <c r="L6" i="9"/>
  <c r="C4" i="9"/>
  <c r="K6" i="9"/>
  <c r="G5" i="9" l="1"/>
  <c r="D5" i="9"/>
  <c r="G4" i="9"/>
  <c r="D4" i="9"/>
  <c r="I4" i="9" l="1"/>
  <c r="L4" i="9"/>
  <c r="M4" i="9"/>
  <c r="K4" i="9"/>
  <c r="I5" i="9"/>
  <c r="L5" i="9"/>
  <c r="K5" i="9"/>
  <c r="M5" i="9"/>
  <c r="C8" i="9" l="1"/>
  <c r="C10" i="9"/>
  <c r="C9" i="9"/>
</calcChain>
</file>

<file path=xl/sharedStrings.xml><?xml version="1.0" encoding="utf-8"?>
<sst xmlns="http://schemas.openxmlformats.org/spreadsheetml/2006/main" count="691" uniqueCount="160">
  <si>
    <t>Наименование</t>
  </si>
  <si>
    <t>Ед. изм.</t>
  </si>
  <si>
    <t>Кол-во</t>
  </si>
  <si>
    <t>м3</t>
  </si>
  <si>
    <t>м2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</si>
  <si>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</si>
  <si>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</si>
  <si>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</si>
  <si>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</si>
  <si>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</si>
  <si>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</si>
  <si>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</si>
  <si>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</si>
  <si>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</si>
  <si>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</si>
  <si>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</si>
  <si>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</si>
  <si>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</si>
  <si>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</si>
  <si>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</si>
  <si>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</si>
  <si>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t>к Договору подряда №</t>
  </si>
  <si>
    <t>к Дополнительному соглашению №</t>
  </si>
  <si>
    <t>Монтаж стен наружных их ячеисобетонных блоков (Блок I/625х200х250/D600/В5/F100) 200мм.</t>
  </si>
  <si>
    <t>Монтаж стен внутренних их ячеисобетонных блоков (Блок I/625х200х250/D600/В5/F100) 200мм.</t>
  </si>
  <si>
    <t>Монтаж стен внутренних их ячеисобетонных блоков (Блок I/625х200х250/D600/В3,5/F25) 50мм.</t>
  </si>
  <si>
    <t>Монтаж стен внутренних их ячеисобетонных блоков (Блок I/625х200х250/D600/В5/F100) 100мм.</t>
  </si>
  <si>
    <t>кг</t>
  </si>
  <si>
    <t>Монтаж стен из кирпича керамического ( КР-р-по 250х120х65/1НФ/150/2.0/100) 120мм.</t>
  </si>
  <si>
    <t>расход кг/м2</t>
  </si>
  <si>
    <t>Клей</t>
  </si>
  <si>
    <t>Клей кг.</t>
  </si>
  <si>
    <t>Раст-р</t>
  </si>
  <si>
    <t>Цем.-песч.раствором М100</t>
  </si>
  <si>
    <t>Сетка сварная стальная оцинкованная ВР- 50х50х4</t>
  </si>
  <si>
    <t>сетка</t>
  </si>
  <si>
    <t>т</t>
  </si>
  <si>
    <t>Арм. D6 A500</t>
  </si>
  <si>
    <t>арм</t>
  </si>
  <si>
    <t>чистым</t>
  </si>
  <si>
    <t>расход факт</t>
  </si>
  <si>
    <t>Устройство самовыравнивающейся стяжки из ЦПР М150, толщиной 15мм</t>
  </si>
  <si>
    <t>Полы 1-го этажа</t>
  </si>
  <si>
    <t>м²</t>
  </si>
  <si>
    <t>Устройство оклеечной гидроизоляции битумно-полимерной мембраной в 2 слоя (с заведением на стены 200мм от ур. чистого пола)</t>
  </si>
  <si>
    <t>устройство слоя из плёнки ПЭ, толщиной</t>
  </si>
  <si>
    <t>Устройство конструкций полов. Тип 01.1. МОП</t>
  </si>
  <si>
    <t>Устройство конструкций полов. Тип 01.3. МОП</t>
  </si>
  <si>
    <t>Устройство конструкций полов. Тип 01.5. МОП</t>
  </si>
  <si>
    <t>Устройство конструкций полов. Тип 01.7. МОП</t>
  </si>
  <si>
    <t>Устройство конструкций полов. Тип 02.4. МОП</t>
  </si>
  <si>
    <t>Устройство конструкций полов. Тип 05.1. Апартаменты</t>
  </si>
  <si>
    <t>Устройство конструкций полов. Тип 05.2. Апартаменты</t>
  </si>
  <si>
    <t xml:space="preserve">Устройство двуслойной обмазочной полимерной гидроизоляции (с заведением на стены 200мм от ур. чистого пола) </t>
  </si>
  <si>
    <t>Устройство конструкций полов. Тип 05.3. Апартаменты</t>
  </si>
  <si>
    <t>Устройство конструкций полов. Тип 06.1. Апартаменты</t>
  </si>
  <si>
    <t>Устройство конструкций полов. Тип 06.2. Апартаменты</t>
  </si>
  <si>
    <t>Полы 2-го этажа</t>
  </si>
  <si>
    <t>Укладка плёнки ПЭ</t>
  </si>
  <si>
    <t>Устройство монолитной ж.б. плиты h=200мм</t>
  </si>
  <si>
    <r>
      <t>м</t>
    </r>
    <r>
      <rPr>
        <sz val="12"/>
        <color theme="1"/>
        <rFont val="Calibri"/>
        <family val="2"/>
        <charset val="204"/>
      </rPr>
      <t>²</t>
    </r>
  </si>
  <si>
    <r>
      <t>м</t>
    </r>
    <r>
      <rPr>
        <sz val="12"/>
        <color theme="1"/>
        <rFont val="Calibri"/>
        <family val="2"/>
        <charset val="204"/>
      </rPr>
      <t>³</t>
    </r>
  </si>
  <si>
    <t>Устройство конструкций полов. Тип 07.1. Апартаменты</t>
  </si>
  <si>
    <t>Окраска поверхности акриловой грунтовкой глубокого проникновения</t>
  </si>
  <si>
    <t xml:space="preserve">Устройство обмазочной полимерцементной гидроизоляции (с заведением на стены 200мм от ур. чистого пола) </t>
  </si>
  <si>
    <t>Устройство конструкций полов. Тип 06.3. Апартаменты</t>
  </si>
  <si>
    <t>Полы 3-6-го этажа (на 4 этажа)</t>
  </si>
  <si>
    <t>Полы 7-10-го этажа (на 4 этажа)</t>
  </si>
  <si>
    <t>Полы 11-15-го этажа (на 5 этажей)</t>
  </si>
  <si>
    <t>Полы 16-18-го этажа (на 3 этажа)</t>
  </si>
  <si>
    <t>Полы 19-20-го этажа (на 2 этажа)</t>
  </si>
  <si>
    <r>
      <t xml:space="preserve">_________________ </t>
    </r>
    <r>
      <rPr>
        <b/>
        <sz val="12"/>
        <color theme="1"/>
        <rFont val="Times New Roman"/>
        <family val="1"/>
        <charset val="204"/>
      </rPr>
      <t>Самсонов Е.А.</t>
    </r>
  </si>
  <si>
    <t>Устройство засыпки пазух ФП (h=500мм) керамзитовым гравием фр.10-20мм,</t>
  </si>
  <si>
    <t>Полы крышной котельной</t>
  </si>
  <si>
    <t>Устройство конструкций полов. Тип 08.1. МОП</t>
  </si>
  <si>
    <t>Устройство армированной стяжки из ЦПР М150, толщиной 65-85мм (уклонообразующий слой)</t>
  </si>
  <si>
    <t>1й</t>
  </si>
  <si>
    <t>площадка</t>
  </si>
  <si>
    <t>Устройство конструкций полов. Тип 02.1. МОП</t>
  </si>
  <si>
    <t>Укладка диэлектрических ковриков</t>
  </si>
  <si>
    <t>Устройство конструкций полов. Тип 01.2. МОП</t>
  </si>
  <si>
    <t>550-21-2.АС.1.3</t>
  </si>
  <si>
    <t>Устройство армированной стяжки полусухим способом из ЦПР на основе смесей сухих строительных напольных на цементном вяжущем с применением фиброволокна М150, адгезия не менее 0,25МПа, толщиной 85мм</t>
  </si>
  <si>
    <t>Устройство армированной стяжки полусухим способом из ЦПР на основе смесей сухих строительных напольных на цементном вяжущем с применением фиброволокна М150, адгезия не менее 0,25МПа, толщиной 80мм</t>
  </si>
  <si>
    <t>Устройство теплоизоляционного слоя, жидкая теплоизоляция КОРУНД НГ (или аналог)из минераловатных плит, толщиной 25мм</t>
  </si>
  <si>
    <t>Устройство теплоизоляционного слоя, жидкая теплоизоляция КОРУНД НГ (или аналог)</t>
  </si>
  <si>
    <t>Устройство армированной стяжки полусухим способом из ЦПР на основе смесей сухих строительных напольных на цементном вяжущем с применением фиброволокна, М150, адгезия не менее 0,25МПа, толщиной 85мм</t>
  </si>
  <si>
    <t>Устройсво армированной стяжки полусухим способом из ЦПР на основе смесей сухих строительных напольных на цементном вяжущем с применением фиброволокна, М150, морозостойкость не менее F100, адгезия не менее 0,4 МПа толщиной 50-60мм</t>
  </si>
  <si>
    <t>Устройсво "плавающей" армированной стяжки полусухим способом из ЦПР на основе смесей сухих строительных напольных на цементном вяжущем с применением фиброволокна М150, адгезия не менее 0,25МПа, толщиной 60мм (по периметру стяжки проложить плиты из каменной ваты на основе габбро-базальтовых пород, негорючие (КМ0), плотностью ≥150 кг/м³ на высоту стяжки)</t>
  </si>
  <si>
    <r>
      <t xml:space="preserve">на выполнение комплекса работ по устройству конструкций полов корпуса  </t>
    </r>
    <r>
      <rPr>
        <b/>
        <sz val="12"/>
        <color theme="1"/>
        <rFont val="Times New Roman"/>
        <family val="1"/>
        <charset val="204"/>
      </rPr>
      <t>К-6</t>
    </r>
    <r>
      <rPr>
        <sz val="12"/>
        <color theme="1"/>
        <rFont val="Times New Roman"/>
        <family val="1"/>
        <charset val="204"/>
      </rPr>
      <t xml:space="preserve">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</si>
  <si>
    <t>ПОЛ</t>
  </si>
  <si>
    <t>Наименование работ/материалов</t>
  </si>
  <si>
    <t>Цена</t>
  </si>
  <si>
    <t>Стоимость</t>
  </si>
  <si>
    <t>Расчет</t>
  </si>
  <si>
    <t>Самовыравнивающая стяжка 15 мм</t>
  </si>
  <si>
    <t>Грунтовка Ceresit CT-17, 10 л</t>
  </si>
  <si>
    <t>шт</t>
  </si>
  <si>
    <t>722,71*0,1/10
Расход 0,1 л/м2</t>
  </si>
  <si>
    <t>Смесь Toiler TL 140, 20 кг</t>
  </si>
  <si>
    <t>722,71*22,5/20=813,04
Расход смеси на слой 15 мм - 22,5 кг</t>
  </si>
  <si>
    <t>Итого материал за м2</t>
  </si>
  <si>
    <t xml:space="preserve">Засыпка керамзита </t>
  </si>
  <si>
    <t>Керамзит фр. 10-20 мм</t>
  </si>
  <si>
    <t>377,71*1,15
Коэффициент уплотнения - 1,15</t>
  </si>
  <si>
    <t>Укладка плёнки</t>
  </si>
  <si>
    <t>Пленка полиэтиленовая 200 мкм, 300 м2/рул</t>
  </si>
  <si>
    <t>рул</t>
  </si>
  <si>
    <t>780,46*1,1/300
Коэффициент нахлеста 1,1</t>
  </si>
  <si>
    <t xml:space="preserve">Устройство монолитной плиты </t>
  </si>
  <si>
    <t>Арматура д. 10 мм</t>
  </si>
  <si>
    <t>139,59/0,2=697,95 м2
697,95*6,19 (вес 1 м2)=4320,31 кг
Ячейка 200*200 мм
Коэффициент запаса 1,03 
4320,31*1,03=4449,9 кг</t>
  </si>
  <si>
    <t>Вязальная проволока 0,8 мм</t>
  </si>
  <si>
    <t>697,95*0,032=22,34
0,032 кг/м2</t>
  </si>
  <si>
    <t>Бетон В25</t>
  </si>
  <si>
    <t>139,59*1,02=142,38 м3
Коэффициент запаса 2%</t>
  </si>
  <si>
    <t>Оклеечная гидроизоляция в 2 слоя</t>
  </si>
  <si>
    <t>Праймер битумный универсальный Технониколь AquaMast, 10,8 л</t>
  </si>
  <si>
    <t>217,38*0,2=43,47 л
Расход 0,2 л / м2</t>
  </si>
  <si>
    <t>Битумная гидроизоляция Технониколь Техноэласт ЭПП, 10 м2/рул</t>
  </si>
  <si>
    <t>217,38/10*1,1=23,91
23,91*2=47,82 шт
Коэффициент 10%</t>
  </si>
  <si>
    <t>Стяжка 85 мм</t>
  </si>
  <si>
    <t>Песок прибрежный, крупный, сеяный, мытый</t>
  </si>
  <si>
    <t>Цемент М-500, 25 кг</t>
  </si>
  <si>
    <t>Сетка Вр-1 100*100*4 мм, 2000*1000 мм</t>
  </si>
  <si>
    <t>1668,71/2*1,05=876,07
Коэффициент нахлеста 1,05</t>
  </si>
  <si>
    <t>Фибраволокно</t>
  </si>
  <si>
    <t>Пластификатор</t>
  </si>
  <si>
    <t>л</t>
  </si>
  <si>
    <t>Демпферная лента</t>
  </si>
  <si>
    <t>м.п.</t>
  </si>
  <si>
    <t>Плавающая стяжка</t>
  </si>
  <si>
    <t>Утеплитель ROCKWOOL Флорр Батс И, 25 мм, 0,12 м3 / уп.</t>
  </si>
  <si>
    <t>72,3*0,025=1,8075 м3
Толщина 25 мм
1,8075*1,1=1,988 м3
Запас 1,1 на укладку по периметру</t>
  </si>
  <si>
    <t>72,3/2*1,05=37,95
Коэффициент нахлеста 1,05</t>
  </si>
  <si>
    <t>Стяжка 80 мм</t>
  </si>
  <si>
    <t>8575,12/2*1,05=4501,93
Коэффициент нахлеста 1,05</t>
  </si>
  <si>
    <t>Стяжка 60 мм</t>
  </si>
  <si>
    <t>огородный</t>
  </si>
  <si>
    <t>3472,38/2*1,05=1823
Коэффициент нахлеста 1,05</t>
  </si>
  <si>
    <t>Огрунтовка поверхности грунтовкой "Яхонт"</t>
  </si>
  <si>
    <t>Грунтовка "Яхонт", 10 л</t>
  </si>
  <si>
    <t>3472,38*0,1/10=34,72
Расход 0,1 л/м2</t>
  </si>
  <si>
    <t>Устройство теплоизоляционного слоя толщиной 1 мм</t>
  </si>
  <si>
    <t>Корунд Классик, 20 л</t>
  </si>
  <si>
    <t>3544,68*1/20=177,23
Расход 1 л/м2 при толщине слоя 20 мм</t>
  </si>
  <si>
    <t>Устройство гидроизоляции по типу Флэхендихт в 2 слоя</t>
  </si>
  <si>
    <t>Гидроизоляция Кнауф Флэхендихт, 5 кг</t>
  </si>
  <si>
    <t>2709,31*1,4/5=758,60
Расход 1,4 кг/м2 при 2 слоях</t>
  </si>
  <si>
    <t>Изоляционная лента Кнауф Флэхендихтбанд, 10 м</t>
  </si>
  <si>
    <t>Устройство гидроизоляции цементной</t>
  </si>
  <si>
    <t>Лента гидроизоляционная Церезит CL 152, 10 м</t>
  </si>
  <si>
    <t>Церезит</t>
  </si>
  <si>
    <t>Скрепа 2К</t>
  </si>
  <si>
    <t>м</t>
  </si>
  <si>
    <t>песок</t>
  </si>
  <si>
    <t>цемент</t>
  </si>
  <si>
    <t>сетка 100*100*4</t>
  </si>
  <si>
    <t>мп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</si>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</sst>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00"/>
    <numFmt numFmtId="165" formatCode="#,##0.00\ &quot;₽&quot;"/>
    <numFmt numFmtId="166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/>
    <xf numFmtId="2" fontId="0" fillId="0" borderId="4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1" fillId="0" borderId="0" xfId="2"/>
    <xf numFmtId="0" fontId="1" fillId="0" borderId="5" xfId="2" applyBorder="1" applyAlignment="1">
      <alignment horizontal="center" vertical="center"/>
    </xf>
    <xf numFmtId="0" fontId="1" fillId="0" borderId="0" xfId="2" applyAlignment="1">
      <alignment horizontal="center"/>
    </xf>
    <xf numFmtId="0" fontId="11" fillId="0" borderId="4" xfId="2" applyFont="1" applyBorder="1" applyAlignment="1">
      <alignment horizontal="center" vertical="center"/>
    </xf>
    <xf numFmtId="165" fontId="11" fillId="0" borderId="4" xfId="2" applyNumberFormat="1" applyFont="1" applyBorder="1" applyAlignment="1">
      <alignment horizontal="center" vertical="center"/>
    </xf>
    <xf numFmtId="0" fontId="11" fillId="0" borderId="0" xfId="2" applyFont="1"/>
    <xf numFmtId="0" fontId="12" fillId="0" borderId="1" xfId="2" applyFont="1" applyBorder="1" applyAlignment="1">
      <alignment horizontal="center" vertical="center"/>
    </xf>
    <xf numFmtId="166" fontId="12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/>
    <xf numFmtId="166" fontId="12" fillId="0" borderId="0" xfId="2" applyNumberFormat="1" applyFont="1"/>
    <xf numFmtId="0" fontId="12" fillId="0" borderId="18" xfId="2" applyFont="1" applyBorder="1" applyAlignment="1">
      <alignment horizontal="center" vertical="center"/>
    </xf>
    <xf numFmtId="166" fontId="12" fillId="0" borderId="18" xfId="3" applyFont="1" applyBorder="1" applyAlignment="1">
      <alignment horizontal="center" vertical="center"/>
    </xf>
    <xf numFmtId="166" fontId="13" fillId="0" borderId="19" xfId="3" applyFont="1" applyBorder="1" applyAlignment="1">
      <alignment horizontal="center" vertical="center"/>
    </xf>
    <xf numFmtId="166" fontId="11" fillId="0" borderId="4" xfId="3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166" fontId="11" fillId="0" borderId="1" xfId="3" applyFont="1" applyBorder="1" applyAlignment="1">
      <alignment horizontal="center" vertical="center"/>
    </xf>
    <xf numFmtId="166" fontId="1" fillId="0" borderId="1" xfId="3" applyFont="1" applyBorder="1" applyAlignment="1">
      <alignment horizontal="center" vertical="center"/>
    </xf>
    <xf numFmtId="0" fontId="11" fillId="0" borderId="1" xfId="2" applyFont="1" applyBorder="1"/>
    <xf numFmtId="0" fontId="1" fillId="0" borderId="1" xfId="2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/>
    </xf>
    <xf numFmtId="166" fontId="11" fillId="0" borderId="0" xfId="2" applyNumberFormat="1" applyFont="1"/>
    <xf numFmtId="4" fontId="12" fillId="0" borderId="0" xfId="2" applyNumberFormat="1" applyFont="1"/>
    <xf numFmtId="166" fontId="12" fillId="0" borderId="1" xfId="2" applyNumberFormat="1" applyFont="1" applyBorder="1"/>
    <xf numFmtId="4" fontId="12" fillId="0" borderId="1" xfId="2" applyNumberFormat="1" applyFont="1" applyBorder="1"/>
    <xf numFmtId="0" fontId="12" fillId="0" borderId="1" xfId="2" applyFont="1" applyBorder="1"/>
    <xf numFmtId="0" fontId="11" fillId="0" borderId="8" xfId="2" applyFont="1" applyBorder="1" applyAlignment="1">
      <alignment horizontal="right" vertical="center"/>
    </xf>
    <xf numFmtId="0" fontId="11" fillId="0" borderId="9" xfId="2" applyFont="1" applyBorder="1" applyAlignment="1">
      <alignment horizontal="right" vertical="center"/>
    </xf>
    <xf numFmtId="0" fontId="11" fillId="0" borderId="10" xfId="2" applyFont="1" applyBorder="1" applyAlignment="1">
      <alignment horizontal="right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wrapText="1"/>
    </xf>
    <xf numFmtId="0" fontId="12" fillId="0" borderId="0" xfId="2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2" xr:uid="{07E2E727-3062-4090-AA71-368D65F8BCDD}"/>
    <cellStyle name="Финансовый" xfId="1" builtinId="3"/>
    <cellStyle name="Финансовый 2" xfId="3" xr:uid="{309FE511-3481-4389-96C7-3E0EA6FC796B}"/>
  </cellStyles>
  <dxfs count="121"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FE53-EA5E-47E2-9192-8F4BEEA449F0}">
  <dimension ref="B1:S73"/>
  <sheetViews>
    <sheetView topLeftCell="F19" zoomScaleNormal="100" workbookViewId="0">
      <selection activeCell="N32" sqref="N32"/>
    </sheetView>
  </sheetViews>
  <sheetFormatPr defaultRowHeight="14.4" x14ac:dyDescent="0.3"/>
  <cols>
    <col min="1" max="1" width="8.88671875" style="69"/>
    <col min="2" max="9" width="8.88671875" style="68"/>
    <col min="10" max="10" width="13.109375" style="68" bestFit="1" customWidth="1"/>
    <col min="11" max="11" width="15.109375" style="68" bestFit="1" customWidth="1"/>
    <col min="12" max="12" width="36.109375" style="68" customWidth="1"/>
    <col min="13" max="13" width="10.109375" style="69" bestFit="1" customWidth="1"/>
    <col min="14" max="14" width="14.88671875" style="69" bestFit="1" customWidth="1"/>
    <col min="15" max="15" width="23.44140625" style="69" customWidth="1"/>
    <col min="16" max="16" width="14.88671875" style="69" customWidth="1"/>
    <col min="17" max="17" width="12.33203125" style="69" bestFit="1" customWidth="1"/>
    <col min="18" max="18" width="11.33203125" style="69" bestFit="1" customWidth="1"/>
    <col min="19" max="19" width="12.88671875" style="69" bestFit="1" customWidth="1"/>
    <col min="20" max="16384" width="8.88671875" style="69"/>
  </cols>
  <sheetData>
    <row r="1" spans="2:16" ht="15" thickBot="1" x14ac:dyDescent="0.35"/>
    <row r="2" spans="2:16" ht="15" thickBot="1" x14ac:dyDescent="0.35">
      <c r="B2" s="99" t="s">
        <v>90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16" s="71" customFormat="1" ht="15" thickBot="1" x14ac:dyDescent="0.35">
      <c r="B3" s="102" t="s">
        <v>91</v>
      </c>
      <c r="C3" s="103"/>
      <c r="D3" s="103"/>
      <c r="E3" s="103"/>
      <c r="F3" s="103"/>
      <c r="G3" s="104"/>
      <c r="H3" s="70" t="s">
        <v>1</v>
      </c>
      <c r="I3" s="70" t="s">
        <v>2</v>
      </c>
      <c r="J3" s="70" t="s">
        <v>92</v>
      </c>
      <c r="K3" s="70" t="s">
        <v>93</v>
      </c>
      <c r="L3" s="70" t="s">
        <v>94</v>
      </c>
    </row>
    <row r="4" spans="2:16" s="74" customFormat="1" x14ac:dyDescent="0.3">
      <c r="B4" s="105" t="s">
        <v>95</v>
      </c>
      <c r="C4" s="106"/>
      <c r="D4" s="106"/>
      <c r="E4" s="106"/>
      <c r="F4" s="106"/>
      <c r="G4" s="107"/>
      <c r="H4" s="72" t="s">
        <v>4</v>
      </c>
      <c r="I4" s="72">
        <v>722.71</v>
      </c>
      <c r="J4" s="73"/>
      <c r="K4" s="73">
        <f>J4*I4</f>
        <v>0</v>
      </c>
      <c r="L4" s="72"/>
    </row>
    <row r="5" spans="2:16" s="78" customFormat="1" ht="28.8" x14ac:dyDescent="0.3">
      <c r="B5" s="108" t="s">
        <v>96</v>
      </c>
      <c r="C5" s="109"/>
      <c r="D5" s="109"/>
      <c r="E5" s="109"/>
      <c r="F5" s="109"/>
      <c r="G5" s="110"/>
      <c r="H5" s="75" t="s">
        <v>97</v>
      </c>
      <c r="I5" s="75">
        <v>8</v>
      </c>
      <c r="J5" s="76">
        <v>1325.72</v>
      </c>
      <c r="K5" s="76">
        <f t="shared" ref="K5:K68" si="0">J5*I5</f>
        <v>10605.76</v>
      </c>
      <c r="L5" s="77" t="s">
        <v>98</v>
      </c>
      <c r="N5" s="79">
        <f>J5/10*0.1</f>
        <v>13.257200000000001</v>
      </c>
      <c r="O5" s="79"/>
      <c r="P5" s="79"/>
    </row>
    <row r="6" spans="2:16" s="78" customFormat="1" ht="29.4" thickBot="1" x14ac:dyDescent="0.35">
      <c r="B6" s="111" t="s">
        <v>99</v>
      </c>
      <c r="C6" s="112"/>
      <c r="D6" s="112"/>
      <c r="E6" s="112"/>
      <c r="F6" s="112"/>
      <c r="G6" s="113"/>
      <c r="H6" s="80" t="s">
        <v>97</v>
      </c>
      <c r="I6" s="80">
        <v>813</v>
      </c>
      <c r="J6" s="81">
        <v>483.23</v>
      </c>
      <c r="K6" s="81">
        <f t="shared" si="0"/>
        <v>392865.99</v>
      </c>
      <c r="L6" s="77" t="s">
        <v>100</v>
      </c>
      <c r="N6" s="79">
        <f>17.8*1.5*15</f>
        <v>400.50000000000006</v>
      </c>
      <c r="O6" s="79"/>
      <c r="P6" s="79"/>
    </row>
    <row r="7" spans="2:16" s="74" customFormat="1" ht="15" thickBot="1" x14ac:dyDescent="0.35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8"/>
      <c r="L7" s="82">
        <f>(K5+K6)/I4</f>
        <v>558.27614119079567</v>
      </c>
    </row>
    <row r="8" spans="2:16" s="78" customFormat="1" x14ac:dyDescent="0.3">
      <c r="B8" s="114" t="s">
        <v>102</v>
      </c>
      <c r="C8" s="114"/>
      <c r="D8" s="114"/>
      <c r="E8" s="114"/>
      <c r="F8" s="114"/>
      <c r="G8" s="114"/>
      <c r="H8" s="72" t="s">
        <v>3</v>
      </c>
      <c r="I8" s="72">
        <v>377.71</v>
      </c>
      <c r="J8" s="83"/>
      <c r="K8" s="83">
        <f t="shared" si="0"/>
        <v>0</v>
      </c>
      <c r="L8" s="72"/>
    </row>
    <row r="9" spans="2:16" s="78" customFormat="1" ht="29.4" thickBot="1" x14ac:dyDescent="0.35">
      <c r="B9" s="108" t="s">
        <v>103</v>
      </c>
      <c r="C9" s="109"/>
      <c r="D9" s="109"/>
      <c r="E9" s="109"/>
      <c r="F9" s="109"/>
      <c r="G9" s="110"/>
      <c r="H9" s="75" t="s">
        <v>3</v>
      </c>
      <c r="I9" s="75">
        <v>435</v>
      </c>
      <c r="J9" s="76">
        <v>5633</v>
      </c>
      <c r="K9" s="76">
        <f t="shared" si="0"/>
        <v>2450355</v>
      </c>
      <c r="L9" s="77" t="s">
        <v>104</v>
      </c>
    </row>
    <row r="10" spans="2:16" s="74" customFormat="1" ht="15" thickBot="1" x14ac:dyDescent="0.35">
      <c r="B10" s="96" t="s">
        <v>101</v>
      </c>
      <c r="C10" s="97"/>
      <c r="D10" s="97"/>
      <c r="E10" s="97"/>
      <c r="F10" s="97"/>
      <c r="G10" s="97"/>
      <c r="H10" s="97"/>
      <c r="I10" s="97"/>
      <c r="J10" s="97"/>
      <c r="K10" s="98"/>
      <c r="L10" s="82">
        <f>K9/I8</f>
        <v>6487.3977390061164</v>
      </c>
    </row>
    <row r="11" spans="2:16" s="78" customFormat="1" x14ac:dyDescent="0.3">
      <c r="B11" s="115" t="s">
        <v>105</v>
      </c>
      <c r="C11" s="115"/>
      <c r="D11" s="115"/>
      <c r="E11" s="115"/>
      <c r="F11" s="115"/>
      <c r="G11" s="115"/>
      <c r="H11" s="72" t="s">
        <v>4</v>
      </c>
      <c r="I11" s="72">
        <v>780.46</v>
      </c>
      <c r="J11" s="83"/>
      <c r="K11" s="83">
        <f t="shared" si="0"/>
        <v>0</v>
      </c>
      <c r="L11" s="72"/>
    </row>
    <row r="12" spans="2:16" s="78" customFormat="1" ht="29.4" thickBot="1" x14ac:dyDescent="0.35">
      <c r="B12" s="108" t="s">
        <v>106</v>
      </c>
      <c r="C12" s="109"/>
      <c r="D12" s="109"/>
      <c r="E12" s="109"/>
      <c r="F12" s="109"/>
      <c r="G12" s="110"/>
      <c r="H12" s="75" t="s">
        <v>107</v>
      </c>
      <c r="I12" s="75">
        <v>3</v>
      </c>
      <c r="J12" s="76">
        <v>7950</v>
      </c>
      <c r="K12" s="76">
        <f t="shared" si="0"/>
        <v>23850</v>
      </c>
      <c r="L12" s="77" t="s">
        <v>108</v>
      </c>
    </row>
    <row r="13" spans="2:16" s="74" customFormat="1" ht="15" thickBot="1" x14ac:dyDescent="0.35">
      <c r="B13" s="96" t="s">
        <v>101</v>
      </c>
      <c r="C13" s="97"/>
      <c r="D13" s="97"/>
      <c r="E13" s="97"/>
      <c r="F13" s="97"/>
      <c r="G13" s="97"/>
      <c r="H13" s="97"/>
      <c r="I13" s="97"/>
      <c r="J13" s="97"/>
      <c r="K13" s="98"/>
      <c r="L13" s="82">
        <f>K12/I11</f>
        <v>30.558901160853853</v>
      </c>
    </row>
    <row r="14" spans="2:16" s="74" customFormat="1" x14ac:dyDescent="0.3">
      <c r="B14" s="116" t="s">
        <v>109</v>
      </c>
      <c r="C14" s="117"/>
      <c r="D14" s="117"/>
      <c r="E14" s="117"/>
      <c r="F14" s="117"/>
      <c r="G14" s="118"/>
      <c r="H14" s="84" t="s">
        <v>3</v>
      </c>
      <c r="I14" s="84">
        <v>139.59</v>
      </c>
      <c r="J14" s="85"/>
      <c r="K14" s="85">
        <f t="shared" si="0"/>
        <v>0</v>
      </c>
      <c r="L14" s="84"/>
    </row>
    <row r="15" spans="2:16" s="78" customFormat="1" ht="72" x14ac:dyDescent="0.3">
      <c r="B15" s="119" t="s">
        <v>110</v>
      </c>
      <c r="C15" s="120"/>
      <c r="D15" s="120"/>
      <c r="E15" s="120"/>
      <c r="F15" s="120"/>
      <c r="G15" s="121"/>
      <c r="H15" s="75" t="s">
        <v>36</v>
      </c>
      <c r="I15" s="75">
        <v>4.45</v>
      </c>
      <c r="J15" s="76">
        <v>79900</v>
      </c>
      <c r="K15" s="76">
        <f t="shared" si="0"/>
        <v>355555</v>
      </c>
      <c r="L15" s="77" t="s">
        <v>111</v>
      </c>
      <c r="N15" s="78">
        <f>80000*8.88/1000</f>
        <v>710.40000000000009</v>
      </c>
    </row>
    <row r="16" spans="2:16" s="78" customFormat="1" ht="28.8" x14ac:dyDescent="0.3">
      <c r="B16" s="119" t="s">
        <v>112</v>
      </c>
      <c r="C16" s="120"/>
      <c r="D16" s="120"/>
      <c r="E16" s="120"/>
      <c r="F16" s="120"/>
      <c r="G16" s="121"/>
      <c r="H16" s="75" t="s">
        <v>27</v>
      </c>
      <c r="I16" s="75">
        <v>22.5</v>
      </c>
      <c r="J16" s="76">
        <v>898</v>
      </c>
      <c r="K16" s="76">
        <f t="shared" si="0"/>
        <v>20205</v>
      </c>
      <c r="L16" s="77" t="s">
        <v>113</v>
      </c>
      <c r="N16" s="79">
        <f>7600*0.2</f>
        <v>1520</v>
      </c>
      <c r="O16" s="79"/>
      <c r="P16" s="79"/>
    </row>
    <row r="17" spans="2:19" s="78" customFormat="1" ht="29.4" thickBot="1" x14ac:dyDescent="0.35">
      <c r="B17" s="119" t="s">
        <v>114</v>
      </c>
      <c r="C17" s="120"/>
      <c r="D17" s="120"/>
      <c r="E17" s="120"/>
      <c r="F17" s="120"/>
      <c r="G17" s="121"/>
      <c r="H17" s="75" t="s">
        <v>3</v>
      </c>
      <c r="I17" s="75">
        <v>142.5</v>
      </c>
      <c r="J17" s="76">
        <v>7600</v>
      </c>
      <c r="K17" s="76">
        <f t="shared" si="0"/>
        <v>1083000</v>
      </c>
      <c r="L17" s="77" t="s">
        <v>115</v>
      </c>
      <c r="N17" s="79">
        <f>N15+N16</f>
        <v>2230.4</v>
      </c>
      <c r="O17" s="79"/>
      <c r="P17" s="79"/>
      <c r="Q17" s="79">
        <f>N17/0.2</f>
        <v>11152</v>
      </c>
    </row>
    <row r="18" spans="2:19" s="74" customFormat="1" ht="15" thickBot="1" x14ac:dyDescent="0.35">
      <c r="B18" s="96" t="s">
        <v>101</v>
      </c>
      <c r="C18" s="97"/>
      <c r="D18" s="97"/>
      <c r="E18" s="97"/>
      <c r="F18" s="97"/>
      <c r="G18" s="97"/>
      <c r="H18" s="97"/>
      <c r="I18" s="97"/>
      <c r="J18" s="97"/>
      <c r="K18" s="98"/>
      <c r="L18" s="82">
        <f>(K15+K16+K17)/I14</f>
        <v>10450.318790744323</v>
      </c>
    </row>
    <row r="19" spans="2:19" s="74" customFormat="1" x14ac:dyDescent="0.3">
      <c r="B19" s="116" t="s">
        <v>116</v>
      </c>
      <c r="C19" s="117"/>
      <c r="D19" s="117"/>
      <c r="E19" s="117"/>
      <c r="F19" s="117"/>
      <c r="G19" s="118"/>
      <c r="H19" s="84" t="s">
        <v>4</v>
      </c>
      <c r="I19" s="84">
        <v>217.38</v>
      </c>
      <c r="J19" s="85"/>
      <c r="K19" s="85">
        <f t="shared" si="0"/>
        <v>0</v>
      </c>
      <c r="L19" s="84"/>
    </row>
    <row r="20" spans="2:19" s="78" customFormat="1" ht="31.5" customHeight="1" x14ac:dyDescent="0.3">
      <c r="B20" s="119" t="s">
        <v>117</v>
      </c>
      <c r="C20" s="120"/>
      <c r="D20" s="120"/>
      <c r="E20" s="120"/>
      <c r="F20" s="120"/>
      <c r="G20" s="121"/>
      <c r="H20" s="75" t="s">
        <v>97</v>
      </c>
      <c r="I20" s="75">
        <v>4</v>
      </c>
      <c r="J20" s="76">
        <v>2673</v>
      </c>
      <c r="K20" s="76">
        <f t="shared" si="0"/>
        <v>10692</v>
      </c>
      <c r="L20" s="77" t="s">
        <v>118</v>
      </c>
      <c r="N20" s="78">
        <f>2673/10.8*0.2</f>
        <v>49.5</v>
      </c>
    </row>
    <row r="21" spans="2:19" s="78" customFormat="1" ht="43.8" thickBot="1" x14ac:dyDescent="0.35">
      <c r="B21" s="119" t="s">
        <v>119</v>
      </c>
      <c r="C21" s="120"/>
      <c r="D21" s="120"/>
      <c r="E21" s="120"/>
      <c r="F21" s="120"/>
      <c r="G21" s="121"/>
      <c r="H21" s="75" t="s">
        <v>107</v>
      </c>
      <c r="I21" s="75">
        <v>48</v>
      </c>
      <c r="J21" s="76">
        <v>4310</v>
      </c>
      <c r="K21" s="76">
        <f t="shared" si="0"/>
        <v>206880</v>
      </c>
      <c r="L21" s="77" t="s">
        <v>120</v>
      </c>
      <c r="N21" s="78">
        <f>4252/10*1.1*2</f>
        <v>935.44</v>
      </c>
    </row>
    <row r="22" spans="2:19" s="74" customFormat="1" ht="15" thickBot="1" x14ac:dyDescent="0.35">
      <c r="B22" s="96" t="s">
        <v>101</v>
      </c>
      <c r="C22" s="97"/>
      <c r="D22" s="97"/>
      <c r="E22" s="97"/>
      <c r="F22" s="97"/>
      <c r="G22" s="97"/>
      <c r="H22" s="97"/>
      <c r="I22" s="97"/>
      <c r="J22" s="97"/>
      <c r="K22" s="98"/>
      <c r="L22" s="82">
        <f>(K20+K21)/I19</f>
        <v>1000.8832459287884</v>
      </c>
    </row>
    <row r="23" spans="2:19" s="74" customFormat="1" ht="69" customHeight="1" x14ac:dyDescent="0.3">
      <c r="B23" s="116" t="s">
        <v>121</v>
      </c>
      <c r="C23" s="117"/>
      <c r="D23" s="117"/>
      <c r="E23" s="117"/>
      <c r="F23" s="117"/>
      <c r="G23" s="118"/>
      <c r="H23" s="84" t="s">
        <v>4</v>
      </c>
      <c r="I23" s="84">
        <v>1668.71</v>
      </c>
      <c r="J23" s="85"/>
      <c r="K23" s="85">
        <f t="shared" si="0"/>
        <v>0</v>
      </c>
      <c r="L23" s="84"/>
      <c r="O23" s="122" t="s">
        <v>86</v>
      </c>
      <c r="P23" s="122"/>
      <c r="Q23" s="122"/>
      <c r="R23" s="122"/>
      <c r="S23" s="122"/>
    </row>
    <row r="24" spans="2:19" s="78" customFormat="1" ht="15.6" x14ac:dyDescent="0.3">
      <c r="B24" s="108" t="s">
        <v>122</v>
      </c>
      <c r="C24" s="109"/>
      <c r="D24" s="109"/>
      <c r="E24" s="109"/>
      <c r="F24" s="109"/>
      <c r="G24" s="110"/>
      <c r="H24" s="75" t="s">
        <v>36</v>
      </c>
      <c r="I24" s="75">
        <v>265</v>
      </c>
      <c r="J24" s="76">
        <v>1750</v>
      </c>
      <c r="K24" s="76">
        <f t="shared" si="0"/>
        <v>463750</v>
      </c>
      <c r="L24" s="75"/>
      <c r="N24" s="79">
        <f>K24+K25+K27+K28</f>
        <v>666275</v>
      </c>
      <c r="O24" s="22" t="s">
        <v>155</v>
      </c>
      <c r="P24" s="22" t="s">
        <v>27</v>
      </c>
      <c r="Q24" s="94">
        <v>157</v>
      </c>
      <c r="R24" s="93">
        <v>1.2</v>
      </c>
      <c r="S24" s="93">
        <f>Q24*R24</f>
        <v>188.4</v>
      </c>
    </row>
    <row r="25" spans="2:19" s="78" customFormat="1" ht="15.6" x14ac:dyDescent="0.3">
      <c r="B25" s="108" t="s">
        <v>123</v>
      </c>
      <c r="C25" s="109"/>
      <c r="D25" s="109"/>
      <c r="E25" s="109"/>
      <c r="F25" s="109"/>
      <c r="G25" s="110"/>
      <c r="H25" s="75" t="s">
        <v>97</v>
      </c>
      <c r="I25" s="75">
        <v>855</v>
      </c>
      <c r="J25" s="76">
        <v>225</v>
      </c>
      <c r="K25" s="76">
        <f t="shared" si="0"/>
        <v>192375</v>
      </c>
      <c r="L25" s="75"/>
      <c r="N25" s="79">
        <f>N24/I23</f>
        <v>399.27548825140377</v>
      </c>
      <c r="O25" s="22" t="s">
        <v>156</v>
      </c>
      <c r="P25" s="22" t="s">
        <v>27</v>
      </c>
      <c r="Q25" s="94">
        <v>15</v>
      </c>
      <c r="R25" s="93">
        <v>8</v>
      </c>
      <c r="S25" s="93">
        <f t="shared" ref="S25:S26" si="1">Q25*R25</f>
        <v>120</v>
      </c>
    </row>
    <row r="26" spans="2:19" s="78" customFormat="1" ht="28.8" x14ac:dyDescent="0.3">
      <c r="B26" s="108" t="s">
        <v>124</v>
      </c>
      <c r="C26" s="109"/>
      <c r="D26" s="109"/>
      <c r="E26" s="109"/>
      <c r="F26" s="109"/>
      <c r="G26" s="110"/>
      <c r="H26" s="75" t="s">
        <v>97</v>
      </c>
      <c r="I26" s="75">
        <v>876</v>
      </c>
      <c r="J26" s="76">
        <v>290</v>
      </c>
      <c r="K26" s="76">
        <f t="shared" si="0"/>
        <v>254040</v>
      </c>
      <c r="L26" s="77" t="s">
        <v>125</v>
      </c>
      <c r="N26" s="79">
        <f>N25+J26/2+J29</f>
        <v>556.27548825140377</v>
      </c>
      <c r="O26" s="22" t="s">
        <v>157</v>
      </c>
      <c r="P26" s="22" t="s">
        <v>4</v>
      </c>
      <c r="Q26" s="94">
        <v>1.01</v>
      </c>
      <c r="R26" s="93">
        <v>110</v>
      </c>
      <c r="S26" s="93">
        <f t="shared" si="1"/>
        <v>111.1</v>
      </c>
    </row>
    <row r="27" spans="2:19" s="78" customFormat="1" ht="15.6" x14ac:dyDescent="0.3">
      <c r="B27" s="108" t="s">
        <v>126</v>
      </c>
      <c r="C27" s="109"/>
      <c r="D27" s="109"/>
      <c r="E27" s="109"/>
      <c r="F27" s="109"/>
      <c r="G27" s="110"/>
      <c r="H27" s="75" t="s">
        <v>27</v>
      </c>
      <c r="I27" s="75">
        <v>17</v>
      </c>
      <c r="J27" s="76">
        <v>450</v>
      </c>
      <c r="K27" s="76">
        <f t="shared" si="0"/>
        <v>7650</v>
      </c>
      <c r="L27" s="75"/>
      <c r="O27" s="22" t="s">
        <v>129</v>
      </c>
      <c r="P27" s="22" t="s">
        <v>158</v>
      </c>
      <c r="Q27" s="94">
        <f>I27/I21</f>
        <v>0.35416666666666669</v>
      </c>
      <c r="R27" s="93">
        <f>J27</f>
        <v>450</v>
      </c>
      <c r="S27" s="93">
        <f t="shared" ref="S27" si="2">Q27*R27</f>
        <v>159.375</v>
      </c>
    </row>
    <row r="28" spans="2:19" s="78" customFormat="1" ht="15.6" x14ac:dyDescent="0.3">
      <c r="B28" s="108" t="s">
        <v>127</v>
      </c>
      <c r="C28" s="109"/>
      <c r="D28" s="109"/>
      <c r="E28" s="109"/>
      <c r="F28" s="109"/>
      <c r="G28" s="110"/>
      <c r="H28" s="75" t="s">
        <v>128</v>
      </c>
      <c r="I28" s="75">
        <v>25</v>
      </c>
      <c r="J28" s="76">
        <v>100</v>
      </c>
      <c r="K28" s="76">
        <f t="shared" si="0"/>
        <v>2500</v>
      </c>
      <c r="L28" s="75"/>
      <c r="O28" s="22" t="s">
        <v>159</v>
      </c>
      <c r="P28" s="95"/>
      <c r="Q28" s="94"/>
      <c r="R28" s="93"/>
      <c r="S28" s="93">
        <f>SUM(S24:S27)</f>
        <v>578.875</v>
      </c>
    </row>
    <row r="29" spans="2:19" s="78" customFormat="1" ht="15" thickBot="1" x14ac:dyDescent="0.35">
      <c r="B29" s="108" t="s">
        <v>129</v>
      </c>
      <c r="C29" s="109"/>
      <c r="D29" s="109"/>
      <c r="E29" s="109"/>
      <c r="F29" s="109"/>
      <c r="G29" s="110"/>
      <c r="H29" s="75" t="s">
        <v>130</v>
      </c>
      <c r="I29" s="75">
        <v>1500</v>
      </c>
      <c r="J29" s="76">
        <v>12</v>
      </c>
      <c r="K29" s="76">
        <f t="shared" si="0"/>
        <v>18000</v>
      </c>
      <c r="L29" s="75"/>
      <c r="Q29" s="92"/>
      <c r="R29" s="79"/>
      <c r="S29" s="79"/>
    </row>
    <row r="30" spans="2:19" s="74" customFormat="1" ht="15" thickBot="1" x14ac:dyDescent="0.35">
      <c r="B30" s="96" t="s">
        <v>101</v>
      </c>
      <c r="C30" s="97"/>
      <c r="D30" s="97"/>
      <c r="E30" s="97"/>
      <c r="F30" s="97"/>
      <c r="G30" s="97"/>
      <c r="H30" s="97"/>
      <c r="I30" s="97"/>
      <c r="J30" s="97"/>
      <c r="K30" s="98"/>
      <c r="L30" s="82">
        <f>(K24+K25+K26+K27+K28+K29)/I23</f>
        <v>562.29962066506459</v>
      </c>
      <c r="S30" s="91"/>
    </row>
    <row r="31" spans="2:19" s="74" customFormat="1" x14ac:dyDescent="0.3">
      <c r="B31" s="116" t="s">
        <v>131</v>
      </c>
      <c r="C31" s="117"/>
      <c r="D31" s="117"/>
      <c r="E31" s="117"/>
      <c r="F31" s="117"/>
      <c r="G31" s="118"/>
      <c r="H31" s="84" t="s">
        <v>4</v>
      </c>
      <c r="I31" s="84">
        <v>72.3</v>
      </c>
      <c r="J31" s="85"/>
      <c r="K31" s="85">
        <f t="shared" si="0"/>
        <v>0</v>
      </c>
      <c r="L31" s="84"/>
    </row>
    <row r="32" spans="2:19" s="78" customFormat="1" ht="57.6" x14ac:dyDescent="0.3">
      <c r="B32" s="119" t="s">
        <v>132</v>
      </c>
      <c r="C32" s="120"/>
      <c r="D32" s="120"/>
      <c r="E32" s="120"/>
      <c r="F32" s="120"/>
      <c r="G32" s="121"/>
      <c r="H32" s="75" t="s">
        <v>3</v>
      </c>
      <c r="I32" s="75">
        <v>5.8000000000000003E-2</v>
      </c>
      <c r="J32" s="76">
        <f>383.54/0.025</f>
        <v>15341.6</v>
      </c>
      <c r="K32" s="76">
        <f t="shared" si="0"/>
        <v>889.81280000000004</v>
      </c>
      <c r="L32" s="77" t="s">
        <v>133</v>
      </c>
      <c r="M32" s="79"/>
    </row>
    <row r="33" spans="2:12" s="78" customFormat="1" x14ac:dyDescent="0.3">
      <c r="B33" s="108" t="s">
        <v>122</v>
      </c>
      <c r="C33" s="109"/>
      <c r="D33" s="109"/>
      <c r="E33" s="109"/>
      <c r="F33" s="109"/>
      <c r="G33" s="110"/>
      <c r="H33" s="75" t="s">
        <v>36</v>
      </c>
      <c r="I33" s="75">
        <v>8</v>
      </c>
      <c r="J33" s="76">
        <v>1750</v>
      </c>
      <c r="K33" s="76">
        <f t="shared" si="0"/>
        <v>14000</v>
      </c>
      <c r="L33" s="75"/>
    </row>
    <row r="34" spans="2:12" s="78" customFormat="1" x14ac:dyDescent="0.3">
      <c r="B34" s="108" t="s">
        <v>123</v>
      </c>
      <c r="C34" s="109"/>
      <c r="D34" s="109"/>
      <c r="E34" s="109"/>
      <c r="F34" s="109"/>
      <c r="G34" s="110"/>
      <c r="H34" s="75" t="s">
        <v>97</v>
      </c>
      <c r="I34" s="75">
        <v>26</v>
      </c>
      <c r="J34" s="76">
        <v>320</v>
      </c>
      <c r="K34" s="76">
        <f t="shared" si="0"/>
        <v>8320</v>
      </c>
      <c r="L34" s="75"/>
    </row>
    <row r="35" spans="2:12" s="78" customFormat="1" ht="28.8" x14ac:dyDescent="0.3">
      <c r="B35" s="108" t="s">
        <v>124</v>
      </c>
      <c r="C35" s="109"/>
      <c r="D35" s="109"/>
      <c r="E35" s="109"/>
      <c r="F35" s="109"/>
      <c r="G35" s="110"/>
      <c r="H35" s="75" t="s">
        <v>97</v>
      </c>
      <c r="I35" s="75">
        <v>38</v>
      </c>
      <c r="J35" s="76">
        <v>290</v>
      </c>
      <c r="K35" s="76">
        <f t="shared" si="0"/>
        <v>11020</v>
      </c>
      <c r="L35" s="77" t="s">
        <v>134</v>
      </c>
    </row>
    <row r="36" spans="2:12" s="78" customFormat="1" x14ac:dyDescent="0.3">
      <c r="B36" s="108" t="s">
        <v>126</v>
      </c>
      <c r="C36" s="109"/>
      <c r="D36" s="109"/>
      <c r="E36" s="109"/>
      <c r="F36" s="109"/>
      <c r="G36" s="110"/>
      <c r="H36" s="75" t="s">
        <v>27</v>
      </c>
      <c r="I36" s="75">
        <v>1</v>
      </c>
      <c r="J36" s="76">
        <v>450</v>
      </c>
      <c r="K36" s="76">
        <f t="shared" si="0"/>
        <v>450</v>
      </c>
      <c r="L36" s="75"/>
    </row>
    <row r="37" spans="2:12" s="78" customFormat="1" x14ac:dyDescent="0.3">
      <c r="B37" s="108" t="s">
        <v>127</v>
      </c>
      <c r="C37" s="109"/>
      <c r="D37" s="109"/>
      <c r="E37" s="109"/>
      <c r="F37" s="109"/>
      <c r="G37" s="110"/>
      <c r="H37" s="75" t="s">
        <v>128</v>
      </c>
      <c r="I37" s="75">
        <v>1</v>
      </c>
      <c r="J37" s="76">
        <v>100</v>
      </c>
      <c r="K37" s="76">
        <f t="shared" si="0"/>
        <v>100</v>
      </c>
      <c r="L37" s="77"/>
    </row>
    <row r="38" spans="2:12" s="78" customFormat="1" ht="15" thickBot="1" x14ac:dyDescent="0.35">
      <c r="B38" s="108" t="s">
        <v>129</v>
      </c>
      <c r="C38" s="109"/>
      <c r="D38" s="109"/>
      <c r="E38" s="109"/>
      <c r="F38" s="109"/>
      <c r="G38" s="110"/>
      <c r="H38" s="75" t="s">
        <v>130</v>
      </c>
      <c r="I38" s="75">
        <v>0</v>
      </c>
      <c r="J38" s="76">
        <v>12</v>
      </c>
      <c r="K38" s="76">
        <f>J38*I38</f>
        <v>0</v>
      </c>
      <c r="L38" s="75"/>
    </row>
    <row r="39" spans="2:12" s="74" customFormat="1" ht="15" thickBot="1" x14ac:dyDescent="0.35">
      <c r="B39" s="96" t="s">
        <v>101</v>
      </c>
      <c r="C39" s="97"/>
      <c r="D39" s="97"/>
      <c r="E39" s="97"/>
      <c r="F39" s="97"/>
      <c r="G39" s="97"/>
      <c r="H39" s="97"/>
      <c r="I39" s="97"/>
      <c r="J39" s="97"/>
      <c r="K39" s="98"/>
      <c r="L39" s="82">
        <f>(K32+K33+K34+K35+K36+K37+K38)/I31</f>
        <v>481.04858644536654</v>
      </c>
    </row>
    <row r="40" spans="2:12" s="74" customFormat="1" x14ac:dyDescent="0.3">
      <c r="B40" s="116" t="s">
        <v>135</v>
      </c>
      <c r="C40" s="117"/>
      <c r="D40" s="117"/>
      <c r="E40" s="117"/>
      <c r="F40" s="117"/>
      <c r="G40" s="118"/>
      <c r="H40" s="84" t="s">
        <v>4</v>
      </c>
      <c r="I40" s="84">
        <v>8575.1200000000008</v>
      </c>
      <c r="J40" s="85"/>
      <c r="K40" s="85">
        <f t="shared" si="0"/>
        <v>0</v>
      </c>
      <c r="L40" s="84"/>
    </row>
    <row r="41" spans="2:12" s="78" customFormat="1" x14ac:dyDescent="0.3">
      <c r="B41" s="108" t="s">
        <v>122</v>
      </c>
      <c r="C41" s="109"/>
      <c r="D41" s="109"/>
      <c r="E41" s="109"/>
      <c r="F41" s="109"/>
      <c r="G41" s="110"/>
      <c r="H41" s="75" t="s">
        <v>36</v>
      </c>
      <c r="I41" s="75">
        <f>1223+20</f>
        <v>1243</v>
      </c>
      <c r="J41" s="76">
        <v>1750</v>
      </c>
      <c r="K41" s="76">
        <f t="shared" si="0"/>
        <v>2175250</v>
      </c>
      <c r="L41" s="77"/>
    </row>
    <row r="42" spans="2:12" s="78" customFormat="1" x14ac:dyDescent="0.3">
      <c r="B42" s="108" t="s">
        <v>123</v>
      </c>
      <c r="C42" s="109"/>
      <c r="D42" s="109"/>
      <c r="E42" s="109"/>
      <c r="F42" s="109"/>
      <c r="G42" s="110"/>
      <c r="H42" s="75" t="s">
        <v>97</v>
      </c>
      <c r="I42" s="75">
        <f>4090+30</f>
        <v>4120</v>
      </c>
      <c r="J42" s="76">
        <v>225</v>
      </c>
      <c r="K42" s="76">
        <f t="shared" si="0"/>
        <v>927000</v>
      </c>
      <c r="L42" s="75"/>
    </row>
    <row r="43" spans="2:12" s="74" customFormat="1" ht="28.8" x14ac:dyDescent="0.3">
      <c r="B43" s="108" t="s">
        <v>124</v>
      </c>
      <c r="C43" s="109"/>
      <c r="D43" s="109"/>
      <c r="E43" s="109"/>
      <c r="F43" s="109"/>
      <c r="G43" s="110"/>
      <c r="H43" s="75" t="s">
        <v>97</v>
      </c>
      <c r="I43" s="75">
        <v>4501</v>
      </c>
      <c r="J43" s="76">
        <v>290</v>
      </c>
      <c r="K43" s="76">
        <f t="shared" si="0"/>
        <v>1305290</v>
      </c>
      <c r="L43" s="77" t="s">
        <v>136</v>
      </c>
    </row>
    <row r="44" spans="2:12" s="78" customFormat="1" x14ac:dyDescent="0.3">
      <c r="B44" s="108" t="s">
        <v>126</v>
      </c>
      <c r="C44" s="109"/>
      <c r="D44" s="109"/>
      <c r="E44" s="109"/>
      <c r="F44" s="109"/>
      <c r="G44" s="110"/>
      <c r="H44" s="75" t="s">
        <v>27</v>
      </c>
      <c r="I44" s="75">
        <f>86+2</f>
        <v>88</v>
      </c>
      <c r="J44" s="76">
        <v>450</v>
      </c>
      <c r="K44" s="76">
        <f t="shared" si="0"/>
        <v>39600</v>
      </c>
      <c r="L44" s="77"/>
    </row>
    <row r="45" spans="2:12" s="78" customFormat="1" x14ac:dyDescent="0.3">
      <c r="B45" s="108" t="s">
        <v>127</v>
      </c>
      <c r="C45" s="109"/>
      <c r="D45" s="109"/>
      <c r="E45" s="109"/>
      <c r="F45" s="109"/>
      <c r="G45" s="110"/>
      <c r="H45" s="75" t="s">
        <v>128</v>
      </c>
      <c r="I45" s="75">
        <f>87</f>
        <v>87</v>
      </c>
      <c r="J45" s="76">
        <v>100</v>
      </c>
      <c r="K45" s="76">
        <f t="shared" si="0"/>
        <v>8700</v>
      </c>
      <c r="L45" s="75"/>
    </row>
    <row r="46" spans="2:12" s="78" customFormat="1" ht="15" thickBot="1" x14ac:dyDescent="0.35">
      <c r="B46" s="108" t="s">
        <v>129</v>
      </c>
      <c r="C46" s="109"/>
      <c r="D46" s="109"/>
      <c r="E46" s="109"/>
      <c r="F46" s="109"/>
      <c r="G46" s="110"/>
      <c r="H46" s="75" t="s">
        <v>130</v>
      </c>
      <c r="I46" s="75">
        <v>8100</v>
      </c>
      <c r="J46" s="76">
        <v>12</v>
      </c>
      <c r="K46" s="76">
        <f t="shared" si="0"/>
        <v>97200</v>
      </c>
      <c r="L46" s="77"/>
    </row>
    <row r="47" spans="2:12" s="74" customFormat="1" ht="15" thickBot="1" x14ac:dyDescent="0.35">
      <c r="B47" s="96" t="s">
        <v>101</v>
      </c>
      <c r="C47" s="97"/>
      <c r="D47" s="97"/>
      <c r="E47" s="97"/>
      <c r="F47" s="97"/>
      <c r="G47" s="97"/>
      <c r="H47" s="97"/>
      <c r="I47" s="97"/>
      <c r="J47" s="97"/>
      <c r="K47" s="98"/>
      <c r="L47" s="82">
        <f>(K41+K42+K43+K44+K45+K46)/I40</f>
        <v>530.95933351370002</v>
      </c>
    </row>
    <row r="48" spans="2:12" s="74" customFormat="1" x14ac:dyDescent="0.3">
      <c r="B48" s="116" t="s">
        <v>137</v>
      </c>
      <c r="C48" s="117"/>
      <c r="D48" s="117"/>
      <c r="E48" s="117"/>
      <c r="F48" s="117"/>
      <c r="G48" s="118"/>
      <c r="H48" s="84" t="s">
        <v>4</v>
      </c>
      <c r="I48" s="84">
        <v>3472.38</v>
      </c>
      <c r="J48" s="85"/>
      <c r="K48" s="85">
        <f t="shared" si="0"/>
        <v>0</v>
      </c>
      <c r="L48" s="84"/>
    </row>
    <row r="49" spans="2:13" s="78" customFormat="1" x14ac:dyDescent="0.3">
      <c r="B49" s="108" t="s">
        <v>122</v>
      </c>
      <c r="C49" s="109"/>
      <c r="D49" s="109"/>
      <c r="E49" s="109"/>
      <c r="F49" s="109"/>
      <c r="G49" s="110"/>
      <c r="H49" s="75" t="s">
        <v>36</v>
      </c>
      <c r="I49" s="75">
        <v>390</v>
      </c>
      <c r="J49" s="76">
        <v>1750</v>
      </c>
      <c r="K49" s="76">
        <f t="shared" si="0"/>
        <v>682500</v>
      </c>
      <c r="L49" s="77"/>
    </row>
    <row r="50" spans="2:13" s="78" customFormat="1" x14ac:dyDescent="0.3">
      <c r="B50" s="108" t="s">
        <v>123</v>
      </c>
      <c r="C50" s="109"/>
      <c r="D50" s="109"/>
      <c r="E50" s="109"/>
      <c r="F50" s="109"/>
      <c r="G50" s="110"/>
      <c r="H50" s="75" t="s">
        <v>97</v>
      </c>
      <c r="I50" s="75">
        <v>1280</v>
      </c>
      <c r="J50" s="76">
        <v>225</v>
      </c>
      <c r="K50" s="76">
        <f t="shared" si="0"/>
        <v>288000</v>
      </c>
      <c r="L50" s="75"/>
      <c r="M50" s="78" t="s">
        <v>138</v>
      </c>
    </row>
    <row r="51" spans="2:13" s="74" customFormat="1" ht="28.8" x14ac:dyDescent="0.3">
      <c r="B51" s="108" t="s">
        <v>124</v>
      </c>
      <c r="C51" s="109"/>
      <c r="D51" s="109"/>
      <c r="E51" s="109"/>
      <c r="F51" s="109"/>
      <c r="G51" s="110"/>
      <c r="H51" s="75" t="s">
        <v>97</v>
      </c>
      <c r="I51" s="75">
        <v>1823</v>
      </c>
      <c r="J51" s="86">
        <v>290</v>
      </c>
      <c r="K51" s="86">
        <f t="shared" si="0"/>
        <v>528670</v>
      </c>
      <c r="L51" s="77" t="s">
        <v>139</v>
      </c>
    </row>
    <row r="52" spans="2:13" s="78" customFormat="1" x14ac:dyDescent="0.3">
      <c r="B52" s="108" t="s">
        <v>126</v>
      </c>
      <c r="C52" s="109"/>
      <c r="D52" s="109"/>
      <c r="E52" s="109"/>
      <c r="F52" s="109"/>
      <c r="G52" s="110"/>
      <c r="H52" s="75" t="s">
        <v>27</v>
      </c>
      <c r="I52" s="75">
        <v>36</v>
      </c>
      <c r="J52" s="76">
        <v>450</v>
      </c>
      <c r="K52" s="76">
        <f t="shared" si="0"/>
        <v>16200</v>
      </c>
      <c r="L52" s="77"/>
    </row>
    <row r="53" spans="2:13" s="78" customFormat="1" x14ac:dyDescent="0.3">
      <c r="B53" s="108" t="s">
        <v>127</v>
      </c>
      <c r="C53" s="109"/>
      <c r="D53" s="109"/>
      <c r="E53" s="109"/>
      <c r="F53" s="109"/>
      <c r="G53" s="110"/>
      <c r="H53" s="75" t="s">
        <v>128</v>
      </c>
      <c r="I53" s="75">
        <v>50</v>
      </c>
      <c r="J53" s="76">
        <v>100</v>
      </c>
      <c r="K53" s="76">
        <f t="shared" si="0"/>
        <v>5000</v>
      </c>
      <c r="L53" s="75"/>
    </row>
    <row r="54" spans="2:13" s="78" customFormat="1" ht="15" thickBot="1" x14ac:dyDescent="0.35">
      <c r="B54" s="108" t="s">
        <v>129</v>
      </c>
      <c r="C54" s="109"/>
      <c r="D54" s="109"/>
      <c r="E54" s="109"/>
      <c r="F54" s="109"/>
      <c r="G54" s="110"/>
      <c r="H54" s="75" t="s">
        <v>130</v>
      </c>
      <c r="I54" s="75">
        <v>3000</v>
      </c>
      <c r="J54" s="76">
        <v>12</v>
      </c>
      <c r="K54" s="76">
        <f t="shared" si="0"/>
        <v>36000</v>
      </c>
      <c r="L54" s="75"/>
    </row>
    <row r="55" spans="2:13" s="74" customFormat="1" ht="15" thickBot="1" x14ac:dyDescent="0.35">
      <c r="B55" s="96" t="s">
        <v>101</v>
      </c>
      <c r="C55" s="97"/>
      <c r="D55" s="97"/>
      <c r="E55" s="97"/>
      <c r="F55" s="97"/>
      <c r="G55" s="97"/>
      <c r="H55" s="97"/>
      <c r="I55" s="97"/>
      <c r="J55" s="97"/>
      <c r="K55" s="98"/>
      <c r="L55" s="82">
        <f>(K49+K50+K52+K53+K54+K51)/I48</f>
        <v>448.21419314706338</v>
      </c>
    </row>
    <row r="56" spans="2:13" s="74" customFormat="1" x14ac:dyDescent="0.3">
      <c r="B56" s="116" t="s">
        <v>140</v>
      </c>
      <c r="C56" s="117"/>
      <c r="D56" s="117"/>
      <c r="E56" s="117"/>
      <c r="F56" s="117"/>
      <c r="G56" s="118"/>
      <c r="H56" s="84" t="s">
        <v>4</v>
      </c>
      <c r="I56" s="84">
        <v>3472.38</v>
      </c>
      <c r="J56" s="85"/>
      <c r="K56" s="85">
        <f t="shared" si="0"/>
        <v>0</v>
      </c>
      <c r="L56" s="84"/>
    </row>
    <row r="57" spans="2:13" s="78" customFormat="1" ht="29.4" thickBot="1" x14ac:dyDescent="0.35">
      <c r="B57" s="108" t="s">
        <v>141</v>
      </c>
      <c r="C57" s="109"/>
      <c r="D57" s="109"/>
      <c r="E57" s="109"/>
      <c r="F57" s="109"/>
      <c r="G57" s="110"/>
      <c r="H57" s="75" t="s">
        <v>97</v>
      </c>
      <c r="I57" s="75">
        <v>35</v>
      </c>
      <c r="J57" s="76">
        <v>1370</v>
      </c>
      <c r="K57" s="76">
        <f t="shared" si="0"/>
        <v>47950</v>
      </c>
      <c r="L57" s="77" t="s">
        <v>142</v>
      </c>
    </row>
    <row r="58" spans="2:13" s="74" customFormat="1" ht="15" thickBot="1" x14ac:dyDescent="0.35">
      <c r="B58" s="96" t="s">
        <v>101</v>
      </c>
      <c r="C58" s="97"/>
      <c r="D58" s="97"/>
      <c r="E58" s="97"/>
      <c r="F58" s="97"/>
      <c r="G58" s="97"/>
      <c r="H58" s="97"/>
      <c r="I58" s="97"/>
      <c r="J58" s="97"/>
      <c r="K58" s="98"/>
      <c r="L58" s="82">
        <f>K57/I56</f>
        <v>13.808972520288677</v>
      </c>
    </row>
    <row r="59" spans="2:13" s="74" customFormat="1" x14ac:dyDescent="0.3">
      <c r="B59" s="116" t="s">
        <v>143</v>
      </c>
      <c r="C59" s="117"/>
      <c r="D59" s="117"/>
      <c r="E59" s="117"/>
      <c r="F59" s="117"/>
      <c r="G59" s="118"/>
      <c r="H59" s="84" t="s">
        <v>4</v>
      </c>
      <c r="I59" s="84">
        <v>3544.68</v>
      </c>
      <c r="J59" s="85"/>
      <c r="K59" s="85">
        <f t="shared" si="0"/>
        <v>0</v>
      </c>
      <c r="L59" s="87"/>
    </row>
    <row r="60" spans="2:13" s="78" customFormat="1" ht="31.5" customHeight="1" thickBot="1" x14ac:dyDescent="0.35">
      <c r="B60" s="108" t="s">
        <v>144</v>
      </c>
      <c r="C60" s="109"/>
      <c r="D60" s="109"/>
      <c r="E60" s="109"/>
      <c r="F60" s="109"/>
      <c r="G60" s="110"/>
      <c r="H60" s="75" t="s">
        <v>97</v>
      </c>
      <c r="I60" s="75">
        <v>178</v>
      </c>
      <c r="J60" s="76">
        <v>9800</v>
      </c>
      <c r="K60" s="76">
        <f t="shared" si="0"/>
        <v>1744400</v>
      </c>
      <c r="L60" s="88" t="s">
        <v>145</v>
      </c>
    </row>
    <row r="61" spans="2:13" s="74" customFormat="1" ht="15" thickBot="1" x14ac:dyDescent="0.35">
      <c r="B61" s="96" t="s">
        <v>101</v>
      </c>
      <c r="C61" s="97"/>
      <c r="D61" s="97"/>
      <c r="E61" s="97"/>
      <c r="F61" s="97"/>
      <c r="G61" s="97"/>
      <c r="H61" s="97"/>
      <c r="I61" s="97"/>
      <c r="J61" s="97"/>
      <c r="K61" s="98"/>
      <c r="L61" s="82">
        <f>K60/I59</f>
        <v>492.11776521434939</v>
      </c>
    </row>
    <row r="62" spans="2:13" s="74" customFormat="1" x14ac:dyDescent="0.3">
      <c r="B62" s="116" t="s">
        <v>146</v>
      </c>
      <c r="C62" s="117"/>
      <c r="D62" s="117"/>
      <c r="E62" s="117"/>
      <c r="F62" s="117"/>
      <c r="G62" s="118"/>
      <c r="H62" s="84" t="s">
        <v>4</v>
      </c>
      <c r="I62" s="84">
        <v>2709.31</v>
      </c>
      <c r="J62" s="85"/>
      <c r="K62" s="85">
        <f t="shared" si="0"/>
        <v>0</v>
      </c>
      <c r="L62" s="87"/>
    </row>
    <row r="63" spans="2:13" s="78" customFormat="1" ht="28.8" x14ac:dyDescent="0.3">
      <c r="B63" s="108" t="s">
        <v>147</v>
      </c>
      <c r="C63" s="109"/>
      <c r="D63" s="109"/>
      <c r="E63" s="109"/>
      <c r="F63" s="109"/>
      <c r="G63" s="110"/>
      <c r="H63" s="75" t="s">
        <v>97</v>
      </c>
      <c r="I63" s="75">
        <v>759</v>
      </c>
      <c r="J63" s="76">
        <v>2910</v>
      </c>
      <c r="K63" s="76">
        <f t="shared" si="0"/>
        <v>2208690</v>
      </c>
      <c r="L63" s="77" t="s">
        <v>148</v>
      </c>
      <c r="M63" s="78">
        <f>758.6+184.4</f>
        <v>943</v>
      </c>
    </row>
    <row r="64" spans="2:13" s="78" customFormat="1" ht="15" thickBot="1" x14ac:dyDescent="0.35">
      <c r="B64" s="108" t="s">
        <v>149</v>
      </c>
      <c r="C64" s="109"/>
      <c r="D64" s="109"/>
      <c r="E64" s="109"/>
      <c r="F64" s="109"/>
      <c r="G64" s="110"/>
      <c r="H64" s="75" t="s">
        <v>97</v>
      </c>
      <c r="I64" s="75">
        <f>2500/10</f>
        <v>250</v>
      </c>
      <c r="J64" s="76">
        <v>1844</v>
      </c>
      <c r="K64" s="76">
        <f t="shared" si="0"/>
        <v>461000</v>
      </c>
      <c r="L64" s="75"/>
      <c r="M64" s="78">
        <f>M63*1.02</f>
        <v>961.86</v>
      </c>
    </row>
    <row r="65" spans="2:12" s="74" customFormat="1" ht="15" thickBot="1" x14ac:dyDescent="0.35">
      <c r="B65" s="96" t="s">
        <v>101</v>
      </c>
      <c r="C65" s="97"/>
      <c r="D65" s="97"/>
      <c r="E65" s="97"/>
      <c r="F65" s="97"/>
      <c r="G65" s="97"/>
      <c r="H65" s="97"/>
      <c r="I65" s="97"/>
      <c r="J65" s="97"/>
      <c r="K65" s="98"/>
      <c r="L65" s="82">
        <f>(K63+K64)/I62</f>
        <v>985.37635043608896</v>
      </c>
    </row>
    <row r="66" spans="2:12" s="74" customFormat="1" x14ac:dyDescent="0.3">
      <c r="B66" s="116" t="s">
        <v>150</v>
      </c>
      <c r="C66" s="117"/>
      <c r="D66" s="117"/>
      <c r="E66" s="117"/>
      <c r="F66" s="117"/>
      <c r="G66" s="118"/>
      <c r="H66" s="84" t="s">
        <v>4</v>
      </c>
      <c r="I66" s="84">
        <v>3755.31</v>
      </c>
      <c r="J66" s="85"/>
      <c r="K66" s="85">
        <f t="shared" si="0"/>
        <v>0</v>
      </c>
      <c r="L66" s="84"/>
    </row>
    <row r="67" spans="2:12" s="78" customFormat="1" ht="30.75" customHeight="1" x14ac:dyDescent="0.3">
      <c r="B67" s="119" t="s">
        <v>153</v>
      </c>
      <c r="C67" s="120"/>
      <c r="D67" s="120"/>
      <c r="E67" s="120"/>
      <c r="F67" s="120"/>
      <c r="G67" s="121"/>
      <c r="H67" s="75" t="s">
        <v>27</v>
      </c>
      <c r="I67" s="75">
        <v>1.8</v>
      </c>
      <c r="J67" s="76">
        <v>350</v>
      </c>
      <c r="K67" s="76">
        <f t="shared" si="0"/>
        <v>630</v>
      </c>
      <c r="L67" s="89">
        <f>K67</f>
        <v>630</v>
      </c>
    </row>
    <row r="68" spans="2:12" s="78" customFormat="1" ht="15" thickBot="1" x14ac:dyDescent="0.35">
      <c r="B68" s="108" t="s">
        <v>151</v>
      </c>
      <c r="C68" s="109"/>
      <c r="D68" s="109"/>
      <c r="E68" s="109"/>
      <c r="F68" s="109"/>
      <c r="G68" s="110"/>
      <c r="H68" s="75" t="s">
        <v>154</v>
      </c>
      <c r="I68" s="75">
        <v>1</v>
      </c>
      <c r="J68" s="76">
        <v>258.7</v>
      </c>
      <c r="K68" s="76">
        <f t="shared" si="0"/>
        <v>258.7</v>
      </c>
      <c r="L68" s="90">
        <f>K68</f>
        <v>258.7</v>
      </c>
    </row>
    <row r="69" spans="2:12" s="74" customFormat="1" ht="15" thickBot="1" x14ac:dyDescent="0.35">
      <c r="B69" s="96" t="s">
        <v>101</v>
      </c>
      <c r="C69" s="97"/>
      <c r="D69" s="97"/>
      <c r="E69" s="97"/>
      <c r="F69" s="97"/>
      <c r="G69" s="97"/>
      <c r="H69" s="97"/>
      <c r="I69" s="97"/>
      <c r="J69" s="97"/>
      <c r="K69" s="98"/>
      <c r="L69" s="82">
        <f>L67+L68</f>
        <v>888.7</v>
      </c>
    </row>
    <row r="70" spans="2:12" x14ac:dyDescent="0.3">
      <c r="B70" s="123"/>
      <c r="C70" s="123"/>
      <c r="D70" s="123"/>
      <c r="E70" s="123"/>
      <c r="F70" s="123"/>
      <c r="G70" s="123"/>
    </row>
    <row r="71" spans="2:12" x14ac:dyDescent="0.3">
      <c r="B71" s="123"/>
      <c r="C71" s="123"/>
      <c r="D71" s="123"/>
      <c r="E71" s="123"/>
      <c r="F71" s="123"/>
      <c r="G71" s="123"/>
    </row>
    <row r="72" spans="2:12" x14ac:dyDescent="0.3">
      <c r="B72" s="123"/>
      <c r="C72" s="123"/>
      <c r="D72" s="123"/>
      <c r="E72" s="123"/>
      <c r="F72" s="123"/>
      <c r="G72" s="123"/>
    </row>
    <row r="73" spans="2:12" x14ac:dyDescent="0.3">
      <c r="B73" s="123"/>
      <c r="C73" s="123"/>
      <c r="D73" s="123"/>
      <c r="E73" s="123"/>
      <c r="F73" s="123"/>
      <c r="G73" s="123"/>
    </row>
  </sheetData>
  <mergeCells count="73">
    <mergeCell ref="O23:S23"/>
    <mergeCell ref="B73:G73"/>
    <mergeCell ref="B62:G62"/>
    <mergeCell ref="B63:G63"/>
    <mergeCell ref="B64:G64"/>
    <mergeCell ref="B65:K65"/>
    <mergeCell ref="B66:G66"/>
    <mergeCell ref="B67:G67"/>
    <mergeCell ref="B68:G68"/>
    <mergeCell ref="B69:K69"/>
    <mergeCell ref="B70:G70"/>
    <mergeCell ref="B71:G71"/>
    <mergeCell ref="B72:G72"/>
    <mergeCell ref="B61:K61"/>
    <mergeCell ref="B50:G50"/>
    <mergeCell ref="B51:G51"/>
    <mergeCell ref="B57:G57"/>
    <mergeCell ref="B58:K58"/>
    <mergeCell ref="B59:G59"/>
    <mergeCell ref="B60:G60"/>
    <mergeCell ref="B49:G49"/>
    <mergeCell ref="B52:G52"/>
    <mergeCell ref="B53:G53"/>
    <mergeCell ref="B54:G54"/>
    <mergeCell ref="B55:K55"/>
    <mergeCell ref="B56:G56"/>
    <mergeCell ref="B46:G46"/>
    <mergeCell ref="B47:K47"/>
    <mergeCell ref="B38:G38"/>
    <mergeCell ref="B39:K39"/>
    <mergeCell ref="B40:G40"/>
    <mergeCell ref="B41:G41"/>
    <mergeCell ref="B42:G42"/>
    <mergeCell ref="B48:G48"/>
    <mergeCell ref="B37:G37"/>
    <mergeCell ref="B26:G26"/>
    <mergeCell ref="B27:G27"/>
    <mergeCell ref="B28:G28"/>
    <mergeCell ref="B29:G29"/>
    <mergeCell ref="B30:K30"/>
    <mergeCell ref="B31:G31"/>
    <mergeCell ref="B32:G32"/>
    <mergeCell ref="B33:G33"/>
    <mergeCell ref="B34:G34"/>
    <mergeCell ref="B35:G35"/>
    <mergeCell ref="B36:G36"/>
    <mergeCell ref="B43:G43"/>
    <mergeCell ref="B44:G44"/>
    <mergeCell ref="B45:G45"/>
    <mergeCell ref="B25:G25"/>
    <mergeCell ref="B14:G14"/>
    <mergeCell ref="B15:G15"/>
    <mergeCell ref="B16:G16"/>
    <mergeCell ref="B17:G17"/>
    <mergeCell ref="B18:K18"/>
    <mergeCell ref="B19:G19"/>
    <mergeCell ref="B20:G20"/>
    <mergeCell ref="B21:G21"/>
    <mergeCell ref="B22:K22"/>
    <mergeCell ref="B23:G23"/>
    <mergeCell ref="B24:G24"/>
    <mergeCell ref="B13:K13"/>
    <mergeCell ref="B2:L2"/>
    <mergeCell ref="B3:G3"/>
    <mergeCell ref="B4:G4"/>
    <mergeCell ref="B5:G5"/>
    <mergeCell ref="B6:G6"/>
    <mergeCell ref="B7:K7"/>
    <mergeCell ref="B8:G8"/>
    <mergeCell ref="B9:G9"/>
    <mergeCell ref="B10:K10"/>
    <mergeCell ref="B11:G11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8"/>
  <sheetViews>
    <sheetView tabSelected="1" topLeftCell="A7" zoomScale="85" zoomScaleNormal="85" zoomScaleSheetLayoutView="85" workbookViewId="0">
      <selection activeCell="E25" sqref="E25"/>
    </sheetView>
  </sheetViews>
  <sheetFormatPr defaultColWidth="8.88671875" defaultRowHeight="15.6" x14ac:dyDescent="0.3"/>
  <cols>
    <col min="1" max="1" width="7.5546875" style="24" customWidth="1"/>
    <col min="2" max="2" width="64.6640625" style="41" customWidth="1"/>
    <col min="3" max="3" width="9.33203125" style="28" customWidth="1"/>
    <col min="4" max="4" width="12" style="28" customWidth="1"/>
    <col min="5" max="5" width="14.33203125" style="32" customWidth="1"/>
    <col min="6" max="6" width="13.88671875" style="28" customWidth="1"/>
    <col min="7" max="7" width="13" style="28" customWidth="1"/>
    <col min="8" max="8" width="19.44140625" style="28" customWidth="1"/>
    <col min="9" max="9" width="19.21875" style="28" customWidth="1"/>
    <col min="10" max="10" width="20.21875" style="28" customWidth="1"/>
    <col min="11" max="11" width="22" style="28" customWidth="1"/>
    <col min="12" max="12" width="11.88671875" style="28" bestFit="1" customWidth="1"/>
    <col min="13" max="16384" width="8.88671875" style="28"/>
  </cols>
  <sheetData>
    <row r="1" spans="1:11" x14ac:dyDescent="0.3">
      <c r="K1" s="33" t="s">
        <v>17</v>
      </c>
    </row>
    <row r="2" spans="1:11" x14ac:dyDescent="0.3">
      <c r="K2" s="33" t="s">
        <v>22</v>
      </c>
    </row>
    <row r="3" spans="1:11" x14ac:dyDescent="0.3">
      <c r="K3" s="33" t="s">
        <v>21</v>
      </c>
    </row>
    <row r="4" spans="1:11" x14ac:dyDescent="0.3">
      <c r="K4" s="33"/>
    </row>
    <row r="5" spans="1:11" x14ac:dyDescent="0.3">
      <c r="A5" s="125" t="s">
        <v>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68.25" customHeight="1" x14ac:dyDescent="0.3">
      <c r="A6" s="124" t="s">
        <v>89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x14ac:dyDescent="0.3">
      <c r="A7" s="128" t="s">
        <v>16</v>
      </c>
      <c r="B7" s="129" t="s">
        <v>0</v>
      </c>
      <c r="C7" s="126" t="s">
        <v>1</v>
      </c>
      <c r="D7" s="130" t="s">
        <v>2</v>
      </c>
      <c r="E7" s="126" t="s">
        <v>7</v>
      </c>
      <c r="F7" s="126"/>
      <c r="G7" s="126"/>
      <c r="H7" s="126" t="s">
        <v>8</v>
      </c>
      <c r="I7" s="126"/>
      <c r="J7" s="126"/>
      <c r="K7" s="127" t="s">
        <v>9</v>
      </c>
    </row>
    <row r="8" spans="1:11" x14ac:dyDescent="0.3">
      <c r="A8" s="128"/>
      <c r="B8" s="129"/>
      <c r="C8" s="126"/>
      <c r="D8" s="130"/>
      <c r="E8" s="126" t="s">
        <v>10</v>
      </c>
      <c r="F8" s="126"/>
      <c r="G8" s="126"/>
      <c r="H8" s="126" t="s">
        <v>10</v>
      </c>
      <c r="I8" s="126"/>
      <c r="J8" s="126"/>
      <c r="K8" s="127"/>
    </row>
    <row r="9" spans="1:11" x14ac:dyDescent="0.3">
      <c r="A9" s="128"/>
      <c r="B9" s="129"/>
      <c r="C9" s="126"/>
      <c r="D9" s="130"/>
      <c r="E9" s="15" t="s">
        <v>11</v>
      </c>
      <c r="F9" s="15" t="s">
        <v>12</v>
      </c>
      <c r="G9" s="15" t="s">
        <v>13</v>
      </c>
      <c r="H9" s="15" t="s">
        <v>11</v>
      </c>
      <c r="I9" s="15" t="s">
        <v>12</v>
      </c>
      <c r="J9" s="15" t="s">
        <v>13</v>
      </c>
      <c r="K9" s="127"/>
    </row>
    <row r="10" spans="1:11" x14ac:dyDescent="0.3">
      <c r="A10" s="16">
        <v>1</v>
      </c>
      <c r="B10" s="42">
        <v>2</v>
      </c>
      <c r="C10" s="15">
        <v>3</v>
      </c>
      <c r="D10" s="16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</row>
    <row r="11" spans="1:11" x14ac:dyDescent="0.3">
      <c r="A11" s="17"/>
      <c r="B11" s="43" t="s">
        <v>42</v>
      </c>
      <c r="C11" s="55"/>
      <c r="D11" s="56"/>
      <c r="E11" s="57"/>
      <c r="F11" s="55"/>
      <c r="G11" s="55"/>
      <c r="H11" s="55"/>
      <c r="I11" s="55"/>
      <c r="J11" s="55"/>
      <c r="K11" s="55"/>
    </row>
    <row r="12" spans="1:11" x14ac:dyDescent="0.3">
      <c r="A12" s="65">
        <v>1</v>
      </c>
      <c r="B12" s="44" t="s">
        <v>46</v>
      </c>
      <c r="C12" s="19" t="s">
        <v>60</v>
      </c>
      <c r="D12" s="3">
        <v>55.61</v>
      </c>
      <c r="E12" s="36"/>
      <c r="F12" s="20"/>
      <c r="G12" s="20"/>
      <c r="H12" s="21"/>
      <c r="I12" s="21"/>
      <c r="J12" s="21"/>
      <c r="K12" s="22" t="s">
        <v>81</v>
      </c>
    </row>
    <row r="13" spans="1:11" ht="31.2" x14ac:dyDescent="0.3">
      <c r="A13" s="65">
        <v>2</v>
      </c>
      <c r="B13" s="4" t="s">
        <v>41</v>
      </c>
      <c r="C13" s="19" t="s">
        <v>60</v>
      </c>
      <c r="D13" s="3">
        <f>D12</f>
        <v>55.61</v>
      </c>
      <c r="E13" s="66">
        <v>420</v>
      </c>
      <c r="F13" s="67">
        <v>400</v>
      </c>
      <c r="G13" s="20">
        <f>E13+F13</f>
        <v>820</v>
      </c>
      <c r="H13" s="21">
        <f>E13*D13</f>
        <v>23356.2</v>
      </c>
      <c r="I13" s="21">
        <f>F13*D13</f>
        <v>22244</v>
      </c>
      <c r="J13" s="21">
        <f>H13+I13</f>
        <v>45600.2</v>
      </c>
      <c r="K13" s="22" t="s">
        <v>81</v>
      </c>
    </row>
    <row r="14" spans="1:11" x14ac:dyDescent="0.3">
      <c r="A14" s="65">
        <v>4</v>
      </c>
      <c r="B14" s="44" t="s">
        <v>47</v>
      </c>
      <c r="C14" s="19" t="s">
        <v>60</v>
      </c>
      <c r="D14" s="3">
        <v>18.61</v>
      </c>
      <c r="E14" s="36"/>
      <c r="F14" s="20"/>
      <c r="G14" s="20"/>
      <c r="H14" s="21"/>
      <c r="I14" s="21"/>
      <c r="J14" s="21"/>
      <c r="K14" s="22" t="s">
        <v>81</v>
      </c>
    </row>
    <row r="15" spans="1:11" ht="31.2" x14ac:dyDescent="0.3">
      <c r="A15" s="65">
        <v>5</v>
      </c>
      <c r="B15" s="4" t="s">
        <v>72</v>
      </c>
      <c r="C15" s="19" t="s">
        <v>61</v>
      </c>
      <c r="D15" s="3">
        <f>D14*0.5</f>
        <v>9.3049999999999997</v>
      </c>
      <c r="E15" s="36">
        <v>5700</v>
      </c>
      <c r="F15" s="20">
        <v>1900</v>
      </c>
      <c r="G15" s="20">
        <f t="shared" ref="G15:G19" si="0">E15+F15</f>
        <v>7600</v>
      </c>
      <c r="H15" s="21">
        <f t="shared" ref="H15:H19" si="1">E15*D15</f>
        <v>53038.5</v>
      </c>
      <c r="I15" s="21">
        <f t="shared" ref="I15:I19" si="2">F15*D15</f>
        <v>17679.5</v>
      </c>
      <c r="J15" s="21">
        <f t="shared" ref="J15:J19" si="3">H15+I15</f>
        <v>70718</v>
      </c>
      <c r="K15" s="22" t="s">
        <v>81</v>
      </c>
    </row>
    <row r="16" spans="1:11" x14ac:dyDescent="0.3">
      <c r="A16" s="65">
        <v>6</v>
      </c>
      <c r="B16" s="4" t="s">
        <v>58</v>
      </c>
      <c r="C16" s="19" t="s">
        <v>60</v>
      </c>
      <c r="D16" s="3">
        <v>19.5</v>
      </c>
      <c r="E16" s="36">
        <v>32</v>
      </c>
      <c r="F16" s="20">
        <v>15</v>
      </c>
      <c r="G16" s="20">
        <f t="shared" si="0"/>
        <v>47</v>
      </c>
      <c r="H16" s="21">
        <f t="shared" si="1"/>
        <v>624</v>
      </c>
      <c r="I16" s="21">
        <f t="shared" si="2"/>
        <v>292.5</v>
      </c>
      <c r="J16" s="21">
        <f t="shared" si="3"/>
        <v>916.5</v>
      </c>
      <c r="K16" s="22" t="s">
        <v>81</v>
      </c>
    </row>
    <row r="17" spans="1:11" x14ac:dyDescent="0.3">
      <c r="A17" s="65">
        <v>7</v>
      </c>
      <c r="B17" s="4" t="s">
        <v>59</v>
      </c>
      <c r="C17" s="19" t="s">
        <v>61</v>
      </c>
      <c r="D17" s="3">
        <f>D15*0.2</f>
        <v>1.861</v>
      </c>
      <c r="E17" s="66">
        <v>11152</v>
      </c>
      <c r="F17" s="20">
        <v>8000</v>
      </c>
      <c r="G17" s="20">
        <f t="shared" si="0"/>
        <v>19152</v>
      </c>
      <c r="H17" s="21">
        <f t="shared" si="1"/>
        <v>20753.871999999999</v>
      </c>
      <c r="I17" s="21">
        <f t="shared" si="2"/>
        <v>14888</v>
      </c>
      <c r="J17" s="21">
        <f t="shared" si="3"/>
        <v>35641.872000000003</v>
      </c>
      <c r="K17" s="22" t="s">
        <v>81</v>
      </c>
    </row>
    <row r="18" spans="1:11" ht="46.8" x14ac:dyDescent="0.3">
      <c r="A18" s="65">
        <v>8</v>
      </c>
      <c r="B18" s="4" t="s">
        <v>44</v>
      </c>
      <c r="C18" s="19" t="s">
        <v>43</v>
      </c>
      <c r="D18" s="3">
        <f>D14+2.9</f>
        <v>21.509999999999998</v>
      </c>
      <c r="E18" s="36">
        <v>990</v>
      </c>
      <c r="F18" s="20">
        <v>900</v>
      </c>
      <c r="G18" s="20">
        <f t="shared" si="0"/>
        <v>1890</v>
      </c>
      <c r="H18" s="21">
        <f t="shared" si="1"/>
        <v>21294.899999999998</v>
      </c>
      <c r="I18" s="21">
        <f t="shared" si="2"/>
        <v>19359</v>
      </c>
      <c r="J18" s="21">
        <f t="shared" si="3"/>
        <v>40653.899999999994</v>
      </c>
      <c r="K18" s="22" t="s">
        <v>81</v>
      </c>
    </row>
    <row r="19" spans="1:11" s="37" customFormat="1" ht="62.4" x14ac:dyDescent="0.3">
      <c r="A19" s="65">
        <v>9</v>
      </c>
      <c r="B19" s="45" t="s">
        <v>86</v>
      </c>
      <c r="C19" s="19" t="s">
        <v>60</v>
      </c>
      <c r="D19" s="3">
        <f>D14</f>
        <v>18.61</v>
      </c>
      <c r="E19" s="36">
        <v>567.40559999999994</v>
      </c>
      <c r="F19" s="21">
        <v>570</v>
      </c>
      <c r="G19" s="20">
        <f t="shared" si="0"/>
        <v>1137.4056</v>
      </c>
      <c r="H19" s="21">
        <f t="shared" si="1"/>
        <v>10559.418215999998</v>
      </c>
      <c r="I19" s="21">
        <f t="shared" si="2"/>
        <v>10607.699999999999</v>
      </c>
      <c r="J19" s="21">
        <f t="shared" si="3"/>
        <v>21167.118215999995</v>
      </c>
      <c r="K19" s="22" t="s">
        <v>81</v>
      </c>
    </row>
    <row r="20" spans="1:11" x14ac:dyDescent="0.3">
      <c r="A20" s="65">
        <v>11</v>
      </c>
      <c r="B20" s="44" t="s">
        <v>48</v>
      </c>
      <c r="C20" s="19" t="s">
        <v>60</v>
      </c>
      <c r="D20" s="3"/>
      <c r="E20" s="36"/>
      <c r="F20" s="20"/>
      <c r="G20" s="20"/>
      <c r="H20" s="21"/>
      <c r="I20" s="21"/>
      <c r="J20" s="21"/>
      <c r="K20" s="22" t="s">
        <v>81</v>
      </c>
    </row>
    <row r="21" spans="1:11" ht="31.2" x14ac:dyDescent="0.3">
      <c r="A21" s="65">
        <v>12</v>
      </c>
      <c r="B21" s="4" t="s">
        <v>72</v>
      </c>
      <c r="C21" s="19" t="s">
        <v>61</v>
      </c>
      <c r="D21" s="3"/>
      <c r="E21" s="36"/>
      <c r="F21" s="20"/>
      <c r="G21" s="20"/>
      <c r="H21" s="21"/>
      <c r="I21" s="21"/>
      <c r="J21" s="21"/>
      <c r="K21" s="22" t="s">
        <v>81</v>
      </c>
    </row>
    <row r="22" spans="1:11" x14ac:dyDescent="0.3">
      <c r="A22" s="65">
        <v>13</v>
      </c>
      <c r="B22" s="4" t="s">
        <v>58</v>
      </c>
      <c r="C22" s="19" t="s">
        <v>60</v>
      </c>
      <c r="D22" s="3"/>
      <c r="E22" s="36"/>
      <c r="F22" s="20"/>
      <c r="G22" s="20"/>
      <c r="H22" s="21"/>
      <c r="I22" s="21"/>
      <c r="J22" s="21"/>
      <c r="K22" s="22" t="s">
        <v>81</v>
      </c>
    </row>
    <row r="23" spans="1:11" x14ac:dyDescent="0.3">
      <c r="A23" s="65">
        <v>14</v>
      </c>
      <c r="B23" s="4" t="s">
        <v>59</v>
      </c>
      <c r="C23" s="19" t="s">
        <v>61</v>
      </c>
      <c r="D23" s="3"/>
      <c r="E23" s="66"/>
      <c r="F23" s="20"/>
      <c r="G23" s="20"/>
      <c r="H23" s="21"/>
      <c r="I23" s="21"/>
      <c r="J23" s="21"/>
      <c r="K23" s="22" t="s">
        <v>81</v>
      </c>
    </row>
    <row r="24" spans="1:11" x14ac:dyDescent="0.3">
      <c r="A24" s="65">
        <v>15</v>
      </c>
      <c r="B24" s="44" t="s">
        <v>49</v>
      </c>
      <c r="C24" s="19" t="s">
        <v>60</v>
      </c>
      <c r="D24" s="3">
        <v>273.66000000000003</v>
      </c>
      <c r="E24" s="36"/>
      <c r="F24" s="21"/>
      <c r="G24" s="21"/>
      <c r="H24" s="21"/>
      <c r="I24" s="21"/>
      <c r="J24" s="21"/>
      <c r="K24" s="22" t="s">
        <v>81</v>
      </c>
    </row>
    <row r="25" spans="1:11" ht="31.2" x14ac:dyDescent="0.3">
      <c r="A25" s="65">
        <v>16</v>
      </c>
      <c r="B25" s="4" t="s">
        <v>72</v>
      </c>
      <c r="C25" s="19" t="s">
        <v>61</v>
      </c>
      <c r="D25" s="3">
        <f>D24*0.5</f>
        <v>136.83000000000001</v>
      </c>
      <c r="E25" s="36">
        <v>5700</v>
      </c>
      <c r="F25" s="20">
        <v>1900</v>
      </c>
      <c r="G25" s="20">
        <f t="shared" ref="G25:G27" si="4">E25+F25</f>
        <v>7600</v>
      </c>
      <c r="H25" s="21">
        <f t="shared" ref="H25:H27" si="5">E25*D25</f>
        <v>779931.00000000012</v>
      </c>
      <c r="I25" s="21">
        <f t="shared" ref="I25:I27" si="6">F25*D25</f>
        <v>259977.00000000003</v>
      </c>
      <c r="J25" s="21">
        <f t="shared" ref="J25:J27" si="7">H25+I25</f>
        <v>1039908.0000000001</v>
      </c>
      <c r="K25" s="22" t="s">
        <v>81</v>
      </c>
    </row>
    <row r="26" spans="1:11" x14ac:dyDescent="0.3">
      <c r="A26" s="65">
        <v>17</v>
      </c>
      <c r="B26" s="4" t="s">
        <v>58</v>
      </c>
      <c r="C26" s="19" t="s">
        <v>60</v>
      </c>
      <c r="D26" s="3">
        <f>D24</f>
        <v>273.66000000000003</v>
      </c>
      <c r="E26" s="36">
        <v>32</v>
      </c>
      <c r="F26" s="20">
        <v>15</v>
      </c>
      <c r="G26" s="20">
        <f t="shared" si="4"/>
        <v>47</v>
      </c>
      <c r="H26" s="21">
        <f t="shared" si="5"/>
        <v>8757.1200000000008</v>
      </c>
      <c r="I26" s="21">
        <f t="shared" si="6"/>
        <v>4104.9000000000005</v>
      </c>
      <c r="J26" s="21">
        <f t="shared" si="7"/>
        <v>12862.02</v>
      </c>
      <c r="K26" s="22" t="s">
        <v>81</v>
      </c>
    </row>
    <row r="27" spans="1:11" x14ac:dyDescent="0.3">
      <c r="A27" s="65">
        <v>18</v>
      </c>
      <c r="B27" s="4" t="s">
        <v>59</v>
      </c>
      <c r="C27" s="19" t="s">
        <v>61</v>
      </c>
      <c r="D27" s="3">
        <f>ROUND(D24*0.2,3)</f>
        <v>54.731999999999999</v>
      </c>
      <c r="E27" s="66">
        <v>11152</v>
      </c>
      <c r="F27" s="20">
        <v>8000</v>
      </c>
      <c r="G27" s="20">
        <f t="shared" si="4"/>
        <v>19152</v>
      </c>
      <c r="H27" s="21">
        <f t="shared" si="5"/>
        <v>610371.26399999997</v>
      </c>
      <c r="I27" s="21">
        <f t="shared" si="6"/>
        <v>437856</v>
      </c>
      <c r="J27" s="21">
        <f t="shared" si="7"/>
        <v>1048227.264</v>
      </c>
      <c r="K27" s="22" t="s">
        <v>81</v>
      </c>
    </row>
    <row r="28" spans="1:11" ht="62.4" x14ac:dyDescent="0.3">
      <c r="A28" s="65">
        <v>19</v>
      </c>
      <c r="B28" s="45" t="s">
        <v>82</v>
      </c>
      <c r="C28" s="19" t="s">
        <v>60</v>
      </c>
      <c r="D28" s="63">
        <f>D24</f>
        <v>273.66000000000003</v>
      </c>
      <c r="E28" s="36">
        <v>567.40559999999994</v>
      </c>
      <c r="F28" s="21">
        <v>570</v>
      </c>
      <c r="G28" s="20">
        <f>E28+F28</f>
        <v>1137.4056</v>
      </c>
      <c r="H28" s="21">
        <f>E28*D28</f>
        <v>155276.21649600001</v>
      </c>
      <c r="I28" s="21">
        <f>F28*D28</f>
        <v>155986.20000000001</v>
      </c>
      <c r="J28" s="21">
        <f>H28+I28</f>
        <v>311262.41649600002</v>
      </c>
      <c r="K28" s="22" t="s">
        <v>81</v>
      </c>
    </row>
    <row r="29" spans="1:11" x14ac:dyDescent="0.3">
      <c r="A29" s="65">
        <v>21</v>
      </c>
      <c r="B29" s="44" t="s">
        <v>78</v>
      </c>
      <c r="C29" s="19" t="s">
        <v>60</v>
      </c>
      <c r="D29" s="63">
        <v>26.7</v>
      </c>
      <c r="E29" s="36"/>
      <c r="F29" s="21"/>
      <c r="G29" s="21"/>
      <c r="H29" s="21"/>
      <c r="I29" s="21"/>
      <c r="J29" s="21"/>
      <c r="K29" s="22" t="s">
        <v>81</v>
      </c>
    </row>
    <row r="30" spans="1:11" ht="31.2" x14ac:dyDescent="0.3">
      <c r="A30" s="65">
        <v>22</v>
      </c>
      <c r="B30" s="4" t="s">
        <v>72</v>
      </c>
      <c r="C30" s="19" t="s">
        <v>61</v>
      </c>
      <c r="D30" s="3">
        <f>D29*0.5</f>
        <v>13.35</v>
      </c>
      <c r="E30" s="36">
        <v>5700</v>
      </c>
      <c r="F30" s="20">
        <v>1900</v>
      </c>
      <c r="G30" s="20">
        <f t="shared" ref="G30:G34" si="8">E30+F30</f>
        <v>7600</v>
      </c>
      <c r="H30" s="21">
        <f t="shared" ref="H30:H34" si="9">E30*D30</f>
        <v>76095</v>
      </c>
      <c r="I30" s="21">
        <f t="shared" ref="I30:I34" si="10">F30*D30</f>
        <v>25365</v>
      </c>
      <c r="J30" s="21">
        <f t="shared" ref="J30:J34" si="11">H30+I30</f>
        <v>101460</v>
      </c>
      <c r="K30" s="22" t="s">
        <v>81</v>
      </c>
    </row>
    <row r="31" spans="1:11" x14ac:dyDescent="0.3">
      <c r="A31" s="65">
        <v>23</v>
      </c>
      <c r="B31" s="4" t="s">
        <v>58</v>
      </c>
      <c r="C31" s="19" t="s">
        <v>60</v>
      </c>
      <c r="D31" s="3">
        <f>D29</f>
        <v>26.7</v>
      </c>
      <c r="E31" s="36">
        <v>32</v>
      </c>
      <c r="F31" s="20">
        <v>15</v>
      </c>
      <c r="G31" s="20">
        <f t="shared" si="8"/>
        <v>47</v>
      </c>
      <c r="H31" s="21">
        <f t="shared" si="9"/>
        <v>854.4</v>
      </c>
      <c r="I31" s="21">
        <f t="shared" si="10"/>
        <v>400.5</v>
      </c>
      <c r="J31" s="21">
        <f t="shared" si="11"/>
        <v>1254.9000000000001</v>
      </c>
      <c r="K31" s="22" t="s">
        <v>81</v>
      </c>
    </row>
    <row r="32" spans="1:11" x14ac:dyDescent="0.3">
      <c r="A32" s="65">
        <v>24</v>
      </c>
      <c r="B32" s="4" t="s">
        <v>59</v>
      </c>
      <c r="C32" s="19" t="s">
        <v>61</v>
      </c>
      <c r="D32" s="3">
        <f>ROUND(D29*0.2,3)</f>
        <v>5.34</v>
      </c>
      <c r="E32" s="66">
        <v>11152</v>
      </c>
      <c r="F32" s="20">
        <v>8000</v>
      </c>
      <c r="G32" s="20">
        <f t="shared" si="8"/>
        <v>19152</v>
      </c>
      <c r="H32" s="21">
        <f t="shared" si="9"/>
        <v>59551.68</v>
      </c>
      <c r="I32" s="21">
        <f t="shared" si="10"/>
        <v>42720</v>
      </c>
      <c r="J32" s="21">
        <f t="shared" si="11"/>
        <v>102271.67999999999</v>
      </c>
      <c r="K32" s="22" t="s">
        <v>81</v>
      </c>
    </row>
    <row r="33" spans="1:11" ht="62.4" x14ac:dyDescent="0.3">
      <c r="A33" s="65">
        <v>25</v>
      </c>
      <c r="B33" s="45" t="s">
        <v>82</v>
      </c>
      <c r="C33" s="19" t="s">
        <v>60</v>
      </c>
      <c r="D33" s="63">
        <f>D29</f>
        <v>26.7</v>
      </c>
      <c r="E33" s="36">
        <v>567.40559999999994</v>
      </c>
      <c r="F33" s="21">
        <v>570</v>
      </c>
      <c r="G33" s="20">
        <f t="shared" si="8"/>
        <v>1137.4056</v>
      </c>
      <c r="H33" s="21">
        <f t="shared" si="9"/>
        <v>15149.729519999997</v>
      </c>
      <c r="I33" s="21">
        <f t="shared" si="10"/>
        <v>15219</v>
      </c>
      <c r="J33" s="21">
        <f t="shared" si="11"/>
        <v>30368.729519999997</v>
      </c>
      <c r="K33" s="22" t="s">
        <v>81</v>
      </c>
    </row>
    <row r="34" spans="1:11" x14ac:dyDescent="0.3">
      <c r="A34" s="65">
        <v>27</v>
      </c>
      <c r="B34" s="4" t="s">
        <v>79</v>
      </c>
      <c r="C34" s="19" t="s">
        <v>60</v>
      </c>
      <c r="D34" s="3">
        <f>D29</f>
        <v>26.7</v>
      </c>
      <c r="E34" s="36">
        <v>588</v>
      </c>
      <c r="F34" s="21">
        <v>50</v>
      </c>
      <c r="G34" s="20">
        <f t="shared" si="8"/>
        <v>638</v>
      </c>
      <c r="H34" s="21">
        <f t="shared" si="9"/>
        <v>15699.6</v>
      </c>
      <c r="I34" s="21">
        <f t="shared" si="10"/>
        <v>1335</v>
      </c>
      <c r="J34" s="21">
        <f t="shared" si="11"/>
        <v>17034.599999999999</v>
      </c>
      <c r="K34" s="22" t="s">
        <v>81</v>
      </c>
    </row>
    <row r="35" spans="1:11" x14ac:dyDescent="0.3">
      <c r="A35" s="65">
        <v>28</v>
      </c>
      <c r="B35" s="44" t="s">
        <v>50</v>
      </c>
      <c r="C35" s="19" t="s">
        <v>60</v>
      </c>
      <c r="D35" s="63">
        <v>72.3</v>
      </c>
      <c r="E35" s="36"/>
      <c r="F35" s="21"/>
      <c r="G35" s="21"/>
      <c r="H35" s="21"/>
      <c r="I35" s="21"/>
      <c r="J35" s="21"/>
      <c r="K35" s="22" t="s">
        <v>81</v>
      </c>
    </row>
    <row r="36" spans="1:11" ht="31.2" x14ac:dyDescent="0.3">
      <c r="A36" s="65">
        <v>29</v>
      </c>
      <c r="B36" s="4" t="s">
        <v>72</v>
      </c>
      <c r="C36" s="19" t="s">
        <v>61</v>
      </c>
      <c r="D36" s="3">
        <f>D35*0.5</f>
        <v>36.15</v>
      </c>
      <c r="E36" s="36">
        <v>5700</v>
      </c>
      <c r="F36" s="20">
        <v>1900</v>
      </c>
      <c r="G36" s="20">
        <f t="shared" ref="G36:G42" si="12">E36+F36</f>
        <v>7600</v>
      </c>
      <c r="H36" s="21">
        <f t="shared" ref="H36:H42" si="13">E36*D36</f>
        <v>206055</v>
      </c>
      <c r="I36" s="21">
        <f t="shared" ref="I36:I42" si="14">F36*D36</f>
        <v>68685</v>
      </c>
      <c r="J36" s="21">
        <f t="shared" ref="J36:J42" si="15">H36+I36</f>
        <v>274740</v>
      </c>
      <c r="K36" s="22" t="s">
        <v>81</v>
      </c>
    </row>
    <row r="37" spans="1:11" x14ac:dyDescent="0.3">
      <c r="A37" s="65">
        <v>30</v>
      </c>
      <c r="B37" s="4" t="s">
        <v>58</v>
      </c>
      <c r="C37" s="19" t="s">
        <v>60</v>
      </c>
      <c r="D37" s="3">
        <f>D35</f>
        <v>72.3</v>
      </c>
      <c r="E37" s="36">
        <v>32</v>
      </c>
      <c r="F37" s="20">
        <v>15</v>
      </c>
      <c r="G37" s="20">
        <f t="shared" si="12"/>
        <v>47</v>
      </c>
      <c r="H37" s="21">
        <f t="shared" si="13"/>
        <v>2313.6</v>
      </c>
      <c r="I37" s="21">
        <f t="shared" si="14"/>
        <v>1084.5</v>
      </c>
      <c r="J37" s="21">
        <f t="shared" si="15"/>
        <v>3398.1</v>
      </c>
      <c r="K37" s="22" t="s">
        <v>81</v>
      </c>
    </row>
    <row r="38" spans="1:11" x14ac:dyDescent="0.3">
      <c r="A38" s="65">
        <v>31</v>
      </c>
      <c r="B38" s="4" t="s">
        <v>59</v>
      </c>
      <c r="C38" s="19" t="s">
        <v>61</v>
      </c>
      <c r="D38" s="3">
        <f>ROUND(D35*0.2,3)</f>
        <v>14.46</v>
      </c>
      <c r="E38" s="66">
        <v>11152</v>
      </c>
      <c r="F38" s="20">
        <v>8000</v>
      </c>
      <c r="G38" s="20">
        <f t="shared" si="12"/>
        <v>19152</v>
      </c>
      <c r="H38" s="21">
        <f t="shared" si="13"/>
        <v>161257.92000000001</v>
      </c>
      <c r="I38" s="21">
        <f t="shared" si="14"/>
        <v>115680</v>
      </c>
      <c r="J38" s="21">
        <f t="shared" si="15"/>
        <v>276937.92000000004</v>
      </c>
      <c r="K38" s="22" t="s">
        <v>81</v>
      </c>
    </row>
    <row r="39" spans="1:11" ht="46.8" x14ac:dyDescent="0.3">
      <c r="A39" s="65">
        <v>32</v>
      </c>
      <c r="B39" s="4" t="s">
        <v>44</v>
      </c>
      <c r="C39" s="19" t="s">
        <v>43</v>
      </c>
      <c r="D39" s="63">
        <f>D35+10.91</f>
        <v>83.21</v>
      </c>
      <c r="E39" s="36">
        <v>990</v>
      </c>
      <c r="F39" s="20">
        <v>900</v>
      </c>
      <c r="G39" s="20">
        <f t="shared" si="12"/>
        <v>1890</v>
      </c>
      <c r="H39" s="21">
        <f t="shared" si="13"/>
        <v>82377.899999999994</v>
      </c>
      <c r="I39" s="21">
        <f t="shared" si="14"/>
        <v>74889</v>
      </c>
      <c r="J39" s="21">
        <f t="shared" si="15"/>
        <v>157266.9</v>
      </c>
      <c r="K39" s="22" t="s">
        <v>81</v>
      </c>
    </row>
    <row r="40" spans="1:11" ht="46.8" x14ac:dyDescent="0.3">
      <c r="A40" s="65">
        <v>33</v>
      </c>
      <c r="B40" s="45" t="s">
        <v>84</v>
      </c>
      <c r="C40" s="19" t="s">
        <v>43</v>
      </c>
      <c r="D40" s="63">
        <f>D35</f>
        <v>72.3</v>
      </c>
      <c r="E40" s="36">
        <v>500</v>
      </c>
      <c r="F40" s="21">
        <v>380</v>
      </c>
      <c r="G40" s="20">
        <f t="shared" si="12"/>
        <v>880</v>
      </c>
      <c r="H40" s="21">
        <f t="shared" si="13"/>
        <v>36150</v>
      </c>
      <c r="I40" s="21">
        <f t="shared" si="14"/>
        <v>27474</v>
      </c>
      <c r="J40" s="21">
        <f t="shared" si="15"/>
        <v>63624</v>
      </c>
      <c r="K40" s="22" t="s">
        <v>81</v>
      </c>
    </row>
    <row r="41" spans="1:11" x14ac:dyDescent="0.3">
      <c r="A41" s="65">
        <v>34</v>
      </c>
      <c r="B41" s="4" t="s">
        <v>45</v>
      </c>
      <c r="C41" s="19" t="s">
        <v>43</v>
      </c>
      <c r="D41" s="63">
        <f>D35</f>
        <v>72.3</v>
      </c>
      <c r="E41" s="36">
        <v>32</v>
      </c>
      <c r="F41" s="20">
        <v>15</v>
      </c>
      <c r="G41" s="20">
        <f t="shared" si="12"/>
        <v>47</v>
      </c>
      <c r="H41" s="21">
        <f t="shared" si="13"/>
        <v>2313.6</v>
      </c>
      <c r="I41" s="21">
        <f t="shared" si="14"/>
        <v>1084.5</v>
      </c>
      <c r="J41" s="21">
        <f t="shared" si="15"/>
        <v>3398.1</v>
      </c>
      <c r="K41" s="22" t="s">
        <v>81</v>
      </c>
    </row>
    <row r="42" spans="1:11" ht="109.2" x14ac:dyDescent="0.3">
      <c r="A42" s="65">
        <v>35</v>
      </c>
      <c r="B42" s="45" t="s">
        <v>88</v>
      </c>
      <c r="C42" s="19" t="s">
        <v>43</v>
      </c>
      <c r="D42" s="3">
        <f>D35</f>
        <v>72.3</v>
      </c>
      <c r="E42" s="36">
        <v>482</v>
      </c>
      <c r="F42" s="21">
        <v>600</v>
      </c>
      <c r="G42" s="20">
        <f t="shared" si="12"/>
        <v>1082</v>
      </c>
      <c r="H42" s="21">
        <f t="shared" si="13"/>
        <v>34848.6</v>
      </c>
      <c r="I42" s="21">
        <f t="shared" si="14"/>
        <v>43380</v>
      </c>
      <c r="J42" s="21">
        <f t="shared" si="15"/>
        <v>78228.600000000006</v>
      </c>
      <c r="K42" s="22" t="s">
        <v>81</v>
      </c>
    </row>
    <row r="43" spans="1:11" x14ac:dyDescent="0.3">
      <c r="A43" s="65">
        <v>37</v>
      </c>
      <c r="B43" s="44" t="s">
        <v>51</v>
      </c>
      <c r="C43" s="19" t="s">
        <v>60</v>
      </c>
      <c r="D43" s="3">
        <v>64.98</v>
      </c>
      <c r="E43" s="36"/>
      <c r="F43" s="21"/>
      <c r="G43" s="21"/>
      <c r="H43" s="21"/>
      <c r="I43" s="21"/>
      <c r="J43" s="21"/>
      <c r="K43" s="22" t="s">
        <v>81</v>
      </c>
    </row>
    <row r="44" spans="1:11" ht="31.2" x14ac:dyDescent="0.3">
      <c r="A44" s="65">
        <v>38</v>
      </c>
      <c r="B44" s="4" t="s">
        <v>72</v>
      </c>
      <c r="C44" s="19" t="s">
        <v>61</v>
      </c>
      <c r="D44" s="3">
        <f>D43*0.5</f>
        <v>32.49</v>
      </c>
      <c r="E44" s="36">
        <v>5700</v>
      </c>
      <c r="F44" s="20">
        <v>1900</v>
      </c>
      <c r="G44" s="20">
        <f t="shared" ref="G44:G47" si="16">E44+F44</f>
        <v>7600</v>
      </c>
      <c r="H44" s="21">
        <f t="shared" ref="H44:H47" si="17">E44*D44</f>
        <v>185193</v>
      </c>
      <c r="I44" s="21">
        <f t="shared" ref="I44:I47" si="18">F44*D44</f>
        <v>61731.000000000007</v>
      </c>
      <c r="J44" s="21">
        <f t="shared" ref="J44:J47" si="19">H44+I44</f>
        <v>246924</v>
      </c>
      <c r="K44" s="22" t="s">
        <v>81</v>
      </c>
    </row>
    <row r="45" spans="1:11" x14ac:dyDescent="0.3">
      <c r="A45" s="65">
        <v>39</v>
      </c>
      <c r="B45" s="4" t="s">
        <v>58</v>
      </c>
      <c r="C45" s="19" t="s">
        <v>60</v>
      </c>
      <c r="D45" s="3">
        <f>D43</f>
        <v>64.98</v>
      </c>
      <c r="E45" s="36">
        <v>32</v>
      </c>
      <c r="F45" s="20">
        <v>15</v>
      </c>
      <c r="G45" s="20">
        <f t="shared" si="16"/>
        <v>47</v>
      </c>
      <c r="H45" s="21">
        <f t="shared" si="17"/>
        <v>2079.36</v>
      </c>
      <c r="I45" s="21">
        <f t="shared" si="18"/>
        <v>974.7</v>
      </c>
      <c r="J45" s="21">
        <f t="shared" si="19"/>
        <v>3054.0600000000004</v>
      </c>
      <c r="K45" s="22" t="s">
        <v>81</v>
      </c>
    </row>
    <row r="46" spans="1:11" x14ac:dyDescent="0.3">
      <c r="A46" s="65">
        <v>40</v>
      </c>
      <c r="B46" s="4" t="s">
        <v>59</v>
      </c>
      <c r="C46" s="19" t="s">
        <v>61</v>
      </c>
      <c r="D46" s="3">
        <f>ROUND(D43*0.2,3)</f>
        <v>12.996</v>
      </c>
      <c r="E46" s="66">
        <v>11152</v>
      </c>
      <c r="F46" s="20">
        <v>8000</v>
      </c>
      <c r="G46" s="20">
        <f t="shared" si="16"/>
        <v>19152</v>
      </c>
      <c r="H46" s="21">
        <f t="shared" si="17"/>
        <v>144931.39199999999</v>
      </c>
      <c r="I46" s="21">
        <f t="shared" si="18"/>
        <v>103968</v>
      </c>
      <c r="J46" s="21">
        <f t="shared" si="19"/>
        <v>248899.39199999999</v>
      </c>
      <c r="K46" s="22" t="s">
        <v>81</v>
      </c>
    </row>
    <row r="47" spans="1:11" ht="62.4" x14ac:dyDescent="0.3">
      <c r="A47" s="65">
        <v>41</v>
      </c>
      <c r="B47" s="45" t="s">
        <v>83</v>
      </c>
      <c r="C47" s="19" t="s">
        <v>60</v>
      </c>
      <c r="D47" s="3">
        <f>D43</f>
        <v>64.98</v>
      </c>
      <c r="E47" s="36">
        <f>531*1.02</f>
        <v>541.62</v>
      </c>
      <c r="F47" s="21">
        <v>570</v>
      </c>
      <c r="G47" s="20">
        <f t="shared" si="16"/>
        <v>1111.6199999999999</v>
      </c>
      <c r="H47" s="21">
        <f t="shared" si="17"/>
        <v>35194.467600000004</v>
      </c>
      <c r="I47" s="21">
        <f t="shared" si="18"/>
        <v>37038.600000000006</v>
      </c>
      <c r="J47" s="21">
        <f t="shared" si="19"/>
        <v>72233.067600000009</v>
      </c>
      <c r="K47" s="22" t="s">
        <v>81</v>
      </c>
    </row>
    <row r="48" spans="1:11" x14ac:dyDescent="0.3">
      <c r="A48" s="65">
        <v>42</v>
      </c>
      <c r="B48" s="44" t="s">
        <v>52</v>
      </c>
      <c r="C48" s="19" t="s">
        <v>60</v>
      </c>
      <c r="D48" s="3">
        <v>8.9700000000000006</v>
      </c>
      <c r="E48" s="36"/>
      <c r="F48" s="21"/>
      <c r="G48" s="21"/>
      <c r="H48" s="21"/>
      <c r="I48" s="21"/>
      <c r="J48" s="21"/>
      <c r="K48" s="22" t="s">
        <v>81</v>
      </c>
    </row>
    <row r="49" spans="1:11" ht="31.2" x14ac:dyDescent="0.3">
      <c r="A49" s="65">
        <v>43</v>
      </c>
      <c r="B49" s="4" t="s">
        <v>72</v>
      </c>
      <c r="C49" s="19" t="s">
        <v>61</v>
      </c>
      <c r="D49" s="3">
        <f>D48*0.5</f>
        <v>4.4850000000000003</v>
      </c>
      <c r="E49" s="36">
        <v>5700</v>
      </c>
      <c r="F49" s="20">
        <v>1900</v>
      </c>
      <c r="G49" s="20">
        <f t="shared" ref="G49:G52" si="20">E49+F49</f>
        <v>7600</v>
      </c>
      <c r="H49" s="21">
        <f t="shared" ref="H49:H52" si="21">E49*D49</f>
        <v>25564.500000000004</v>
      </c>
      <c r="I49" s="21">
        <f t="shared" ref="I49:I52" si="22">F49*D49</f>
        <v>8521.5</v>
      </c>
      <c r="J49" s="21">
        <f t="shared" ref="J49:J52" si="23">H49+I49</f>
        <v>34086</v>
      </c>
      <c r="K49" s="22" t="s">
        <v>81</v>
      </c>
    </row>
    <row r="50" spans="1:11" x14ac:dyDescent="0.3">
      <c r="A50" s="65">
        <v>44</v>
      </c>
      <c r="B50" s="4" t="s">
        <v>58</v>
      </c>
      <c r="C50" s="19" t="s">
        <v>60</v>
      </c>
      <c r="D50" s="3">
        <f>D48</f>
        <v>8.9700000000000006</v>
      </c>
      <c r="E50" s="36">
        <v>32</v>
      </c>
      <c r="F50" s="20">
        <v>15</v>
      </c>
      <c r="G50" s="20">
        <f t="shared" si="20"/>
        <v>47</v>
      </c>
      <c r="H50" s="21">
        <f t="shared" si="21"/>
        <v>287.04000000000002</v>
      </c>
      <c r="I50" s="21">
        <f t="shared" si="22"/>
        <v>134.55000000000001</v>
      </c>
      <c r="J50" s="21">
        <f t="shared" si="23"/>
        <v>421.59000000000003</v>
      </c>
      <c r="K50" s="22" t="s">
        <v>81</v>
      </c>
    </row>
    <row r="51" spans="1:11" x14ac:dyDescent="0.3">
      <c r="A51" s="65">
        <v>45</v>
      </c>
      <c r="B51" s="4" t="s">
        <v>59</v>
      </c>
      <c r="C51" s="19" t="s">
        <v>61</v>
      </c>
      <c r="D51" s="3">
        <f>ROUND(D48*0.2,3)</f>
        <v>1.794</v>
      </c>
      <c r="E51" s="66">
        <v>11152</v>
      </c>
      <c r="F51" s="20">
        <v>8000</v>
      </c>
      <c r="G51" s="20">
        <f t="shared" si="20"/>
        <v>19152</v>
      </c>
      <c r="H51" s="21">
        <f t="shared" si="21"/>
        <v>20006.688000000002</v>
      </c>
      <c r="I51" s="21">
        <f t="shared" si="22"/>
        <v>14352</v>
      </c>
      <c r="J51" s="21">
        <f t="shared" si="23"/>
        <v>34358.688000000002</v>
      </c>
      <c r="K51" s="22" t="s">
        <v>81</v>
      </c>
    </row>
    <row r="52" spans="1:11" ht="46.8" x14ac:dyDescent="0.3">
      <c r="A52" s="65">
        <v>46</v>
      </c>
      <c r="B52" s="45" t="s">
        <v>53</v>
      </c>
      <c r="C52" s="19" t="s">
        <v>60</v>
      </c>
      <c r="D52" s="3">
        <f>D48+3.08</f>
        <v>12.05</v>
      </c>
      <c r="E52" s="36">
        <v>962</v>
      </c>
      <c r="F52" s="21">
        <v>340</v>
      </c>
      <c r="G52" s="20">
        <f t="shared" si="20"/>
        <v>1302</v>
      </c>
      <c r="H52" s="21">
        <f t="shared" si="21"/>
        <v>11592.1</v>
      </c>
      <c r="I52" s="21">
        <f t="shared" si="22"/>
        <v>4097</v>
      </c>
      <c r="J52" s="21">
        <f t="shared" si="23"/>
        <v>15689.1</v>
      </c>
      <c r="K52" s="22" t="s">
        <v>81</v>
      </c>
    </row>
    <row r="53" spans="1:11" x14ac:dyDescent="0.3">
      <c r="A53" s="65">
        <v>47</v>
      </c>
      <c r="B53" s="44" t="s">
        <v>54</v>
      </c>
      <c r="C53" s="19" t="s">
        <v>60</v>
      </c>
      <c r="D53" s="63">
        <v>3.36</v>
      </c>
      <c r="E53" s="36"/>
      <c r="F53" s="21"/>
      <c r="G53" s="21"/>
      <c r="H53" s="21"/>
      <c r="I53" s="21"/>
      <c r="J53" s="21"/>
      <c r="K53" s="22" t="s">
        <v>81</v>
      </c>
    </row>
    <row r="54" spans="1:11" ht="31.2" x14ac:dyDescent="0.3">
      <c r="A54" s="65">
        <v>48</v>
      </c>
      <c r="B54" s="4" t="s">
        <v>72</v>
      </c>
      <c r="C54" s="19" t="s">
        <v>61</v>
      </c>
      <c r="D54" s="3">
        <f>D53*0.5</f>
        <v>1.68</v>
      </c>
      <c r="E54" s="36">
        <v>5700</v>
      </c>
      <c r="F54" s="20">
        <v>1900</v>
      </c>
      <c r="G54" s="20">
        <f t="shared" ref="G54:G58" si="24">E54+F54</f>
        <v>7600</v>
      </c>
      <c r="H54" s="21">
        <f t="shared" ref="H54:H58" si="25">E54*D54</f>
        <v>9576</v>
      </c>
      <c r="I54" s="21">
        <f t="shared" ref="I54:I58" si="26">F54*D54</f>
        <v>3192</v>
      </c>
      <c r="J54" s="21">
        <f t="shared" ref="J54:J58" si="27">H54+I54</f>
        <v>12768</v>
      </c>
      <c r="K54" s="22" t="s">
        <v>81</v>
      </c>
    </row>
    <row r="55" spans="1:11" x14ac:dyDescent="0.3">
      <c r="A55" s="65">
        <v>49</v>
      </c>
      <c r="B55" s="4" t="s">
        <v>58</v>
      </c>
      <c r="C55" s="19" t="s">
        <v>60</v>
      </c>
      <c r="D55" s="3">
        <f>D53</f>
        <v>3.36</v>
      </c>
      <c r="E55" s="36">
        <v>32</v>
      </c>
      <c r="F55" s="20">
        <v>15</v>
      </c>
      <c r="G55" s="20">
        <f t="shared" si="24"/>
        <v>47</v>
      </c>
      <c r="H55" s="21">
        <f t="shared" si="25"/>
        <v>107.52</v>
      </c>
      <c r="I55" s="21">
        <f t="shared" si="26"/>
        <v>50.4</v>
      </c>
      <c r="J55" s="21">
        <f t="shared" si="27"/>
        <v>157.91999999999999</v>
      </c>
      <c r="K55" s="22" t="s">
        <v>81</v>
      </c>
    </row>
    <row r="56" spans="1:11" x14ac:dyDescent="0.3">
      <c r="A56" s="65">
        <v>50</v>
      </c>
      <c r="B56" s="4" t="s">
        <v>59</v>
      </c>
      <c r="C56" s="19" t="s">
        <v>61</v>
      </c>
      <c r="D56" s="3">
        <f>ROUND(D53*0.2,3)</f>
        <v>0.67200000000000004</v>
      </c>
      <c r="E56" s="66">
        <v>11152</v>
      </c>
      <c r="F56" s="20">
        <v>8000</v>
      </c>
      <c r="G56" s="20">
        <f t="shared" si="24"/>
        <v>19152</v>
      </c>
      <c r="H56" s="21">
        <f t="shared" si="25"/>
        <v>7494.1440000000002</v>
      </c>
      <c r="I56" s="21">
        <f t="shared" si="26"/>
        <v>5376</v>
      </c>
      <c r="J56" s="21">
        <f t="shared" si="27"/>
        <v>12870.144</v>
      </c>
      <c r="K56" s="22" t="s">
        <v>81</v>
      </c>
    </row>
    <row r="57" spans="1:11" ht="46.8" x14ac:dyDescent="0.3">
      <c r="A57" s="65">
        <v>51</v>
      </c>
      <c r="B57" s="45" t="s">
        <v>53</v>
      </c>
      <c r="C57" s="19" t="s">
        <v>60</v>
      </c>
      <c r="D57" s="3">
        <f>D53+1.5</f>
        <v>4.8599999999999994</v>
      </c>
      <c r="E57" s="36">
        <v>962</v>
      </c>
      <c r="F57" s="21">
        <v>340</v>
      </c>
      <c r="G57" s="20">
        <f t="shared" si="24"/>
        <v>1302</v>
      </c>
      <c r="H57" s="21">
        <f t="shared" si="25"/>
        <v>4675.32</v>
      </c>
      <c r="I57" s="21">
        <f t="shared" si="26"/>
        <v>1652.3999999999999</v>
      </c>
      <c r="J57" s="21">
        <f t="shared" si="27"/>
        <v>6327.7199999999993</v>
      </c>
      <c r="K57" s="22" t="s">
        <v>81</v>
      </c>
    </row>
    <row r="58" spans="1:11" ht="62.4" x14ac:dyDescent="0.3">
      <c r="A58" s="65">
        <v>52</v>
      </c>
      <c r="B58" s="45" t="s">
        <v>83</v>
      </c>
      <c r="C58" s="19" t="s">
        <v>60</v>
      </c>
      <c r="D58" s="3">
        <f>D53</f>
        <v>3.36</v>
      </c>
      <c r="E58" s="36">
        <f>531*1.02</f>
        <v>541.62</v>
      </c>
      <c r="F58" s="21">
        <v>570</v>
      </c>
      <c r="G58" s="20">
        <f t="shared" si="24"/>
        <v>1111.6199999999999</v>
      </c>
      <c r="H58" s="21">
        <f t="shared" si="25"/>
        <v>1819.8432</v>
      </c>
      <c r="I58" s="21">
        <f t="shared" si="26"/>
        <v>1915.1999999999998</v>
      </c>
      <c r="J58" s="21">
        <f t="shared" si="27"/>
        <v>3735.0432000000001</v>
      </c>
      <c r="K58" s="22" t="s">
        <v>81</v>
      </c>
    </row>
    <row r="59" spans="1:11" x14ac:dyDescent="0.3">
      <c r="A59" s="65">
        <v>53</v>
      </c>
      <c r="B59" s="44" t="s">
        <v>55</v>
      </c>
      <c r="C59" s="19" t="s">
        <v>60</v>
      </c>
      <c r="D59" s="3">
        <v>33.299999999999997</v>
      </c>
      <c r="E59" s="36"/>
      <c r="F59" s="21"/>
      <c r="G59" s="21"/>
      <c r="H59" s="21"/>
      <c r="I59" s="21"/>
      <c r="J59" s="21"/>
      <c r="K59" s="22" t="s">
        <v>81</v>
      </c>
    </row>
    <row r="60" spans="1:11" ht="62.4" x14ac:dyDescent="0.3">
      <c r="A60" s="65">
        <v>54</v>
      </c>
      <c r="B60" s="45" t="s">
        <v>83</v>
      </c>
      <c r="C60" s="19" t="s">
        <v>60</v>
      </c>
      <c r="D60" s="3">
        <f>D59</f>
        <v>33.299999999999997</v>
      </c>
      <c r="E60" s="36">
        <f>531*1.02</f>
        <v>541.62</v>
      </c>
      <c r="F60" s="21">
        <v>570</v>
      </c>
      <c r="G60" s="20">
        <f>E60+F60</f>
        <v>1111.6199999999999</v>
      </c>
      <c r="H60" s="21">
        <f>E60*D60</f>
        <v>18035.946</v>
      </c>
      <c r="I60" s="21">
        <f>F60*D60</f>
        <v>18981</v>
      </c>
      <c r="J60" s="21">
        <f>H60+I60</f>
        <v>37016.945999999996</v>
      </c>
      <c r="K60" s="22" t="s">
        <v>81</v>
      </c>
    </row>
    <row r="61" spans="1:11" x14ac:dyDescent="0.3">
      <c r="A61" s="65">
        <v>55</v>
      </c>
      <c r="B61" s="44" t="s">
        <v>56</v>
      </c>
      <c r="C61" s="19" t="s">
        <v>60</v>
      </c>
      <c r="D61" s="3">
        <v>8.65</v>
      </c>
      <c r="E61" s="36"/>
      <c r="F61" s="21"/>
      <c r="G61" s="21"/>
      <c r="H61" s="21"/>
      <c r="I61" s="21"/>
      <c r="J61" s="21"/>
      <c r="K61" s="22" t="s">
        <v>81</v>
      </c>
    </row>
    <row r="62" spans="1:11" ht="46.8" x14ac:dyDescent="0.3">
      <c r="A62" s="65">
        <v>56</v>
      </c>
      <c r="B62" s="45" t="s">
        <v>53</v>
      </c>
      <c r="C62" s="19" t="s">
        <v>60</v>
      </c>
      <c r="D62" s="3">
        <f>D61+2.96</f>
        <v>11.61</v>
      </c>
      <c r="E62" s="36">
        <v>962</v>
      </c>
      <c r="F62" s="21">
        <v>340</v>
      </c>
      <c r="G62" s="20">
        <f>E62+F62</f>
        <v>1302</v>
      </c>
      <c r="H62" s="21">
        <f>E62*D62</f>
        <v>11168.82</v>
      </c>
      <c r="I62" s="21">
        <f>F62*D62</f>
        <v>3947.3999999999996</v>
      </c>
      <c r="J62" s="21">
        <f>H62+I62</f>
        <v>15116.22</v>
      </c>
      <c r="K62" s="22" t="s">
        <v>81</v>
      </c>
    </row>
    <row r="63" spans="1:11" x14ac:dyDescent="0.3">
      <c r="A63" s="65">
        <v>57</v>
      </c>
      <c r="B63" s="43" t="s">
        <v>57</v>
      </c>
      <c r="C63" s="18"/>
      <c r="D63" s="34"/>
      <c r="E63" s="35"/>
      <c r="F63" s="18"/>
      <c r="G63" s="18"/>
      <c r="H63" s="18"/>
      <c r="I63" s="18"/>
      <c r="J63" s="18"/>
      <c r="K63" s="18"/>
    </row>
    <row r="64" spans="1:11" x14ac:dyDescent="0.3">
      <c r="A64" s="65">
        <v>58</v>
      </c>
      <c r="B64" s="44" t="s">
        <v>46</v>
      </c>
      <c r="C64" s="19" t="s">
        <v>60</v>
      </c>
      <c r="D64" s="63">
        <v>34.22</v>
      </c>
      <c r="E64" s="36"/>
      <c r="F64" s="21"/>
      <c r="G64" s="21"/>
      <c r="H64" s="21"/>
      <c r="I64" s="21"/>
      <c r="J64" s="21"/>
      <c r="K64" s="22" t="s">
        <v>81</v>
      </c>
    </row>
    <row r="65" spans="1:12" ht="31.2" x14ac:dyDescent="0.3">
      <c r="A65" s="65">
        <v>59</v>
      </c>
      <c r="B65" s="4" t="s">
        <v>41</v>
      </c>
      <c r="C65" s="19" t="s">
        <v>60</v>
      </c>
      <c r="D65" s="3">
        <v>34.22</v>
      </c>
      <c r="E65" s="66">
        <v>420</v>
      </c>
      <c r="F65" s="67">
        <v>400</v>
      </c>
      <c r="G65" s="20">
        <f>E65+F65</f>
        <v>820</v>
      </c>
      <c r="H65" s="21">
        <f>E65*D65</f>
        <v>14372.4</v>
      </c>
      <c r="I65" s="21">
        <f>F65*D65</f>
        <v>13688</v>
      </c>
      <c r="J65" s="21">
        <f>H65+I65</f>
        <v>28060.400000000001</v>
      </c>
      <c r="K65" s="22" t="s">
        <v>81</v>
      </c>
    </row>
    <row r="66" spans="1:12" x14ac:dyDescent="0.3">
      <c r="A66" s="65">
        <v>61</v>
      </c>
      <c r="B66" s="44" t="s">
        <v>80</v>
      </c>
      <c r="C66" s="19" t="s">
        <v>60</v>
      </c>
      <c r="D66" s="63">
        <v>7.25</v>
      </c>
      <c r="E66" s="36"/>
      <c r="F66" s="21"/>
      <c r="G66" s="21"/>
      <c r="H66" s="21"/>
      <c r="I66" s="21"/>
      <c r="J66" s="21"/>
      <c r="K66" s="22" t="s">
        <v>81</v>
      </c>
    </row>
    <row r="67" spans="1:12" ht="62.4" x14ac:dyDescent="0.3">
      <c r="A67" s="65">
        <v>62</v>
      </c>
      <c r="B67" s="45" t="s">
        <v>82</v>
      </c>
      <c r="C67" s="19" t="s">
        <v>60</v>
      </c>
      <c r="D67" s="3">
        <f>D66</f>
        <v>7.25</v>
      </c>
      <c r="E67" s="36">
        <v>567.40559999999994</v>
      </c>
      <c r="F67" s="21">
        <v>570</v>
      </c>
      <c r="G67" s="20">
        <f>E67+F67</f>
        <v>1137.4056</v>
      </c>
      <c r="H67" s="21">
        <f>E67*D67</f>
        <v>4113.6905999999999</v>
      </c>
      <c r="I67" s="21">
        <f>F67*D67</f>
        <v>4132.5</v>
      </c>
      <c r="J67" s="21">
        <f>H67+I67</f>
        <v>8246.1905999999999</v>
      </c>
      <c r="K67" s="22" t="s">
        <v>81</v>
      </c>
    </row>
    <row r="68" spans="1:12" x14ac:dyDescent="0.3">
      <c r="A68" s="65">
        <v>64</v>
      </c>
      <c r="B68" s="44" t="s">
        <v>49</v>
      </c>
      <c r="C68" s="19" t="s">
        <v>60</v>
      </c>
      <c r="D68" s="3">
        <v>79.31</v>
      </c>
      <c r="E68" s="36"/>
      <c r="F68" s="21"/>
      <c r="G68" s="21"/>
      <c r="H68" s="21"/>
      <c r="I68" s="21"/>
      <c r="J68" s="21"/>
      <c r="K68" s="22" t="s">
        <v>81</v>
      </c>
    </row>
    <row r="69" spans="1:12" ht="62.4" x14ac:dyDescent="0.3">
      <c r="A69" s="65">
        <v>65</v>
      </c>
      <c r="B69" s="45" t="s">
        <v>82</v>
      </c>
      <c r="C69" s="19" t="s">
        <v>60</v>
      </c>
      <c r="D69" s="3">
        <f>D68</f>
        <v>79.31</v>
      </c>
      <c r="E69" s="36">
        <v>567.40559999999994</v>
      </c>
      <c r="F69" s="21">
        <v>570</v>
      </c>
      <c r="G69" s="20">
        <f>E69+F69</f>
        <v>1137.4056</v>
      </c>
      <c r="H69" s="21">
        <f>E69*D69</f>
        <v>45000.938135999997</v>
      </c>
      <c r="I69" s="21">
        <f>F69*D69</f>
        <v>45206.700000000004</v>
      </c>
      <c r="J69" s="21">
        <f>H69+I69</f>
        <v>90207.638135999994</v>
      </c>
      <c r="K69" s="22" t="s">
        <v>81</v>
      </c>
    </row>
    <row r="70" spans="1:12" x14ac:dyDescent="0.3">
      <c r="A70" s="65">
        <v>67</v>
      </c>
      <c r="B70" s="46" t="s">
        <v>55</v>
      </c>
      <c r="C70" s="19" t="s">
        <v>60</v>
      </c>
      <c r="D70" s="3">
        <v>388.87</v>
      </c>
      <c r="E70" s="36"/>
      <c r="F70" s="21"/>
      <c r="G70" s="21"/>
      <c r="H70" s="21"/>
      <c r="I70" s="21"/>
      <c r="J70" s="21"/>
      <c r="K70" s="22" t="s">
        <v>81</v>
      </c>
    </row>
    <row r="71" spans="1:12" ht="62.4" x14ac:dyDescent="0.3">
      <c r="A71" s="65">
        <v>68</v>
      </c>
      <c r="B71" s="45" t="s">
        <v>83</v>
      </c>
      <c r="C71" s="19" t="s">
        <v>60</v>
      </c>
      <c r="D71" s="3">
        <f>D70</f>
        <v>388.87</v>
      </c>
      <c r="E71" s="36">
        <f>531*1.02</f>
        <v>541.62</v>
      </c>
      <c r="F71" s="21">
        <v>570</v>
      </c>
      <c r="G71" s="20">
        <f>E71+F71</f>
        <v>1111.6199999999999</v>
      </c>
      <c r="H71" s="21">
        <f>E71*D71</f>
        <v>210619.76939999999</v>
      </c>
      <c r="I71" s="21">
        <f>F71*D71</f>
        <v>221655.9</v>
      </c>
      <c r="J71" s="21">
        <f>H71+I71</f>
        <v>432275.66940000001</v>
      </c>
      <c r="K71" s="22" t="s">
        <v>81</v>
      </c>
    </row>
    <row r="72" spans="1:12" x14ac:dyDescent="0.3">
      <c r="A72" s="65">
        <v>69</v>
      </c>
      <c r="B72" s="46" t="s">
        <v>56</v>
      </c>
      <c r="C72" s="19" t="s">
        <v>60</v>
      </c>
      <c r="D72" s="3">
        <v>68.42</v>
      </c>
      <c r="E72" s="36"/>
      <c r="F72" s="21"/>
      <c r="G72" s="21"/>
      <c r="H72" s="21"/>
      <c r="I72" s="21"/>
      <c r="J72" s="21"/>
      <c r="K72" s="22" t="s">
        <v>81</v>
      </c>
    </row>
    <row r="73" spans="1:12" ht="46.8" x14ac:dyDescent="0.3">
      <c r="A73" s="65">
        <v>70</v>
      </c>
      <c r="B73" s="45" t="s">
        <v>53</v>
      </c>
      <c r="C73" s="19" t="s">
        <v>60</v>
      </c>
      <c r="D73" s="3">
        <f>D72+24.8</f>
        <v>93.22</v>
      </c>
      <c r="E73" s="36">
        <v>962</v>
      </c>
      <c r="F73" s="21">
        <v>340</v>
      </c>
      <c r="G73" s="20">
        <f>E73+F73</f>
        <v>1302</v>
      </c>
      <c r="H73" s="21">
        <f>E73*D73</f>
        <v>89677.64</v>
      </c>
      <c r="I73" s="21">
        <f>F73*D73</f>
        <v>31694.799999999999</v>
      </c>
      <c r="J73" s="21">
        <f>H73+I73</f>
        <v>121372.44</v>
      </c>
      <c r="K73" s="22" t="s">
        <v>81</v>
      </c>
    </row>
    <row r="74" spans="1:12" x14ac:dyDescent="0.3">
      <c r="A74" s="65">
        <v>71</v>
      </c>
      <c r="B74" s="46" t="s">
        <v>65</v>
      </c>
      <c r="C74" s="19" t="s">
        <v>60</v>
      </c>
      <c r="D74" s="63">
        <v>33.61</v>
      </c>
      <c r="E74" s="36"/>
      <c r="F74" s="21"/>
      <c r="G74" s="21"/>
      <c r="H74" s="21"/>
      <c r="I74" s="21"/>
      <c r="J74" s="21"/>
      <c r="K74" s="22" t="s">
        <v>81</v>
      </c>
    </row>
    <row r="75" spans="1:12" ht="46.8" x14ac:dyDescent="0.3">
      <c r="A75" s="65">
        <v>72</v>
      </c>
      <c r="B75" s="45" t="s">
        <v>53</v>
      </c>
      <c r="C75" s="19" t="s">
        <v>60</v>
      </c>
      <c r="D75" s="3">
        <f>D74+9.72</f>
        <v>43.33</v>
      </c>
      <c r="E75" s="36">
        <v>962</v>
      </c>
      <c r="F75" s="21">
        <v>340</v>
      </c>
      <c r="G75" s="20">
        <f t="shared" ref="G75:G76" si="28">E75+F75</f>
        <v>1302</v>
      </c>
      <c r="H75" s="21">
        <f t="shared" ref="H75:H76" si="29">E75*D75</f>
        <v>41683.46</v>
      </c>
      <c r="I75" s="21">
        <f t="shared" ref="I75:I76" si="30">F75*D75</f>
        <v>14732.199999999999</v>
      </c>
      <c r="J75" s="21">
        <f t="shared" ref="J75:J76" si="31">H75+I75</f>
        <v>56415.659999999996</v>
      </c>
      <c r="K75" s="22" t="s">
        <v>81</v>
      </c>
    </row>
    <row r="76" spans="1:12" ht="62.4" x14ac:dyDescent="0.3">
      <c r="A76" s="65">
        <v>73</v>
      </c>
      <c r="B76" s="45" t="s">
        <v>83</v>
      </c>
      <c r="C76" s="19" t="s">
        <v>60</v>
      </c>
      <c r="D76" s="3">
        <f>D74</f>
        <v>33.61</v>
      </c>
      <c r="E76" s="36">
        <f>531*1.02</f>
        <v>541.62</v>
      </c>
      <c r="F76" s="21">
        <v>570</v>
      </c>
      <c r="G76" s="20">
        <f t="shared" si="28"/>
        <v>1111.6199999999999</v>
      </c>
      <c r="H76" s="21">
        <f t="shared" si="29"/>
        <v>18203.8482</v>
      </c>
      <c r="I76" s="21">
        <f t="shared" si="30"/>
        <v>19157.7</v>
      </c>
      <c r="J76" s="21">
        <f t="shared" si="31"/>
        <v>37361.548200000005</v>
      </c>
      <c r="K76" s="22" t="s">
        <v>81</v>
      </c>
    </row>
    <row r="77" spans="1:12" x14ac:dyDescent="0.3">
      <c r="A77" s="65">
        <v>74</v>
      </c>
      <c r="B77" s="46" t="s">
        <v>62</v>
      </c>
      <c r="C77" s="19" t="s">
        <v>60</v>
      </c>
      <c r="D77" s="3">
        <v>176.41</v>
      </c>
      <c r="E77" s="23"/>
      <c r="F77" s="19"/>
      <c r="G77" s="19"/>
      <c r="H77" s="19"/>
      <c r="I77" s="19"/>
      <c r="J77" s="19"/>
      <c r="K77" s="22" t="s">
        <v>81</v>
      </c>
    </row>
    <row r="78" spans="1:12" ht="31.2" x14ac:dyDescent="0.3">
      <c r="A78" s="65">
        <v>75</v>
      </c>
      <c r="B78" s="45" t="s">
        <v>85</v>
      </c>
      <c r="C78" s="19" t="s">
        <v>43</v>
      </c>
      <c r="D78" s="3">
        <f>D77</f>
        <v>176.41</v>
      </c>
      <c r="E78" s="23">
        <v>500</v>
      </c>
      <c r="F78" s="21">
        <v>380</v>
      </c>
      <c r="G78" s="20">
        <f t="shared" ref="G78:G81" si="32">E78+F78</f>
        <v>880</v>
      </c>
      <c r="H78" s="21">
        <f t="shared" ref="H78:H81" si="33">E78*D78</f>
        <v>88205</v>
      </c>
      <c r="I78" s="21">
        <f t="shared" ref="I78:I81" si="34">F78*D78</f>
        <v>67035.8</v>
      </c>
      <c r="J78" s="21">
        <f t="shared" ref="J78:J81" si="35">H78+I78</f>
        <v>155240.79999999999</v>
      </c>
      <c r="K78" s="22" t="s">
        <v>81</v>
      </c>
    </row>
    <row r="79" spans="1:12" ht="31.2" x14ac:dyDescent="0.3">
      <c r="A79" s="65">
        <v>76</v>
      </c>
      <c r="B79" s="45" t="s">
        <v>63</v>
      </c>
      <c r="C79" s="19" t="s">
        <v>43</v>
      </c>
      <c r="D79" s="3">
        <f>D77</f>
        <v>176.41</v>
      </c>
      <c r="E79" s="23">
        <v>13</v>
      </c>
      <c r="F79" s="19">
        <v>75</v>
      </c>
      <c r="G79" s="20">
        <f t="shared" si="32"/>
        <v>88</v>
      </c>
      <c r="H79" s="21">
        <f t="shared" si="33"/>
        <v>2293.33</v>
      </c>
      <c r="I79" s="21">
        <f t="shared" si="34"/>
        <v>13230.75</v>
      </c>
      <c r="J79" s="21">
        <f t="shared" si="35"/>
        <v>15524.08</v>
      </c>
      <c r="K79" s="22" t="s">
        <v>81</v>
      </c>
      <c r="L79" s="28" t="s">
        <v>152</v>
      </c>
    </row>
    <row r="80" spans="1:12" ht="78" x14ac:dyDescent="0.3">
      <c r="A80" s="65">
        <v>77</v>
      </c>
      <c r="B80" s="45" t="s">
        <v>87</v>
      </c>
      <c r="C80" s="19" t="s">
        <v>60</v>
      </c>
      <c r="D80" s="3">
        <f>D77</f>
        <v>176.41</v>
      </c>
      <c r="E80" s="23">
        <v>457</v>
      </c>
      <c r="F80" s="19">
        <v>550</v>
      </c>
      <c r="G80" s="20">
        <f t="shared" si="32"/>
        <v>1007</v>
      </c>
      <c r="H80" s="21">
        <f t="shared" si="33"/>
        <v>80619.37</v>
      </c>
      <c r="I80" s="21">
        <f t="shared" si="34"/>
        <v>97025.5</v>
      </c>
      <c r="J80" s="21">
        <f t="shared" si="35"/>
        <v>177644.87</v>
      </c>
      <c r="K80" s="22" t="s">
        <v>81</v>
      </c>
    </row>
    <row r="81" spans="1:11" ht="31.2" x14ac:dyDescent="0.3">
      <c r="A81" s="65">
        <v>78</v>
      </c>
      <c r="B81" s="45" t="s">
        <v>64</v>
      </c>
      <c r="C81" s="19" t="s">
        <v>60</v>
      </c>
      <c r="D81" s="3">
        <f>D77+14.99</f>
        <v>191.4</v>
      </c>
      <c r="E81" s="23">
        <v>900</v>
      </c>
      <c r="F81" s="21">
        <v>340</v>
      </c>
      <c r="G81" s="20">
        <f t="shared" si="32"/>
        <v>1240</v>
      </c>
      <c r="H81" s="21">
        <f t="shared" si="33"/>
        <v>172260</v>
      </c>
      <c r="I81" s="21">
        <f t="shared" si="34"/>
        <v>65076</v>
      </c>
      <c r="J81" s="21">
        <f t="shared" si="35"/>
        <v>237336</v>
      </c>
      <c r="K81" s="22" t="s">
        <v>81</v>
      </c>
    </row>
    <row r="82" spans="1:11" x14ac:dyDescent="0.3">
      <c r="A82" s="65">
        <v>80</v>
      </c>
      <c r="B82" s="43" t="s">
        <v>66</v>
      </c>
      <c r="C82" s="18"/>
      <c r="D82" s="34"/>
      <c r="E82" s="35"/>
      <c r="F82" s="18"/>
      <c r="G82" s="18"/>
      <c r="H82" s="18"/>
      <c r="I82" s="18"/>
      <c r="J82" s="18"/>
      <c r="K82" s="18"/>
    </row>
    <row r="83" spans="1:11" x14ac:dyDescent="0.3">
      <c r="A83" s="65">
        <v>81</v>
      </c>
      <c r="B83" s="44" t="s">
        <v>46</v>
      </c>
      <c r="C83" s="19" t="s">
        <v>60</v>
      </c>
      <c r="D83" s="63">
        <f>34.22*4</f>
        <v>136.88</v>
      </c>
      <c r="E83" s="23"/>
      <c r="F83" s="23"/>
      <c r="G83" s="23"/>
      <c r="H83" s="23"/>
      <c r="I83" s="23"/>
      <c r="J83" s="23"/>
      <c r="K83" s="22" t="s">
        <v>81</v>
      </c>
    </row>
    <row r="84" spans="1:11" ht="31.2" x14ac:dyDescent="0.3">
      <c r="A84" s="65">
        <v>82</v>
      </c>
      <c r="B84" s="4" t="s">
        <v>41</v>
      </c>
      <c r="C84" s="19" t="s">
        <v>60</v>
      </c>
      <c r="D84" s="3">
        <v>136.88</v>
      </c>
      <c r="E84" s="66">
        <v>420</v>
      </c>
      <c r="F84" s="67">
        <v>400</v>
      </c>
      <c r="G84" s="20">
        <f>E84+F84</f>
        <v>820</v>
      </c>
      <c r="H84" s="21">
        <f>E84*D84</f>
        <v>57489.599999999999</v>
      </c>
      <c r="I84" s="21">
        <f>F84*D84</f>
        <v>54752</v>
      </c>
      <c r="J84" s="21">
        <f>H84+I84</f>
        <v>112241.60000000001</v>
      </c>
      <c r="K84" s="22" t="s">
        <v>81</v>
      </c>
    </row>
    <row r="85" spans="1:11" x14ac:dyDescent="0.3">
      <c r="A85" s="65">
        <v>84</v>
      </c>
      <c r="B85" s="44" t="s">
        <v>49</v>
      </c>
      <c r="C85" s="19" t="s">
        <v>60</v>
      </c>
      <c r="D85" s="3">
        <f>70.13*4</f>
        <v>280.52</v>
      </c>
      <c r="E85" s="23"/>
      <c r="F85" s="23"/>
      <c r="G85" s="23"/>
      <c r="H85" s="23"/>
      <c r="I85" s="23"/>
      <c r="J85" s="23"/>
      <c r="K85" s="22" t="s">
        <v>81</v>
      </c>
    </row>
    <row r="86" spans="1:11" ht="62.4" x14ac:dyDescent="0.3">
      <c r="A86" s="65">
        <v>85</v>
      </c>
      <c r="B86" s="45" t="s">
        <v>82</v>
      </c>
      <c r="C86" s="19" t="s">
        <v>60</v>
      </c>
      <c r="D86" s="3">
        <v>280.52</v>
      </c>
      <c r="E86" s="36">
        <v>567.40559999999994</v>
      </c>
      <c r="F86" s="21">
        <v>570</v>
      </c>
      <c r="G86" s="20">
        <f>E86+F86</f>
        <v>1137.4056</v>
      </c>
      <c r="H86" s="21">
        <f>E86*D86</f>
        <v>159168.61891199998</v>
      </c>
      <c r="I86" s="21">
        <f>F86*D86</f>
        <v>159896.4</v>
      </c>
      <c r="J86" s="21">
        <f>H86+I86</f>
        <v>319065.018912</v>
      </c>
      <c r="K86" s="22" t="s">
        <v>81</v>
      </c>
    </row>
    <row r="87" spans="1:11" x14ac:dyDescent="0.3">
      <c r="A87" s="65">
        <v>87</v>
      </c>
      <c r="B87" s="46" t="s">
        <v>55</v>
      </c>
      <c r="C87" s="19" t="s">
        <v>60</v>
      </c>
      <c r="D87" s="3">
        <f>4*403.89</f>
        <v>1615.56</v>
      </c>
      <c r="E87" s="23"/>
      <c r="F87" s="23"/>
      <c r="G87" s="23"/>
      <c r="H87" s="23"/>
      <c r="I87" s="23"/>
      <c r="J87" s="23"/>
      <c r="K87" s="22" t="s">
        <v>81</v>
      </c>
    </row>
    <row r="88" spans="1:11" ht="62.4" x14ac:dyDescent="0.3">
      <c r="A88" s="65">
        <v>88</v>
      </c>
      <c r="B88" s="45" t="s">
        <v>83</v>
      </c>
      <c r="C88" s="19" t="s">
        <v>60</v>
      </c>
      <c r="D88" s="3">
        <v>1615.56</v>
      </c>
      <c r="E88" s="36">
        <f>531*1.02</f>
        <v>541.62</v>
      </c>
      <c r="F88" s="21">
        <v>570</v>
      </c>
      <c r="G88" s="20">
        <f>E88+F88</f>
        <v>1111.6199999999999</v>
      </c>
      <c r="H88" s="21">
        <f>E88*D88</f>
        <v>875019.60719999997</v>
      </c>
      <c r="I88" s="21">
        <f>F88*D88</f>
        <v>920869.2</v>
      </c>
      <c r="J88" s="21">
        <f>H88+I88</f>
        <v>1795888.8071999999</v>
      </c>
      <c r="K88" s="22" t="s">
        <v>81</v>
      </c>
    </row>
    <row r="89" spans="1:11" x14ac:dyDescent="0.3">
      <c r="A89" s="65">
        <v>89</v>
      </c>
      <c r="B89" s="46" t="s">
        <v>56</v>
      </c>
      <c r="C89" s="19" t="s">
        <v>60</v>
      </c>
      <c r="D89" s="3">
        <f>4*70.25</f>
        <v>281</v>
      </c>
      <c r="E89" s="23"/>
      <c r="F89" s="23"/>
      <c r="G89" s="23"/>
      <c r="H89" s="23"/>
      <c r="I89" s="23"/>
      <c r="J89" s="23"/>
      <c r="K89" s="22" t="s">
        <v>81</v>
      </c>
    </row>
    <row r="90" spans="1:11" ht="46.8" x14ac:dyDescent="0.3">
      <c r="A90" s="65">
        <v>90</v>
      </c>
      <c r="B90" s="45" t="s">
        <v>53</v>
      </c>
      <c r="C90" s="19" t="s">
        <v>60</v>
      </c>
      <c r="D90" s="3">
        <f>(70.25+26.72)*4</f>
        <v>387.88</v>
      </c>
      <c r="E90" s="36">
        <v>962</v>
      </c>
      <c r="F90" s="21">
        <v>340</v>
      </c>
      <c r="G90" s="20">
        <f>E90+F90</f>
        <v>1302</v>
      </c>
      <c r="H90" s="21">
        <f>E90*D90</f>
        <v>373140.56</v>
      </c>
      <c r="I90" s="21">
        <f>F90*D90</f>
        <v>131879.20000000001</v>
      </c>
      <c r="J90" s="21">
        <f>H90+I90</f>
        <v>505019.76</v>
      </c>
      <c r="K90" s="22" t="s">
        <v>81</v>
      </c>
    </row>
    <row r="91" spans="1:11" x14ac:dyDescent="0.3">
      <c r="A91" s="65">
        <v>91</v>
      </c>
      <c r="B91" s="46" t="s">
        <v>65</v>
      </c>
      <c r="C91" s="19" t="s">
        <v>60</v>
      </c>
      <c r="D91" s="63">
        <f>4*36.01</f>
        <v>144.04</v>
      </c>
      <c r="E91" s="23"/>
      <c r="F91" s="19"/>
      <c r="G91" s="3"/>
      <c r="H91" s="3"/>
      <c r="I91" s="3"/>
      <c r="J91" s="3"/>
      <c r="K91" s="22" t="s">
        <v>81</v>
      </c>
    </row>
    <row r="92" spans="1:11" ht="46.8" x14ac:dyDescent="0.3">
      <c r="A92" s="65">
        <v>92</v>
      </c>
      <c r="B92" s="45" t="s">
        <v>53</v>
      </c>
      <c r="C92" s="19" t="s">
        <v>60</v>
      </c>
      <c r="D92" s="3">
        <v>185.48</v>
      </c>
      <c r="E92" s="36">
        <v>962</v>
      </c>
      <c r="F92" s="21">
        <v>340</v>
      </c>
      <c r="G92" s="20">
        <f t="shared" ref="G92:G93" si="36">E92+F92</f>
        <v>1302</v>
      </c>
      <c r="H92" s="21">
        <f t="shared" ref="H92:H93" si="37">E92*D92</f>
        <v>178431.75999999998</v>
      </c>
      <c r="I92" s="21">
        <f t="shared" ref="I92:I93" si="38">F92*D92</f>
        <v>63063.199999999997</v>
      </c>
      <c r="J92" s="21">
        <f t="shared" ref="J92:J93" si="39">H92+I92</f>
        <v>241494.95999999996</v>
      </c>
      <c r="K92" s="22" t="s">
        <v>81</v>
      </c>
    </row>
    <row r="93" spans="1:11" ht="62.4" x14ac:dyDescent="0.3">
      <c r="A93" s="65">
        <v>93</v>
      </c>
      <c r="B93" s="45" t="s">
        <v>83</v>
      </c>
      <c r="C93" s="19" t="s">
        <v>60</v>
      </c>
      <c r="D93" s="3">
        <v>144.04</v>
      </c>
      <c r="E93" s="36">
        <f>531*1.02</f>
        <v>541.62</v>
      </c>
      <c r="F93" s="21">
        <v>570</v>
      </c>
      <c r="G93" s="20">
        <f t="shared" si="36"/>
        <v>1111.6199999999999</v>
      </c>
      <c r="H93" s="21">
        <f t="shared" si="37"/>
        <v>78014.944799999997</v>
      </c>
      <c r="I93" s="21">
        <f t="shared" si="38"/>
        <v>82102.799999999988</v>
      </c>
      <c r="J93" s="21">
        <f t="shared" si="39"/>
        <v>160117.74479999999</v>
      </c>
      <c r="K93" s="22" t="s">
        <v>81</v>
      </c>
    </row>
    <row r="94" spans="1:11" x14ac:dyDescent="0.3">
      <c r="A94" s="65">
        <v>94</v>
      </c>
      <c r="B94" s="46" t="s">
        <v>62</v>
      </c>
      <c r="C94" s="19" t="s">
        <v>60</v>
      </c>
      <c r="D94" s="3">
        <f>4*182.69</f>
        <v>730.76</v>
      </c>
      <c r="E94" s="23"/>
      <c r="F94" s="19"/>
      <c r="G94" s="3"/>
      <c r="H94" s="3"/>
      <c r="I94" s="3"/>
      <c r="J94" s="3"/>
      <c r="K94" s="22" t="s">
        <v>81</v>
      </c>
    </row>
    <row r="95" spans="1:11" ht="31.2" x14ac:dyDescent="0.3">
      <c r="A95" s="65">
        <v>95</v>
      </c>
      <c r="B95" s="45" t="s">
        <v>85</v>
      </c>
      <c r="C95" s="19" t="s">
        <v>43</v>
      </c>
      <c r="D95" s="3">
        <v>730.76</v>
      </c>
      <c r="E95" s="23">
        <v>500</v>
      </c>
      <c r="F95" s="21">
        <v>380</v>
      </c>
      <c r="G95" s="20">
        <f t="shared" ref="G95:G98" si="40">E95+F95</f>
        <v>880</v>
      </c>
      <c r="H95" s="21">
        <f t="shared" ref="H95:H98" si="41">E95*D95</f>
        <v>365380</v>
      </c>
      <c r="I95" s="21">
        <f t="shared" ref="I95:I98" si="42">F95*D95</f>
        <v>277688.8</v>
      </c>
      <c r="J95" s="21">
        <f t="shared" ref="J95:J98" si="43">H95+I95</f>
        <v>643068.80000000005</v>
      </c>
      <c r="K95" s="22" t="s">
        <v>81</v>
      </c>
    </row>
    <row r="96" spans="1:11" ht="31.2" x14ac:dyDescent="0.3">
      <c r="A96" s="65">
        <v>96</v>
      </c>
      <c r="B96" s="45" t="s">
        <v>63</v>
      </c>
      <c r="C96" s="19" t="s">
        <v>43</v>
      </c>
      <c r="D96" s="3">
        <v>730.76</v>
      </c>
      <c r="E96" s="23">
        <v>13</v>
      </c>
      <c r="F96" s="21">
        <v>75</v>
      </c>
      <c r="G96" s="20">
        <f t="shared" si="40"/>
        <v>88</v>
      </c>
      <c r="H96" s="21">
        <f t="shared" si="41"/>
        <v>9499.8799999999992</v>
      </c>
      <c r="I96" s="21">
        <f t="shared" si="42"/>
        <v>54807</v>
      </c>
      <c r="J96" s="21">
        <f t="shared" si="43"/>
        <v>64306.879999999997</v>
      </c>
      <c r="K96" s="22" t="s">
        <v>81</v>
      </c>
    </row>
    <row r="97" spans="1:14" ht="78" x14ac:dyDescent="0.3">
      <c r="A97" s="65">
        <v>97</v>
      </c>
      <c r="B97" s="45" t="s">
        <v>87</v>
      </c>
      <c r="C97" s="19" t="s">
        <v>60</v>
      </c>
      <c r="D97" s="3">
        <v>730.76</v>
      </c>
      <c r="E97" s="23">
        <v>457</v>
      </c>
      <c r="F97" s="19">
        <v>550</v>
      </c>
      <c r="G97" s="20">
        <f t="shared" si="40"/>
        <v>1007</v>
      </c>
      <c r="H97" s="21">
        <f t="shared" si="41"/>
        <v>333957.32</v>
      </c>
      <c r="I97" s="21">
        <f t="shared" si="42"/>
        <v>401918</v>
      </c>
      <c r="J97" s="21">
        <f t="shared" si="43"/>
        <v>735875.32000000007</v>
      </c>
      <c r="K97" s="22" t="s">
        <v>81</v>
      </c>
    </row>
    <row r="98" spans="1:14" ht="31.2" x14ac:dyDescent="0.3">
      <c r="A98" s="65">
        <v>98</v>
      </c>
      <c r="B98" s="45" t="s">
        <v>64</v>
      </c>
      <c r="C98" s="19" t="s">
        <v>60</v>
      </c>
      <c r="D98" s="3">
        <v>790.72</v>
      </c>
      <c r="E98" s="23">
        <v>900</v>
      </c>
      <c r="F98" s="21">
        <v>340</v>
      </c>
      <c r="G98" s="20">
        <f t="shared" si="40"/>
        <v>1240</v>
      </c>
      <c r="H98" s="21">
        <f t="shared" si="41"/>
        <v>711648</v>
      </c>
      <c r="I98" s="21">
        <f t="shared" si="42"/>
        <v>268844.79999999999</v>
      </c>
      <c r="J98" s="21">
        <f t="shared" si="43"/>
        <v>980492.80000000005</v>
      </c>
      <c r="K98" s="22" t="s">
        <v>81</v>
      </c>
    </row>
    <row r="99" spans="1:14" x14ac:dyDescent="0.3">
      <c r="A99" s="65">
        <v>100</v>
      </c>
      <c r="B99" s="43" t="s">
        <v>67</v>
      </c>
      <c r="C99" s="18"/>
      <c r="D99" s="34"/>
      <c r="E99" s="35"/>
      <c r="F99" s="18"/>
      <c r="G99" s="18"/>
      <c r="H99" s="18"/>
      <c r="I99" s="18"/>
      <c r="J99" s="18"/>
      <c r="K99" s="18"/>
    </row>
    <row r="100" spans="1:14" x14ac:dyDescent="0.3">
      <c r="A100" s="65">
        <v>101</v>
      </c>
      <c r="B100" s="44" t="s">
        <v>46</v>
      </c>
      <c r="C100" s="19" t="s">
        <v>60</v>
      </c>
      <c r="D100" s="63">
        <f>34.22*4</f>
        <v>136.88</v>
      </c>
      <c r="E100" s="36"/>
      <c r="F100" s="21"/>
      <c r="G100" s="21"/>
      <c r="H100" s="21"/>
      <c r="I100" s="21"/>
      <c r="J100" s="21"/>
      <c r="K100" s="22" t="s">
        <v>81</v>
      </c>
      <c r="N100" s="38"/>
    </row>
    <row r="101" spans="1:14" ht="31.2" x14ac:dyDescent="0.3">
      <c r="A101" s="65">
        <v>102</v>
      </c>
      <c r="B101" s="4" t="s">
        <v>41</v>
      </c>
      <c r="C101" s="19" t="s">
        <v>60</v>
      </c>
      <c r="D101" s="3">
        <v>136.88</v>
      </c>
      <c r="E101" s="66">
        <v>420</v>
      </c>
      <c r="F101" s="67">
        <v>400</v>
      </c>
      <c r="G101" s="20">
        <f>E101+F101</f>
        <v>820</v>
      </c>
      <c r="H101" s="21">
        <f>E101*D101</f>
        <v>57489.599999999999</v>
      </c>
      <c r="I101" s="21">
        <f>F101*D101</f>
        <v>54752</v>
      </c>
      <c r="J101" s="21">
        <f>H101+I101</f>
        <v>112241.60000000001</v>
      </c>
      <c r="K101" s="22" t="s">
        <v>81</v>
      </c>
      <c r="N101" s="38"/>
    </row>
    <row r="102" spans="1:14" x14ac:dyDescent="0.3">
      <c r="A102" s="65">
        <v>104</v>
      </c>
      <c r="B102" s="44" t="s">
        <v>49</v>
      </c>
      <c r="C102" s="19" t="s">
        <v>60</v>
      </c>
      <c r="D102" s="3">
        <f>4*70.19</f>
        <v>280.76</v>
      </c>
      <c r="E102" s="36"/>
      <c r="F102" s="21"/>
      <c r="G102" s="21"/>
      <c r="H102" s="21"/>
      <c r="I102" s="21"/>
      <c r="J102" s="21"/>
      <c r="K102" s="22" t="s">
        <v>81</v>
      </c>
      <c r="N102" s="38"/>
    </row>
    <row r="103" spans="1:14" ht="62.4" x14ac:dyDescent="0.3">
      <c r="A103" s="65">
        <v>105</v>
      </c>
      <c r="B103" s="45" t="s">
        <v>82</v>
      </c>
      <c r="C103" s="19" t="s">
        <v>60</v>
      </c>
      <c r="D103" s="3">
        <v>280.76</v>
      </c>
      <c r="E103" s="36">
        <v>567.40559999999994</v>
      </c>
      <c r="F103" s="21">
        <v>570</v>
      </c>
      <c r="G103" s="20">
        <f>E103+F103</f>
        <v>1137.4056</v>
      </c>
      <c r="H103" s="21">
        <f>E103*D103</f>
        <v>159304.79625599997</v>
      </c>
      <c r="I103" s="21">
        <f>F103*D103</f>
        <v>160033.19999999998</v>
      </c>
      <c r="J103" s="21">
        <f>H103+I103</f>
        <v>319337.99625599995</v>
      </c>
      <c r="K103" s="22" t="s">
        <v>81</v>
      </c>
      <c r="N103" s="38"/>
    </row>
    <row r="104" spans="1:14" x14ac:dyDescent="0.3">
      <c r="A104" s="65">
        <v>107</v>
      </c>
      <c r="B104" s="46" t="s">
        <v>55</v>
      </c>
      <c r="C104" s="19" t="s">
        <v>60</v>
      </c>
      <c r="D104" s="3">
        <f>405.93*4</f>
        <v>1623.72</v>
      </c>
      <c r="E104" s="36"/>
      <c r="F104" s="21"/>
      <c r="G104" s="21"/>
      <c r="H104" s="21"/>
      <c r="I104" s="21"/>
      <c r="J104" s="21"/>
      <c r="K104" s="22" t="s">
        <v>81</v>
      </c>
      <c r="N104" s="38"/>
    </row>
    <row r="105" spans="1:14" ht="62.4" x14ac:dyDescent="0.3">
      <c r="A105" s="65">
        <v>108</v>
      </c>
      <c r="B105" s="45" t="s">
        <v>83</v>
      </c>
      <c r="C105" s="19" t="s">
        <v>60</v>
      </c>
      <c r="D105" s="3">
        <v>1623.72</v>
      </c>
      <c r="E105" s="36">
        <f>531*1.02</f>
        <v>541.62</v>
      </c>
      <c r="F105" s="21">
        <v>570</v>
      </c>
      <c r="G105" s="20">
        <f>E105+F105</f>
        <v>1111.6199999999999</v>
      </c>
      <c r="H105" s="21">
        <f>E105*D105</f>
        <v>879439.22640000004</v>
      </c>
      <c r="I105" s="21">
        <f>F105*D105</f>
        <v>925520.4</v>
      </c>
      <c r="J105" s="21">
        <f>H105+I105</f>
        <v>1804959.6264</v>
      </c>
      <c r="K105" s="22" t="s">
        <v>81</v>
      </c>
      <c r="N105" s="38"/>
    </row>
    <row r="106" spans="1:14" x14ac:dyDescent="0.3">
      <c r="A106" s="65">
        <v>109</v>
      </c>
      <c r="B106" s="46" t="s">
        <v>56</v>
      </c>
      <c r="C106" s="19" t="s">
        <v>60</v>
      </c>
      <c r="D106" s="3">
        <v>281.60000000000002</v>
      </c>
      <c r="E106" s="36"/>
      <c r="F106" s="21"/>
      <c r="G106" s="21"/>
      <c r="H106" s="21"/>
      <c r="I106" s="21"/>
      <c r="J106" s="21"/>
      <c r="K106" s="22" t="s">
        <v>81</v>
      </c>
      <c r="N106" s="38"/>
    </row>
    <row r="107" spans="1:14" ht="46.8" x14ac:dyDescent="0.3">
      <c r="A107" s="65">
        <v>110</v>
      </c>
      <c r="B107" s="45" t="s">
        <v>53</v>
      </c>
      <c r="C107" s="19" t="s">
        <v>60</v>
      </c>
      <c r="D107" s="3">
        <v>389.04</v>
      </c>
      <c r="E107" s="36">
        <v>962</v>
      </c>
      <c r="F107" s="21">
        <v>340</v>
      </c>
      <c r="G107" s="20">
        <f>E107+F107</f>
        <v>1302</v>
      </c>
      <c r="H107" s="21">
        <f>E107*D107</f>
        <v>374256.48000000004</v>
      </c>
      <c r="I107" s="21">
        <f>F107*D107</f>
        <v>132273.60000000001</v>
      </c>
      <c r="J107" s="21">
        <f>H107+I107</f>
        <v>506530.08000000007</v>
      </c>
      <c r="K107" s="22" t="s">
        <v>81</v>
      </c>
      <c r="N107" s="38"/>
    </row>
    <row r="108" spans="1:14" x14ac:dyDescent="0.3">
      <c r="A108" s="65">
        <v>111</v>
      </c>
      <c r="B108" s="46" t="s">
        <v>65</v>
      </c>
      <c r="C108" s="19" t="s">
        <v>60</v>
      </c>
      <c r="D108" s="63">
        <v>144.04</v>
      </c>
      <c r="E108" s="36"/>
      <c r="F108" s="21"/>
      <c r="G108" s="21"/>
      <c r="H108" s="21"/>
      <c r="I108" s="21"/>
      <c r="J108" s="21"/>
      <c r="K108" s="22" t="s">
        <v>81</v>
      </c>
      <c r="N108" s="38"/>
    </row>
    <row r="109" spans="1:14" ht="46.8" x14ac:dyDescent="0.3">
      <c r="A109" s="65">
        <v>112</v>
      </c>
      <c r="B109" s="45" t="s">
        <v>53</v>
      </c>
      <c r="C109" s="19" t="s">
        <v>60</v>
      </c>
      <c r="D109" s="3">
        <v>185.68</v>
      </c>
      <c r="E109" s="36">
        <v>962</v>
      </c>
      <c r="F109" s="21">
        <v>340</v>
      </c>
      <c r="G109" s="20">
        <f t="shared" ref="G109:G110" si="44">E109+F109</f>
        <v>1302</v>
      </c>
      <c r="H109" s="21">
        <f t="shared" ref="H109:H110" si="45">E109*D109</f>
        <v>178624.16</v>
      </c>
      <c r="I109" s="21">
        <f t="shared" ref="I109:I110" si="46">F109*D109</f>
        <v>63131.200000000004</v>
      </c>
      <c r="J109" s="21">
        <f t="shared" ref="J109:J110" si="47">H109+I109</f>
        <v>241755.36000000002</v>
      </c>
      <c r="K109" s="22" t="s">
        <v>81</v>
      </c>
      <c r="N109" s="38"/>
    </row>
    <row r="110" spans="1:14" ht="62.4" x14ac:dyDescent="0.3">
      <c r="A110" s="65">
        <v>113</v>
      </c>
      <c r="B110" s="45" t="s">
        <v>83</v>
      </c>
      <c r="C110" s="19" t="s">
        <v>60</v>
      </c>
      <c r="D110" s="3">
        <v>144.04</v>
      </c>
      <c r="E110" s="36">
        <f>531*1.02</f>
        <v>541.62</v>
      </c>
      <c r="F110" s="21">
        <v>570</v>
      </c>
      <c r="G110" s="20">
        <f t="shared" si="44"/>
        <v>1111.6199999999999</v>
      </c>
      <c r="H110" s="21">
        <f t="shared" si="45"/>
        <v>78014.944799999997</v>
      </c>
      <c r="I110" s="21">
        <f t="shared" si="46"/>
        <v>82102.799999999988</v>
      </c>
      <c r="J110" s="21">
        <f t="shared" si="47"/>
        <v>160117.74479999999</v>
      </c>
      <c r="K110" s="22" t="s">
        <v>81</v>
      </c>
      <c r="N110" s="38"/>
    </row>
    <row r="111" spans="1:14" x14ac:dyDescent="0.3">
      <c r="A111" s="65">
        <v>114</v>
      </c>
      <c r="B111" s="46" t="s">
        <v>62</v>
      </c>
      <c r="C111" s="19" t="s">
        <v>60</v>
      </c>
      <c r="D111" s="3">
        <f>183.16*4</f>
        <v>732.64</v>
      </c>
      <c r="E111" s="23"/>
      <c r="F111" s="19"/>
      <c r="G111" s="19"/>
      <c r="H111" s="19"/>
      <c r="I111" s="19"/>
      <c r="J111" s="19"/>
      <c r="K111" s="22" t="s">
        <v>81</v>
      </c>
      <c r="N111" s="38"/>
    </row>
    <row r="112" spans="1:14" ht="31.2" x14ac:dyDescent="0.3">
      <c r="A112" s="65">
        <v>115</v>
      </c>
      <c r="B112" s="45" t="s">
        <v>85</v>
      </c>
      <c r="C112" s="19" t="s">
        <v>43</v>
      </c>
      <c r="D112" s="3">
        <v>732.64</v>
      </c>
      <c r="E112" s="23">
        <v>500</v>
      </c>
      <c r="F112" s="21">
        <v>380</v>
      </c>
      <c r="G112" s="20">
        <f t="shared" ref="G112:G115" si="48">E112+F112</f>
        <v>880</v>
      </c>
      <c r="H112" s="21">
        <f t="shared" ref="H112:H115" si="49">E112*D112</f>
        <v>366320</v>
      </c>
      <c r="I112" s="21">
        <f t="shared" ref="I112:I115" si="50">F112*D112</f>
        <v>278403.20000000001</v>
      </c>
      <c r="J112" s="21">
        <f t="shared" ref="J112:J115" si="51">H112+I112</f>
        <v>644723.19999999995</v>
      </c>
      <c r="K112" s="22" t="s">
        <v>81</v>
      </c>
      <c r="N112" s="38"/>
    </row>
    <row r="113" spans="1:14" ht="31.2" x14ac:dyDescent="0.3">
      <c r="A113" s="65">
        <v>116</v>
      </c>
      <c r="B113" s="45" t="s">
        <v>63</v>
      </c>
      <c r="C113" s="19" t="s">
        <v>43</v>
      </c>
      <c r="D113" s="3">
        <v>732.64</v>
      </c>
      <c r="E113" s="23">
        <v>13</v>
      </c>
      <c r="F113" s="19">
        <v>75</v>
      </c>
      <c r="G113" s="20">
        <f t="shared" si="48"/>
        <v>88</v>
      </c>
      <c r="H113" s="21">
        <f t="shared" si="49"/>
        <v>9524.32</v>
      </c>
      <c r="I113" s="21">
        <f t="shared" si="50"/>
        <v>54948</v>
      </c>
      <c r="J113" s="21">
        <f t="shared" si="51"/>
        <v>64472.32</v>
      </c>
      <c r="K113" s="22" t="s">
        <v>81</v>
      </c>
      <c r="N113" s="38"/>
    </row>
    <row r="114" spans="1:14" ht="78" x14ac:dyDescent="0.3">
      <c r="A114" s="65">
        <v>117</v>
      </c>
      <c r="B114" s="45" t="s">
        <v>87</v>
      </c>
      <c r="C114" s="19" t="s">
        <v>60</v>
      </c>
      <c r="D114" s="3">
        <v>732.64</v>
      </c>
      <c r="E114" s="23">
        <v>457</v>
      </c>
      <c r="F114" s="19">
        <v>550</v>
      </c>
      <c r="G114" s="20">
        <f t="shared" si="48"/>
        <v>1007</v>
      </c>
      <c r="H114" s="21">
        <f t="shared" si="49"/>
        <v>334816.48</v>
      </c>
      <c r="I114" s="21">
        <f t="shared" si="50"/>
        <v>402952</v>
      </c>
      <c r="J114" s="21">
        <f t="shared" si="51"/>
        <v>737768.48</v>
      </c>
      <c r="K114" s="22" t="s">
        <v>81</v>
      </c>
      <c r="N114" s="38"/>
    </row>
    <row r="115" spans="1:14" ht="31.2" x14ac:dyDescent="0.3">
      <c r="A115" s="65">
        <v>118</v>
      </c>
      <c r="B115" s="45" t="s">
        <v>64</v>
      </c>
      <c r="C115" s="19" t="s">
        <v>60</v>
      </c>
      <c r="D115" s="3">
        <v>790.72</v>
      </c>
      <c r="E115" s="23">
        <v>900</v>
      </c>
      <c r="F115" s="21">
        <v>340</v>
      </c>
      <c r="G115" s="20">
        <f t="shared" si="48"/>
        <v>1240</v>
      </c>
      <c r="H115" s="21">
        <f t="shared" si="49"/>
        <v>711648</v>
      </c>
      <c r="I115" s="21">
        <f t="shared" si="50"/>
        <v>268844.79999999999</v>
      </c>
      <c r="J115" s="21">
        <f t="shared" si="51"/>
        <v>980492.80000000005</v>
      </c>
      <c r="K115" s="22" t="s">
        <v>81</v>
      </c>
      <c r="N115" s="38"/>
    </row>
    <row r="116" spans="1:14" x14ac:dyDescent="0.3">
      <c r="A116" s="65">
        <v>120</v>
      </c>
      <c r="B116" s="43" t="s">
        <v>68</v>
      </c>
      <c r="C116" s="18"/>
      <c r="D116" s="34"/>
      <c r="E116" s="35"/>
      <c r="F116" s="18"/>
      <c r="G116" s="18"/>
      <c r="H116" s="18"/>
      <c r="I116" s="18"/>
      <c r="J116" s="18"/>
      <c r="K116" s="18"/>
    </row>
    <row r="117" spans="1:14" x14ac:dyDescent="0.3">
      <c r="A117" s="65">
        <v>121</v>
      </c>
      <c r="B117" s="44" t="s">
        <v>46</v>
      </c>
      <c r="C117" s="19" t="s">
        <v>60</v>
      </c>
      <c r="D117" s="63">
        <v>171.1</v>
      </c>
      <c r="E117" s="36"/>
      <c r="F117" s="21"/>
      <c r="G117" s="21"/>
      <c r="H117" s="21"/>
      <c r="I117" s="21"/>
      <c r="J117" s="21"/>
      <c r="K117" s="22" t="s">
        <v>81</v>
      </c>
    </row>
    <row r="118" spans="1:14" ht="31.2" x14ac:dyDescent="0.3">
      <c r="A118" s="65">
        <v>122</v>
      </c>
      <c r="B118" s="4" t="s">
        <v>41</v>
      </c>
      <c r="C118" s="19" t="s">
        <v>60</v>
      </c>
      <c r="D118" s="3">
        <v>171.1</v>
      </c>
      <c r="E118" s="66">
        <v>420</v>
      </c>
      <c r="F118" s="67">
        <v>400</v>
      </c>
      <c r="G118" s="20">
        <f>E118+F118</f>
        <v>820</v>
      </c>
      <c r="H118" s="21">
        <f>E118*D118</f>
        <v>71862</v>
      </c>
      <c r="I118" s="21">
        <f>F118*D118</f>
        <v>68440</v>
      </c>
      <c r="J118" s="21">
        <f>H118+I118</f>
        <v>140302</v>
      </c>
      <c r="K118" s="22" t="s">
        <v>81</v>
      </c>
    </row>
    <row r="119" spans="1:14" x14ac:dyDescent="0.3">
      <c r="A119" s="65">
        <v>124</v>
      </c>
      <c r="B119" s="44" t="s">
        <v>49</v>
      </c>
      <c r="C119" s="19" t="s">
        <v>60</v>
      </c>
      <c r="D119" s="3">
        <v>350.95</v>
      </c>
      <c r="E119" s="36"/>
      <c r="F119" s="21"/>
      <c r="G119" s="21"/>
      <c r="H119" s="21"/>
      <c r="I119" s="21"/>
      <c r="J119" s="21"/>
      <c r="K119" s="22" t="s">
        <v>81</v>
      </c>
    </row>
    <row r="120" spans="1:14" ht="62.4" x14ac:dyDescent="0.3">
      <c r="A120" s="65">
        <v>125</v>
      </c>
      <c r="B120" s="45" t="s">
        <v>82</v>
      </c>
      <c r="C120" s="19" t="s">
        <v>60</v>
      </c>
      <c r="D120" s="3">
        <v>350.95</v>
      </c>
      <c r="E120" s="36">
        <v>567.40559999999994</v>
      </c>
      <c r="F120" s="21">
        <v>570</v>
      </c>
      <c r="G120" s="20">
        <f>E120+F120</f>
        <v>1137.4056</v>
      </c>
      <c r="H120" s="21">
        <f>E120*D120</f>
        <v>199130.99531999996</v>
      </c>
      <c r="I120" s="21">
        <f>F120*D120</f>
        <v>200041.5</v>
      </c>
      <c r="J120" s="21">
        <f>H120+I120</f>
        <v>399172.49531999999</v>
      </c>
      <c r="K120" s="22" t="s">
        <v>81</v>
      </c>
    </row>
    <row r="121" spans="1:14" x14ac:dyDescent="0.3">
      <c r="A121" s="65">
        <v>127</v>
      </c>
      <c r="B121" s="46" t="s">
        <v>55</v>
      </c>
      <c r="C121" s="19" t="s">
        <v>60</v>
      </c>
      <c r="D121" s="3">
        <f>405.93*5</f>
        <v>2029.65</v>
      </c>
      <c r="E121" s="36"/>
      <c r="F121" s="21"/>
      <c r="G121" s="21"/>
      <c r="H121" s="21"/>
      <c r="I121" s="21"/>
      <c r="J121" s="21"/>
      <c r="K121" s="22" t="s">
        <v>81</v>
      </c>
    </row>
    <row r="122" spans="1:14" ht="62.4" x14ac:dyDescent="0.3">
      <c r="A122" s="65">
        <v>128</v>
      </c>
      <c r="B122" s="45" t="s">
        <v>83</v>
      </c>
      <c r="C122" s="19" t="s">
        <v>60</v>
      </c>
      <c r="D122" s="63">
        <v>2029.65</v>
      </c>
      <c r="E122" s="36">
        <f>531*1.02</f>
        <v>541.62</v>
      </c>
      <c r="F122" s="21">
        <v>570</v>
      </c>
      <c r="G122" s="20">
        <f>E122+F122</f>
        <v>1111.6199999999999</v>
      </c>
      <c r="H122" s="21">
        <f>E122*D122</f>
        <v>1099299.0330000001</v>
      </c>
      <c r="I122" s="21">
        <f>F122*D122</f>
        <v>1156900.5</v>
      </c>
      <c r="J122" s="21">
        <f>H122+I122</f>
        <v>2256199.5329999998</v>
      </c>
      <c r="K122" s="22" t="s">
        <v>81</v>
      </c>
    </row>
    <row r="123" spans="1:14" x14ac:dyDescent="0.3">
      <c r="A123" s="65">
        <v>129</v>
      </c>
      <c r="B123" s="46" t="s">
        <v>56</v>
      </c>
      <c r="C123" s="19" t="s">
        <v>60</v>
      </c>
      <c r="D123" s="3">
        <v>352</v>
      </c>
      <c r="E123" s="36"/>
      <c r="F123" s="21"/>
      <c r="G123" s="21"/>
      <c r="H123" s="21"/>
      <c r="I123" s="21"/>
      <c r="J123" s="21"/>
      <c r="K123" s="22" t="s">
        <v>81</v>
      </c>
    </row>
    <row r="124" spans="1:14" ht="46.8" x14ac:dyDescent="0.3">
      <c r="A124" s="65">
        <v>130</v>
      </c>
      <c r="B124" s="45" t="s">
        <v>53</v>
      </c>
      <c r="C124" s="19" t="s">
        <v>60</v>
      </c>
      <c r="D124" s="63">
        <v>486.1</v>
      </c>
      <c r="E124" s="36">
        <v>962</v>
      </c>
      <c r="F124" s="21">
        <v>340</v>
      </c>
      <c r="G124" s="20">
        <f>E124+F124</f>
        <v>1302</v>
      </c>
      <c r="H124" s="21">
        <f>E124*D124</f>
        <v>467628.2</v>
      </c>
      <c r="I124" s="21">
        <f>F124*D124</f>
        <v>165274</v>
      </c>
      <c r="J124" s="21">
        <f>H124+I124</f>
        <v>632902.19999999995</v>
      </c>
      <c r="K124" s="22" t="s">
        <v>81</v>
      </c>
    </row>
    <row r="125" spans="1:14" x14ac:dyDescent="0.3">
      <c r="A125" s="65">
        <v>131</v>
      </c>
      <c r="B125" s="46" t="s">
        <v>65</v>
      </c>
      <c r="C125" s="19" t="s">
        <v>60</v>
      </c>
      <c r="D125" s="3">
        <v>180.05</v>
      </c>
      <c r="E125" s="36"/>
      <c r="F125" s="21"/>
      <c r="G125" s="21"/>
      <c r="H125" s="21"/>
      <c r="I125" s="21"/>
      <c r="J125" s="21"/>
      <c r="K125" s="22" t="s">
        <v>81</v>
      </c>
    </row>
    <row r="126" spans="1:14" ht="46.8" x14ac:dyDescent="0.3">
      <c r="A126" s="65">
        <v>132</v>
      </c>
      <c r="B126" s="45" t="s">
        <v>53</v>
      </c>
      <c r="C126" s="19" t="s">
        <v>60</v>
      </c>
      <c r="D126" s="63">
        <v>232.15</v>
      </c>
      <c r="E126" s="36">
        <v>962</v>
      </c>
      <c r="F126" s="21">
        <v>340</v>
      </c>
      <c r="G126" s="20">
        <f t="shared" ref="G126:G127" si="52">E126+F126</f>
        <v>1302</v>
      </c>
      <c r="H126" s="21">
        <f t="shared" ref="H126:H127" si="53">E126*D126</f>
        <v>223328.30000000002</v>
      </c>
      <c r="I126" s="21">
        <f t="shared" ref="I126:I127" si="54">F126*D126</f>
        <v>78931</v>
      </c>
      <c r="J126" s="21">
        <f t="shared" ref="J126:J127" si="55">H126+I126</f>
        <v>302259.30000000005</v>
      </c>
      <c r="K126" s="22" t="s">
        <v>81</v>
      </c>
    </row>
    <row r="127" spans="1:14" ht="62.4" x14ac:dyDescent="0.3">
      <c r="A127" s="65">
        <v>133</v>
      </c>
      <c r="B127" s="45" t="s">
        <v>83</v>
      </c>
      <c r="C127" s="19" t="s">
        <v>60</v>
      </c>
      <c r="D127" s="3">
        <v>180.05</v>
      </c>
      <c r="E127" s="36">
        <f>531*1.02</f>
        <v>541.62</v>
      </c>
      <c r="F127" s="21">
        <v>570</v>
      </c>
      <c r="G127" s="20">
        <f t="shared" si="52"/>
        <v>1111.6199999999999</v>
      </c>
      <c r="H127" s="21">
        <f t="shared" si="53"/>
        <v>97518.681000000011</v>
      </c>
      <c r="I127" s="21">
        <f t="shared" si="54"/>
        <v>102628.5</v>
      </c>
      <c r="J127" s="21">
        <f t="shared" si="55"/>
        <v>200147.18100000001</v>
      </c>
      <c r="K127" s="22" t="s">
        <v>81</v>
      </c>
    </row>
    <row r="128" spans="1:14" x14ac:dyDescent="0.3">
      <c r="A128" s="65">
        <v>134</v>
      </c>
      <c r="B128" s="46" t="s">
        <v>62</v>
      </c>
      <c r="C128" s="19" t="s">
        <v>60</v>
      </c>
      <c r="D128" s="63">
        <f>183.15*5</f>
        <v>915.75</v>
      </c>
      <c r="E128" s="36"/>
      <c r="F128" s="21"/>
      <c r="G128" s="21"/>
      <c r="H128" s="21"/>
      <c r="I128" s="21"/>
      <c r="J128" s="21"/>
      <c r="K128" s="22" t="s">
        <v>81</v>
      </c>
    </row>
    <row r="129" spans="1:11" ht="31.2" x14ac:dyDescent="0.3">
      <c r="A129" s="65">
        <v>135</v>
      </c>
      <c r="B129" s="45" t="s">
        <v>85</v>
      </c>
      <c r="C129" s="19" t="s">
        <v>43</v>
      </c>
      <c r="D129" s="3">
        <v>915.75</v>
      </c>
      <c r="E129" s="36">
        <v>500</v>
      </c>
      <c r="F129" s="21">
        <v>380</v>
      </c>
      <c r="G129" s="20">
        <f t="shared" ref="G129:G132" si="56">E129+F129</f>
        <v>880</v>
      </c>
      <c r="H129" s="21">
        <f t="shared" ref="H129:H132" si="57">E129*D129</f>
        <v>457875</v>
      </c>
      <c r="I129" s="21">
        <f t="shared" ref="I129:I132" si="58">F129*D129</f>
        <v>347985</v>
      </c>
      <c r="J129" s="21">
        <f t="shared" ref="J129:J132" si="59">H129+I129</f>
        <v>805860</v>
      </c>
      <c r="K129" s="22" t="s">
        <v>81</v>
      </c>
    </row>
    <row r="130" spans="1:11" ht="31.2" x14ac:dyDescent="0.3">
      <c r="A130" s="65">
        <v>136</v>
      </c>
      <c r="B130" s="45" t="s">
        <v>63</v>
      </c>
      <c r="C130" s="19" t="s">
        <v>43</v>
      </c>
      <c r="D130" s="3">
        <v>915.75</v>
      </c>
      <c r="E130" s="23">
        <v>13</v>
      </c>
      <c r="F130" s="19">
        <v>75</v>
      </c>
      <c r="G130" s="20">
        <f t="shared" si="56"/>
        <v>88</v>
      </c>
      <c r="H130" s="21">
        <f t="shared" si="57"/>
        <v>11904.75</v>
      </c>
      <c r="I130" s="21">
        <f t="shared" si="58"/>
        <v>68681.25</v>
      </c>
      <c r="J130" s="21">
        <f t="shared" si="59"/>
        <v>80586</v>
      </c>
      <c r="K130" s="22" t="s">
        <v>81</v>
      </c>
    </row>
    <row r="131" spans="1:11" ht="78" x14ac:dyDescent="0.3">
      <c r="A131" s="65">
        <v>137</v>
      </c>
      <c r="B131" s="45" t="s">
        <v>87</v>
      </c>
      <c r="C131" s="19" t="s">
        <v>60</v>
      </c>
      <c r="D131" s="3">
        <v>915.75</v>
      </c>
      <c r="E131" s="23">
        <v>457</v>
      </c>
      <c r="F131" s="19">
        <v>550</v>
      </c>
      <c r="G131" s="20">
        <f t="shared" si="56"/>
        <v>1007</v>
      </c>
      <c r="H131" s="21">
        <f t="shared" si="57"/>
        <v>418497.75</v>
      </c>
      <c r="I131" s="21">
        <f t="shared" si="58"/>
        <v>503662.5</v>
      </c>
      <c r="J131" s="21">
        <f t="shared" si="59"/>
        <v>922160.25</v>
      </c>
      <c r="K131" s="22" t="s">
        <v>81</v>
      </c>
    </row>
    <row r="132" spans="1:11" ht="31.2" x14ac:dyDescent="0.3">
      <c r="A132" s="65">
        <v>138</v>
      </c>
      <c r="B132" s="45" t="s">
        <v>64</v>
      </c>
      <c r="C132" s="19" t="s">
        <v>60</v>
      </c>
      <c r="D132" s="3">
        <v>990.7</v>
      </c>
      <c r="E132" s="23">
        <v>900</v>
      </c>
      <c r="F132" s="21">
        <v>340</v>
      </c>
      <c r="G132" s="20">
        <f t="shared" si="56"/>
        <v>1240</v>
      </c>
      <c r="H132" s="21">
        <f t="shared" si="57"/>
        <v>891630</v>
      </c>
      <c r="I132" s="21">
        <f t="shared" si="58"/>
        <v>336838</v>
      </c>
      <c r="J132" s="21">
        <f t="shared" si="59"/>
        <v>1228468</v>
      </c>
      <c r="K132" s="22" t="s">
        <v>81</v>
      </c>
    </row>
    <row r="133" spans="1:11" x14ac:dyDescent="0.3">
      <c r="A133" s="65">
        <v>140</v>
      </c>
      <c r="B133" s="43" t="s">
        <v>69</v>
      </c>
      <c r="C133" s="18"/>
      <c r="D133" s="34"/>
      <c r="E133" s="35"/>
      <c r="F133" s="18"/>
      <c r="G133" s="18"/>
      <c r="H133" s="18"/>
      <c r="I133" s="18"/>
      <c r="J133" s="18"/>
      <c r="K133" s="18"/>
    </row>
    <row r="134" spans="1:11" x14ac:dyDescent="0.3">
      <c r="A134" s="65">
        <v>141</v>
      </c>
      <c r="B134" s="44" t="s">
        <v>46</v>
      </c>
      <c r="C134" s="19" t="s">
        <v>60</v>
      </c>
      <c r="D134" s="63">
        <v>102.66</v>
      </c>
      <c r="E134" s="36"/>
      <c r="F134" s="21"/>
      <c r="G134" s="21"/>
      <c r="H134" s="21"/>
      <c r="I134" s="21"/>
      <c r="J134" s="21"/>
      <c r="K134" s="22" t="s">
        <v>81</v>
      </c>
    </row>
    <row r="135" spans="1:11" ht="31.2" x14ac:dyDescent="0.3">
      <c r="A135" s="65">
        <v>142</v>
      </c>
      <c r="B135" s="4" t="s">
        <v>41</v>
      </c>
      <c r="C135" s="19" t="s">
        <v>60</v>
      </c>
      <c r="D135" s="3">
        <v>102.66</v>
      </c>
      <c r="E135" s="66">
        <v>420</v>
      </c>
      <c r="F135" s="67">
        <v>400</v>
      </c>
      <c r="G135" s="20">
        <f>E135+F135</f>
        <v>820</v>
      </c>
      <c r="H135" s="21">
        <f>E135*D135</f>
        <v>43117.2</v>
      </c>
      <c r="I135" s="21">
        <f>F135*D135</f>
        <v>41064</v>
      </c>
      <c r="J135" s="21">
        <f>H135+I135</f>
        <v>84181.2</v>
      </c>
      <c r="K135" s="22" t="s">
        <v>81</v>
      </c>
    </row>
    <row r="136" spans="1:11" x14ac:dyDescent="0.3">
      <c r="A136" s="65">
        <v>144</v>
      </c>
      <c r="B136" s="44" t="s">
        <v>49</v>
      </c>
      <c r="C136" s="19" t="s">
        <v>60</v>
      </c>
      <c r="D136" s="3">
        <v>210.57</v>
      </c>
      <c r="E136" s="36"/>
      <c r="F136" s="21"/>
      <c r="G136" s="21"/>
      <c r="H136" s="21"/>
      <c r="I136" s="21"/>
      <c r="J136" s="21"/>
      <c r="K136" s="22" t="s">
        <v>81</v>
      </c>
    </row>
    <row r="137" spans="1:11" ht="62.4" x14ac:dyDescent="0.3">
      <c r="A137" s="65">
        <v>145</v>
      </c>
      <c r="B137" s="45" t="s">
        <v>82</v>
      </c>
      <c r="C137" s="19" t="s">
        <v>60</v>
      </c>
      <c r="D137" s="3">
        <v>210.57</v>
      </c>
      <c r="E137" s="36">
        <v>567.40559999999994</v>
      </c>
      <c r="F137" s="21">
        <v>570</v>
      </c>
      <c r="G137" s="20">
        <f>E137+F137</f>
        <v>1137.4056</v>
      </c>
      <c r="H137" s="21">
        <f>E137*D137</f>
        <v>119478.59719199999</v>
      </c>
      <c r="I137" s="21">
        <f>F137*D137</f>
        <v>120024.9</v>
      </c>
      <c r="J137" s="21">
        <f>H137+I137</f>
        <v>239503.49719199998</v>
      </c>
      <c r="K137" s="22" t="s">
        <v>81</v>
      </c>
    </row>
    <row r="138" spans="1:11" x14ac:dyDescent="0.3">
      <c r="A138" s="65">
        <v>147</v>
      </c>
      <c r="B138" s="46" t="s">
        <v>55</v>
      </c>
      <c r="C138" s="19" t="s">
        <v>60</v>
      </c>
      <c r="D138" s="3">
        <f>3*406.28</f>
        <v>1218.8399999999999</v>
      </c>
      <c r="E138" s="36"/>
      <c r="F138" s="21"/>
      <c r="G138" s="21"/>
      <c r="H138" s="21"/>
      <c r="I138" s="21"/>
      <c r="J138" s="21"/>
      <c r="K138" s="22" t="s">
        <v>81</v>
      </c>
    </row>
    <row r="139" spans="1:11" ht="62.4" x14ac:dyDescent="0.3">
      <c r="A139" s="65">
        <v>148</v>
      </c>
      <c r="B139" s="45" t="s">
        <v>83</v>
      </c>
      <c r="C139" s="19" t="s">
        <v>60</v>
      </c>
      <c r="D139" s="63">
        <f>D138</f>
        <v>1218.8399999999999</v>
      </c>
      <c r="E139" s="36">
        <f>531*1.02</f>
        <v>541.62</v>
      </c>
      <c r="F139" s="21">
        <v>570</v>
      </c>
      <c r="G139" s="20">
        <f>E139+F139</f>
        <v>1111.6199999999999</v>
      </c>
      <c r="H139" s="21">
        <f>E139*D139</f>
        <v>660148.12079999992</v>
      </c>
      <c r="I139" s="21">
        <f>F139*D139</f>
        <v>694738.79999999993</v>
      </c>
      <c r="J139" s="21">
        <f>H139+I139</f>
        <v>1354886.9208</v>
      </c>
      <c r="K139" s="22" t="s">
        <v>81</v>
      </c>
    </row>
    <row r="140" spans="1:11" x14ac:dyDescent="0.3">
      <c r="A140" s="65">
        <v>149</v>
      </c>
      <c r="B140" s="46" t="s">
        <v>56</v>
      </c>
      <c r="C140" s="19" t="s">
        <v>60</v>
      </c>
      <c r="D140" s="3">
        <f>69.15*3</f>
        <v>207.45000000000002</v>
      </c>
      <c r="E140" s="36"/>
      <c r="F140" s="21"/>
      <c r="G140" s="21"/>
      <c r="H140" s="21"/>
      <c r="I140" s="21"/>
      <c r="J140" s="21"/>
      <c r="K140" s="22" t="s">
        <v>81</v>
      </c>
    </row>
    <row r="141" spans="1:11" ht="46.8" x14ac:dyDescent="0.3">
      <c r="A141" s="65">
        <v>150</v>
      </c>
      <c r="B141" s="45" t="s">
        <v>53</v>
      </c>
      <c r="C141" s="19" t="s">
        <v>60</v>
      </c>
      <c r="D141" s="63">
        <f>(69.14+26.19)*3</f>
        <v>285.99</v>
      </c>
      <c r="E141" s="36">
        <v>962</v>
      </c>
      <c r="F141" s="21">
        <v>340</v>
      </c>
      <c r="G141" s="20">
        <f>E141+F141</f>
        <v>1302</v>
      </c>
      <c r="H141" s="21">
        <f>E141*D141</f>
        <v>275122.38</v>
      </c>
      <c r="I141" s="21">
        <f>F141*D141</f>
        <v>97236.6</v>
      </c>
      <c r="J141" s="21">
        <f>H141+I141</f>
        <v>372358.98</v>
      </c>
      <c r="K141" s="22" t="s">
        <v>81</v>
      </c>
    </row>
    <row r="142" spans="1:11" x14ac:dyDescent="0.3">
      <c r="A142" s="65">
        <v>151</v>
      </c>
      <c r="B142" s="46" t="s">
        <v>65</v>
      </c>
      <c r="C142" s="19" t="s">
        <v>60</v>
      </c>
      <c r="D142" s="3">
        <v>105.48</v>
      </c>
      <c r="E142" s="36"/>
      <c r="F142" s="21"/>
      <c r="G142" s="21"/>
      <c r="H142" s="21"/>
      <c r="I142" s="21"/>
      <c r="J142" s="21"/>
      <c r="K142" s="22" t="s">
        <v>81</v>
      </c>
    </row>
    <row r="143" spans="1:11" ht="46.8" x14ac:dyDescent="0.3">
      <c r="A143" s="65">
        <v>152</v>
      </c>
      <c r="B143" s="45" t="s">
        <v>53</v>
      </c>
      <c r="C143" s="19" t="s">
        <v>60</v>
      </c>
      <c r="D143" s="63">
        <v>136.68</v>
      </c>
      <c r="E143" s="36">
        <v>962</v>
      </c>
      <c r="F143" s="21">
        <v>340</v>
      </c>
      <c r="G143" s="20">
        <f>E143+F143</f>
        <v>1302</v>
      </c>
      <c r="H143" s="21">
        <f>E143*D143</f>
        <v>131486.16</v>
      </c>
      <c r="I143" s="21">
        <f>F143*D143</f>
        <v>46471.200000000004</v>
      </c>
      <c r="J143" s="21">
        <f>H143+I143</f>
        <v>177957.36000000002</v>
      </c>
      <c r="K143" s="22" t="s">
        <v>81</v>
      </c>
    </row>
    <row r="144" spans="1:11" ht="62.4" x14ac:dyDescent="0.3">
      <c r="A144" s="65">
        <v>153</v>
      </c>
      <c r="B144" s="45" t="s">
        <v>83</v>
      </c>
      <c r="C144" s="19" t="s">
        <v>60</v>
      </c>
      <c r="D144" s="3">
        <v>105.48</v>
      </c>
      <c r="E144" s="36">
        <f>531*1.02</f>
        <v>541.62</v>
      </c>
      <c r="F144" s="21">
        <v>570</v>
      </c>
      <c r="G144" s="20">
        <f>E144+F144</f>
        <v>1111.6199999999999</v>
      </c>
      <c r="H144" s="21">
        <f>E144*D144</f>
        <v>57130.077600000004</v>
      </c>
      <c r="I144" s="21">
        <f>F144*D144</f>
        <v>60123.600000000006</v>
      </c>
      <c r="J144" s="21">
        <f>H144+I144</f>
        <v>117253.67760000001</v>
      </c>
      <c r="K144" s="22" t="s">
        <v>81</v>
      </c>
    </row>
    <row r="145" spans="1:11" x14ac:dyDescent="0.3">
      <c r="A145" s="65">
        <v>154</v>
      </c>
      <c r="B145" s="46" t="s">
        <v>62</v>
      </c>
      <c r="C145" s="19" t="s">
        <v>60</v>
      </c>
      <c r="D145" s="63">
        <f>183.16*3</f>
        <v>549.48</v>
      </c>
      <c r="E145" s="36"/>
      <c r="F145" s="21"/>
      <c r="G145" s="21"/>
      <c r="H145" s="21"/>
      <c r="I145" s="21"/>
      <c r="J145" s="21"/>
      <c r="K145" s="22" t="s">
        <v>81</v>
      </c>
    </row>
    <row r="146" spans="1:11" ht="31.2" x14ac:dyDescent="0.3">
      <c r="A146" s="65">
        <v>155</v>
      </c>
      <c r="B146" s="45" t="s">
        <v>85</v>
      </c>
      <c r="C146" s="19" t="s">
        <v>43</v>
      </c>
      <c r="D146" s="3">
        <v>549.48</v>
      </c>
      <c r="E146" s="36">
        <v>500</v>
      </c>
      <c r="F146" s="21">
        <v>380</v>
      </c>
      <c r="G146" s="20">
        <f t="shared" ref="G146:G149" si="60">E146+F146</f>
        <v>880</v>
      </c>
      <c r="H146" s="21">
        <f t="shared" ref="H146:H149" si="61">E146*D146</f>
        <v>274740</v>
      </c>
      <c r="I146" s="21">
        <f t="shared" ref="I146:I149" si="62">F146*D146</f>
        <v>208802.4</v>
      </c>
      <c r="J146" s="21">
        <f t="shared" ref="J146:J149" si="63">H146+I146</f>
        <v>483542.4</v>
      </c>
      <c r="K146" s="22" t="s">
        <v>81</v>
      </c>
    </row>
    <row r="147" spans="1:11" ht="31.2" x14ac:dyDescent="0.3">
      <c r="A147" s="65">
        <v>156</v>
      </c>
      <c r="B147" s="45" t="s">
        <v>63</v>
      </c>
      <c r="C147" s="19" t="s">
        <v>43</v>
      </c>
      <c r="D147" s="3">
        <v>549.48</v>
      </c>
      <c r="E147" s="23">
        <v>13</v>
      </c>
      <c r="F147" s="19">
        <v>75</v>
      </c>
      <c r="G147" s="20">
        <f t="shared" si="60"/>
        <v>88</v>
      </c>
      <c r="H147" s="21">
        <f t="shared" si="61"/>
        <v>7143.24</v>
      </c>
      <c r="I147" s="21">
        <f t="shared" si="62"/>
        <v>41211</v>
      </c>
      <c r="J147" s="21">
        <f t="shared" si="63"/>
        <v>48354.239999999998</v>
      </c>
      <c r="K147" s="22" t="s">
        <v>81</v>
      </c>
    </row>
    <row r="148" spans="1:11" ht="78" x14ac:dyDescent="0.3">
      <c r="A148" s="65">
        <v>157</v>
      </c>
      <c r="B148" s="45" t="s">
        <v>87</v>
      </c>
      <c r="C148" s="19" t="s">
        <v>60</v>
      </c>
      <c r="D148" s="3">
        <v>549.48</v>
      </c>
      <c r="E148" s="23">
        <v>457</v>
      </c>
      <c r="F148" s="19">
        <v>550</v>
      </c>
      <c r="G148" s="20">
        <f t="shared" si="60"/>
        <v>1007</v>
      </c>
      <c r="H148" s="21">
        <f t="shared" si="61"/>
        <v>251112.36000000002</v>
      </c>
      <c r="I148" s="21">
        <f t="shared" si="62"/>
        <v>302214</v>
      </c>
      <c r="J148" s="21">
        <f t="shared" si="63"/>
        <v>553326.36</v>
      </c>
      <c r="K148" s="22" t="s">
        <v>81</v>
      </c>
    </row>
    <row r="149" spans="1:11" ht="31.2" x14ac:dyDescent="0.3">
      <c r="A149" s="65">
        <v>158</v>
      </c>
      <c r="B149" s="45" t="s">
        <v>64</v>
      </c>
      <c r="C149" s="19" t="s">
        <v>60</v>
      </c>
      <c r="D149" s="3">
        <v>594.45000000000005</v>
      </c>
      <c r="E149" s="23">
        <v>900</v>
      </c>
      <c r="F149" s="21">
        <v>340</v>
      </c>
      <c r="G149" s="20">
        <f t="shared" si="60"/>
        <v>1240</v>
      </c>
      <c r="H149" s="21">
        <f t="shared" si="61"/>
        <v>535005</v>
      </c>
      <c r="I149" s="21">
        <f t="shared" si="62"/>
        <v>202113.00000000003</v>
      </c>
      <c r="J149" s="21">
        <f t="shared" si="63"/>
        <v>737118</v>
      </c>
      <c r="K149" s="22" t="s">
        <v>81</v>
      </c>
    </row>
    <row r="150" spans="1:11" x14ac:dyDescent="0.3">
      <c r="A150" s="65">
        <v>160</v>
      </c>
      <c r="B150" s="43" t="s">
        <v>70</v>
      </c>
      <c r="C150" s="18"/>
      <c r="D150" s="34"/>
      <c r="E150" s="35"/>
      <c r="F150" s="18"/>
      <c r="G150" s="18"/>
      <c r="H150" s="18"/>
      <c r="I150" s="18"/>
      <c r="J150" s="18"/>
      <c r="K150" s="18"/>
    </row>
    <row r="151" spans="1:11" x14ac:dyDescent="0.3">
      <c r="A151" s="65">
        <v>161</v>
      </c>
      <c r="B151" s="44" t="s">
        <v>46</v>
      </c>
      <c r="C151" s="19" t="s">
        <v>60</v>
      </c>
      <c r="D151" s="3">
        <v>69.88</v>
      </c>
      <c r="E151" s="36"/>
      <c r="F151" s="21"/>
      <c r="G151" s="21"/>
      <c r="H151" s="21"/>
      <c r="I151" s="21"/>
      <c r="J151" s="21"/>
      <c r="K151" s="22" t="s">
        <v>81</v>
      </c>
    </row>
    <row r="152" spans="1:11" ht="31.2" x14ac:dyDescent="0.3">
      <c r="A152" s="65">
        <v>162</v>
      </c>
      <c r="B152" s="4" t="s">
        <v>41</v>
      </c>
      <c r="C152" s="19" t="s">
        <v>60</v>
      </c>
      <c r="D152" s="3">
        <v>69.88</v>
      </c>
      <c r="E152" s="66">
        <v>420</v>
      </c>
      <c r="F152" s="67">
        <v>400</v>
      </c>
      <c r="G152" s="20">
        <f>E152+F152</f>
        <v>820</v>
      </c>
      <c r="H152" s="21">
        <f>E152*D152</f>
        <v>29349.599999999999</v>
      </c>
      <c r="I152" s="21">
        <f>F152*D152</f>
        <v>27952</v>
      </c>
      <c r="J152" s="21">
        <f>H152+I152</f>
        <v>57301.599999999999</v>
      </c>
      <c r="K152" s="22" t="s">
        <v>81</v>
      </c>
    </row>
    <row r="153" spans="1:11" x14ac:dyDescent="0.3">
      <c r="A153" s="65">
        <v>164</v>
      </c>
      <c r="B153" s="44" t="s">
        <v>49</v>
      </c>
      <c r="C153" s="19" t="s">
        <v>60</v>
      </c>
      <c r="D153" s="3">
        <v>140.38</v>
      </c>
      <c r="E153" s="36"/>
      <c r="F153" s="21"/>
      <c r="G153" s="21"/>
      <c r="H153" s="21"/>
      <c r="I153" s="21"/>
      <c r="J153" s="21"/>
      <c r="K153" s="22" t="s">
        <v>81</v>
      </c>
    </row>
    <row r="154" spans="1:11" ht="62.4" x14ac:dyDescent="0.3">
      <c r="A154" s="65">
        <v>165</v>
      </c>
      <c r="B154" s="45" t="s">
        <v>82</v>
      </c>
      <c r="C154" s="19" t="s">
        <v>60</v>
      </c>
      <c r="D154" s="3">
        <v>140.38</v>
      </c>
      <c r="E154" s="36">
        <v>567.40559999999994</v>
      </c>
      <c r="F154" s="21">
        <v>570</v>
      </c>
      <c r="G154" s="20">
        <f>E154+F154</f>
        <v>1137.4056</v>
      </c>
      <c r="H154" s="21">
        <f>E154*D154</f>
        <v>79652.398127999986</v>
      </c>
      <c r="I154" s="21">
        <f>F154*D154</f>
        <v>80016.599999999991</v>
      </c>
      <c r="J154" s="21">
        <f>H154+I154</f>
        <v>159668.99812799998</v>
      </c>
      <c r="K154" s="22" t="s">
        <v>81</v>
      </c>
    </row>
    <row r="155" spans="1:11" x14ac:dyDescent="0.3">
      <c r="A155" s="65">
        <v>167</v>
      </c>
      <c r="B155" s="46" t="s">
        <v>55</v>
      </c>
      <c r="C155" s="19" t="s">
        <v>60</v>
      </c>
      <c r="D155" s="3">
        <v>841.22</v>
      </c>
      <c r="E155" s="36"/>
      <c r="F155" s="21"/>
      <c r="G155" s="21"/>
      <c r="H155" s="21"/>
      <c r="I155" s="21"/>
      <c r="J155" s="21"/>
      <c r="K155" s="22" t="s">
        <v>81</v>
      </c>
    </row>
    <row r="156" spans="1:11" ht="62.4" x14ac:dyDescent="0.3">
      <c r="A156" s="65">
        <v>168</v>
      </c>
      <c r="B156" s="45" t="s">
        <v>83</v>
      </c>
      <c r="C156" s="19" t="s">
        <v>60</v>
      </c>
      <c r="D156" s="3">
        <v>841.22</v>
      </c>
      <c r="E156" s="36">
        <f>531*1.02</f>
        <v>541.62</v>
      </c>
      <c r="F156" s="21">
        <v>570</v>
      </c>
      <c r="G156" s="20">
        <f>E156+F156</f>
        <v>1111.6199999999999</v>
      </c>
      <c r="H156" s="21">
        <f>E156*D156</f>
        <v>455621.57640000002</v>
      </c>
      <c r="I156" s="21">
        <f>F156*D156</f>
        <v>479495.4</v>
      </c>
      <c r="J156" s="21">
        <f>H156+I156</f>
        <v>935116.97640000004</v>
      </c>
      <c r="K156" s="22" t="s">
        <v>81</v>
      </c>
    </row>
    <row r="157" spans="1:11" x14ac:dyDescent="0.3">
      <c r="A157" s="65">
        <v>169</v>
      </c>
      <c r="B157" s="46" t="s">
        <v>56</v>
      </c>
      <c r="C157" s="19" t="s">
        <v>60</v>
      </c>
      <c r="D157" s="3">
        <v>135</v>
      </c>
      <c r="E157" s="36"/>
      <c r="F157" s="21"/>
      <c r="G157" s="21"/>
      <c r="H157" s="21"/>
      <c r="I157" s="21"/>
      <c r="J157" s="21"/>
      <c r="K157" s="22" t="s">
        <v>81</v>
      </c>
    </row>
    <row r="158" spans="1:11" ht="46.8" x14ac:dyDescent="0.3">
      <c r="A158" s="65">
        <v>170</v>
      </c>
      <c r="B158" s="45" t="s">
        <v>53</v>
      </c>
      <c r="C158" s="19" t="s">
        <v>60</v>
      </c>
      <c r="D158" s="3">
        <v>187.56</v>
      </c>
      <c r="E158" s="36">
        <v>962</v>
      </c>
      <c r="F158" s="21">
        <v>340</v>
      </c>
      <c r="G158" s="20">
        <f>E158+F158</f>
        <v>1302</v>
      </c>
      <c r="H158" s="21">
        <f>E158*D158</f>
        <v>180432.72</v>
      </c>
      <c r="I158" s="21">
        <f>F158*D158</f>
        <v>63770.400000000001</v>
      </c>
      <c r="J158" s="21">
        <f>H158+I158</f>
        <v>244203.12</v>
      </c>
      <c r="K158" s="22" t="s">
        <v>81</v>
      </c>
    </row>
    <row r="159" spans="1:11" x14ac:dyDescent="0.3">
      <c r="A159" s="65">
        <v>171</v>
      </c>
      <c r="B159" s="46" t="s">
        <v>65</v>
      </c>
      <c r="C159" s="19" t="s">
        <v>60</v>
      </c>
      <c r="D159" s="3">
        <v>52.1</v>
      </c>
      <c r="E159" s="36"/>
      <c r="F159" s="21"/>
      <c r="G159" s="21"/>
      <c r="H159" s="21"/>
      <c r="I159" s="21"/>
      <c r="J159" s="21"/>
      <c r="K159" s="22" t="s">
        <v>81</v>
      </c>
    </row>
    <row r="160" spans="1:11" ht="46.8" x14ac:dyDescent="0.3">
      <c r="A160" s="65">
        <v>172</v>
      </c>
      <c r="B160" s="45" t="s">
        <v>53</v>
      </c>
      <c r="C160" s="19" t="s">
        <v>60</v>
      </c>
      <c r="D160" s="3">
        <v>67.680000000000007</v>
      </c>
      <c r="E160" s="36">
        <v>962</v>
      </c>
      <c r="F160" s="21">
        <v>340</v>
      </c>
      <c r="G160" s="20">
        <f t="shared" ref="G160:G161" si="64">E160+F160</f>
        <v>1302</v>
      </c>
      <c r="H160" s="21">
        <f t="shared" ref="H160:H161" si="65">E160*D160</f>
        <v>65108.160000000003</v>
      </c>
      <c r="I160" s="21">
        <f t="shared" ref="I160:I161" si="66">F160*D160</f>
        <v>23011.200000000001</v>
      </c>
      <c r="J160" s="21">
        <f t="shared" ref="J160:J161" si="67">H160+I160</f>
        <v>88119.360000000001</v>
      </c>
      <c r="K160" s="22" t="s">
        <v>81</v>
      </c>
    </row>
    <row r="161" spans="1:11" ht="62.4" x14ac:dyDescent="0.3">
      <c r="A161" s="65">
        <v>173</v>
      </c>
      <c r="B161" s="45" t="s">
        <v>83</v>
      </c>
      <c r="C161" s="19" t="s">
        <v>60</v>
      </c>
      <c r="D161" s="64">
        <v>52.1</v>
      </c>
      <c r="E161" s="36">
        <f>531*1.02</f>
        <v>541.62</v>
      </c>
      <c r="F161" s="21">
        <v>570</v>
      </c>
      <c r="G161" s="20">
        <f t="shared" si="64"/>
        <v>1111.6199999999999</v>
      </c>
      <c r="H161" s="21">
        <f t="shared" si="65"/>
        <v>28218.402000000002</v>
      </c>
      <c r="I161" s="21">
        <f t="shared" si="66"/>
        <v>29697</v>
      </c>
      <c r="J161" s="21">
        <f t="shared" si="67"/>
        <v>57915.402000000002</v>
      </c>
      <c r="K161" s="22" t="s">
        <v>81</v>
      </c>
    </row>
    <row r="162" spans="1:11" x14ac:dyDescent="0.3">
      <c r="A162" s="65">
        <v>174</v>
      </c>
      <c r="B162" s="46" t="s">
        <v>62</v>
      </c>
      <c r="C162" s="19" t="s">
        <v>60</v>
      </c>
      <c r="D162" s="3">
        <v>367.34</v>
      </c>
      <c r="E162" s="36"/>
      <c r="F162" s="21"/>
      <c r="G162" s="21"/>
      <c r="H162" s="21"/>
      <c r="I162" s="21"/>
      <c r="J162" s="21"/>
      <c r="K162" s="22" t="s">
        <v>81</v>
      </c>
    </row>
    <row r="163" spans="1:11" ht="31.2" x14ac:dyDescent="0.3">
      <c r="A163" s="65">
        <v>175</v>
      </c>
      <c r="B163" s="45" t="s">
        <v>85</v>
      </c>
      <c r="C163" s="19" t="s">
        <v>43</v>
      </c>
      <c r="D163" s="3">
        <v>367.34</v>
      </c>
      <c r="E163" s="36">
        <v>500</v>
      </c>
      <c r="F163" s="21">
        <v>380</v>
      </c>
      <c r="G163" s="20">
        <f t="shared" ref="G163:G166" si="68">E163+F163</f>
        <v>880</v>
      </c>
      <c r="H163" s="21">
        <f t="shared" ref="H163:H166" si="69">E163*D163</f>
        <v>183670</v>
      </c>
      <c r="I163" s="21">
        <f t="shared" ref="I163:I166" si="70">F163*D163</f>
        <v>139589.19999999998</v>
      </c>
      <c r="J163" s="21">
        <f t="shared" ref="J163:J166" si="71">H163+I163</f>
        <v>323259.19999999995</v>
      </c>
      <c r="K163" s="22" t="s">
        <v>81</v>
      </c>
    </row>
    <row r="164" spans="1:11" ht="31.2" x14ac:dyDescent="0.3">
      <c r="A164" s="65">
        <v>176</v>
      </c>
      <c r="B164" s="45" t="s">
        <v>63</v>
      </c>
      <c r="C164" s="19" t="s">
        <v>43</v>
      </c>
      <c r="D164" s="63">
        <v>367.34</v>
      </c>
      <c r="E164" s="23">
        <v>13</v>
      </c>
      <c r="F164" s="19">
        <v>75</v>
      </c>
      <c r="G164" s="20">
        <f t="shared" si="68"/>
        <v>88</v>
      </c>
      <c r="H164" s="21">
        <f t="shared" si="69"/>
        <v>4775.42</v>
      </c>
      <c r="I164" s="21">
        <f t="shared" si="70"/>
        <v>27550.499999999996</v>
      </c>
      <c r="J164" s="21">
        <f t="shared" si="71"/>
        <v>32325.919999999998</v>
      </c>
      <c r="K164" s="22" t="s">
        <v>81</v>
      </c>
    </row>
    <row r="165" spans="1:11" ht="78" x14ac:dyDescent="0.3">
      <c r="A165" s="65">
        <v>177</v>
      </c>
      <c r="B165" s="45" t="s">
        <v>87</v>
      </c>
      <c r="C165" s="19" t="s">
        <v>60</v>
      </c>
      <c r="D165" s="3">
        <v>367.34</v>
      </c>
      <c r="E165" s="23">
        <v>457</v>
      </c>
      <c r="F165" s="19">
        <v>550</v>
      </c>
      <c r="G165" s="20">
        <f t="shared" si="68"/>
        <v>1007</v>
      </c>
      <c r="H165" s="21">
        <f t="shared" si="69"/>
        <v>167874.37999999998</v>
      </c>
      <c r="I165" s="21">
        <f t="shared" si="70"/>
        <v>202037</v>
      </c>
      <c r="J165" s="21">
        <f t="shared" si="71"/>
        <v>369911.38</v>
      </c>
      <c r="K165" s="22" t="s">
        <v>81</v>
      </c>
    </row>
    <row r="166" spans="1:11" ht="31.2" x14ac:dyDescent="0.3">
      <c r="A166" s="65">
        <v>178</v>
      </c>
      <c r="B166" s="45" t="s">
        <v>64</v>
      </c>
      <c r="C166" s="19" t="s">
        <v>60</v>
      </c>
      <c r="D166" s="3">
        <v>397.32</v>
      </c>
      <c r="E166" s="23">
        <v>900</v>
      </c>
      <c r="F166" s="21">
        <v>340</v>
      </c>
      <c r="G166" s="20">
        <f t="shared" si="68"/>
        <v>1240</v>
      </c>
      <c r="H166" s="21">
        <f t="shared" si="69"/>
        <v>357588</v>
      </c>
      <c r="I166" s="21">
        <f t="shared" si="70"/>
        <v>135088.79999999999</v>
      </c>
      <c r="J166" s="21">
        <f t="shared" si="71"/>
        <v>492676.8</v>
      </c>
      <c r="K166" s="22" t="s">
        <v>81</v>
      </c>
    </row>
    <row r="167" spans="1:11" x14ac:dyDescent="0.3">
      <c r="A167" s="65">
        <v>180</v>
      </c>
      <c r="B167" s="43" t="s">
        <v>73</v>
      </c>
      <c r="C167" s="18"/>
      <c r="D167" s="34"/>
      <c r="E167" s="35"/>
      <c r="F167" s="18"/>
      <c r="G167" s="18"/>
      <c r="H167" s="18"/>
      <c r="I167" s="18"/>
      <c r="J167" s="18"/>
      <c r="K167" s="18"/>
    </row>
    <row r="168" spans="1:11" x14ac:dyDescent="0.3">
      <c r="A168" s="65">
        <v>181</v>
      </c>
      <c r="B168" s="44" t="s">
        <v>46</v>
      </c>
      <c r="C168" s="19" t="s">
        <v>60</v>
      </c>
      <c r="D168" s="63">
        <v>15.48</v>
      </c>
      <c r="E168" s="36"/>
      <c r="F168" s="21"/>
      <c r="G168" s="21"/>
      <c r="H168" s="21"/>
      <c r="I168" s="21"/>
      <c r="J168" s="21"/>
      <c r="K168" s="22" t="s">
        <v>81</v>
      </c>
    </row>
    <row r="169" spans="1:11" ht="31.2" x14ac:dyDescent="0.3">
      <c r="A169" s="65">
        <v>182</v>
      </c>
      <c r="B169" s="4" t="s">
        <v>41</v>
      </c>
      <c r="C169" s="19" t="s">
        <v>60</v>
      </c>
      <c r="D169" s="3">
        <v>15.48</v>
      </c>
      <c r="E169" s="66">
        <v>420</v>
      </c>
      <c r="F169" s="67">
        <v>400</v>
      </c>
      <c r="G169" s="20">
        <f t="shared" ref="G169" si="72">E169+F169</f>
        <v>820</v>
      </c>
      <c r="H169" s="21">
        <f t="shared" ref="H169" si="73">E169*D169</f>
        <v>6501.6</v>
      </c>
      <c r="I169" s="21">
        <f t="shared" ref="I169" si="74">F169*D169</f>
        <v>6192</v>
      </c>
      <c r="J169" s="21">
        <f t="shared" ref="J169" si="75">H169+I169</f>
        <v>12693.6</v>
      </c>
      <c r="K169" s="22" t="s">
        <v>81</v>
      </c>
    </row>
    <row r="170" spans="1:11" x14ac:dyDescent="0.3">
      <c r="A170" s="65">
        <v>184</v>
      </c>
      <c r="B170" s="44" t="s">
        <v>74</v>
      </c>
      <c r="C170" s="19" t="s">
        <v>60</v>
      </c>
      <c r="D170" s="3">
        <v>96.3</v>
      </c>
      <c r="E170" s="36"/>
      <c r="F170" s="21"/>
      <c r="G170" s="21"/>
      <c r="H170" s="21"/>
      <c r="I170" s="21"/>
      <c r="J170" s="21"/>
      <c r="K170" s="22" t="s">
        <v>81</v>
      </c>
    </row>
    <row r="171" spans="1:11" ht="31.2" x14ac:dyDescent="0.3">
      <c r="A171" s="65">
        <v>185</v>
      </c>
      <c r="B171" s="4" t="s">
        <v>72</v>
      </c>
      <c r="C171" s="19" t="s">
        <v>61</v>
      </c>
      <c r="D171" s="3">
        <f>D170*0.75</f>
        <v>72.224999999999994</v>
      </c>
      <c r="E171" s="36">
        <v>5700</v>
      </c>
      <c r="F171" s="20">
        <v>1900</v>
      </c>
      <c r="G171" s="20">
        <f t="shared" ref="G171:G175" si="76">E171+F171</f>
        <v>7600</v>
      </c>
      <c r="H171" s="21">
        <f t="shared" ref="H171:H175" si="77">E171*D171</f>
        <v>411682.49999999994</v>
      </c>
      <c r="I171" s="21">
        <f t="shared" ref="I171:I175" si="78">F171*D171</f>
        <v>137227.5</v>
      </c>
      <c r="J171" s="21">
        <f t="shared" ref="J171:J175" si="79">H171+I171</f>
        <v>548910</v>
      </c>
      <c r="K171" s="22" t="s">
        <v>81</v>
      </c>
    </row>
    <row r="172" spans="1:11" x14ac:dyDescent="0.3">
      <c r="A172" s="65">
        <v>186</v>
      </c>
      <c r="B172" s="4" t="s">
        <v>58</v>
      </c>
      <c r="C172" s="19" t="s">
        <v>60</v>
      </c>
      <c r="D172" s="63">
        <f>D170</f>
        <v>96.3</v>
      </c>
      <c r="E172" s="36">
        <v>32</v>
      </c>
      <c r="F172" s="20">
        <v>15</v>
      </c>
      <c r="G172" s="20">
        <f t="shared" si="76"/>
        <v>47</v>
      </c>
      <c r="H172" s="21">
        <f t="shared" si="77"/>
        <v>3081.6</v>
      </c>
      <c r="I172" s="21">
        <f t="shared" si="78"/>
        <v>1444.5</v>
      </c>
      <c r="J172" s="21">
        <f t="shared" si="79"/>
        <v>4526.1000000000004</v>
      </c>
      <c r="K172" s="22" t="s">
        <v>81</v>
      </c>
    </row>
    <row r="173" spans="1:11" x14ac:dyDescent="0.3">
      <c r="A173" s="65">
        <v>187</v>
      </c>
      <c r="B173" s="4" t="s">
        <v>59</v>
      </c>
      <c r="C173" s="19" t="s">
        <v>61</v>
      </c>
      <c r="D173" s="3">
        <f>ROUND(D170*0.2,3)</f>
        <v>19.260000000000002</v>
      </c>
      <c r="E173" s="66">
        <v>11152</v>
      </c>
      <c r="F173" s="20">
        <v>8000</v>
      </c>
      <c r="G173" s="20">
        <f t="shared" si="76"/>
        <v>19152</v>
      </c>
      <c r="H173" s="21">
        <f t="shared" si="77"/>
        <v>214787.52000000002</v>
      </c>
      <c r="I173" s="21">
        <f t="shared" si="78"/>
        <v>154080</v>
      </c>
      <c r="J173" s="21">
        <f t="shared" si="79"/>
        <v>368867.52</v>
      </c>
      <c r="K173" s="22" t="s">
        <v>81</v>
      </c>
    </row>
    <row r="174" spans="1:11" ht="46.8" x14ac:dyDescent="0.3">
      <c r="A174" s="65">
        <v>188</v>
      </c>
      <c r="B174" s="4" t="s">
        <v>44</v>
      </c>
      <c r="C174" s="19" t="s">
        <v>43</v>
      </c>
      <c r="D174" s="3">
        <f>D170+16.36</f>
        <v>112.66</v>
      </c>
      <c r="E174" s="36">
        <v>990</v>
      </c>
      <c r="F174" s="20">
        <v>900</v>
      </c>
      <c r="G174" s="20">
        <f t="shared" si="76"/>
        <v>1890</v>
      </c>
      <c r="H174" s="21">
        <f t="shared" si="77"/>
        <v>111533.4</v>
      </c>
      <c r="I174" s="21">
        <f t="shared" si="78"/>
        <v>101394</v>
      </c>
      <c r="J174" s="21">
        <f t="shared" si="79"/>
        <v>212927.4</v>
      </c>
      <c r="K174" s="22" t="s">
        <v>81</v>
      </c>
    </row>
    <row r="175" spans="1:11" ht="31.2" x14ac:dyDescent="0.3">
      <c r="A175" s="65">
        <v>189</v>
      </c>
      <c r="B175" s="45" t="s">
        <v>75</v>
      </c>
      <c r="C175" s="19" t="s">
        <v>60</v>
      </c>
      <c r="D175" s="3">
        <f>D170</f>
        <v>96.3</v>
      </c>
      <c r="E175" s="36">
        <v>500</v>
      </c>
      <c r="F175" s="21">
        <v>450</v>
      </c>
      <c r="G175" s="20">
        <f t="shared" si="76"/>
        <v>950</v>
      </c>
      <c r="H175" s="21">
        <f t="shared" si="77"/>
        <v>48150</v>
      </c>
      <c r="I175" s="21">
        <f t="shared" si="78"/>
        <v>43335</v>
      </c>
      <c r="J175" s="21">
        <f t="shared" si="79"/>
        <v>91485</v>
      </c>
      <c r="K175" s="22" t="s">
        <v>81</v>
      </c>
    </row>
    <row r="176" spans="1:11" x14ac:dyDescent="0.3">
      <c r="B176" s="58" t="s">
        <v>14</v>
      </c>
      <c r="C176" s="59"/>
      <c r="D176" s="60"/>
      <c r="E176" s="61"/>
      <c r="F176" s="61"/>
      <c r="G176" s="61"/>
      <c r="H176" s="62">
        <f>SUM(H12:H175)</f>
        <v>18553778.527176</v>
      </c>
      <c r="I176" s="62">
        <f t="shared" ref="I176:J176" si="80">SUM(I12:I175)</f>
        <v>13552924.35</v>
      </c>
      <c r="J176" s="62">
        <f t="shared" si="80"/>
        <v>32106702.877175998</v>
      </c>
    </row>
    <row r="177" spans="2:12" x14ac:dyDescent="0.3">
      <c r="B177" s="47" t="s">
        <v>15</v>
      </c>
      <c r="C177" s="25"/>
      <c r="D177" s="26"/>
      <c r="E177" s="27"/>
      <c r="F177" s="27"/>
      <c r="G177" s="27"/>
      <c r="H177" s="21">
        <f t="shared" ref="H177:I177" si="81">H176/6</f>
        <v>3092296.4211960002</v>
      </c>
      <c r="I177" s="21">
        <f t="shared" si="81"/>
        <v>2258820.7250000001</v>
      </c>
      <c r="J177" s="21">
        <f>J176/6</f>
        <v>5351117.1461959993</v>
      </c>
    </row>
    <row r="178" spans="2:12" x14ac:dyDescent="0.3">
      <c r="B178" s="48"/>
      <c r="C178" s="29"/>
      <c r="D178" s="30"/>
      <c r="E178" s="31"/>
      <c r="F178" s="31"/>
      <c r="G178" s="31"/>
      <c r="H178" s="39"/>
      <c r="I178" s="39"/>
      <c r="J178" s="39"/>
      <c r="L178" s="40"/>
    </row>
    <row r="179" spans="2:12" x14ac:dyDescent="0.3">
      <c r="L179" s="40"/>
    </row>
    <row r="180" spans="2:12" x14ac:dyDescent="0.3">
      <c r="B180" s="49" t="s">
        <v>18</v>
      </c>
      <c r="H180" s="33"/>
      <c r="L180" s="40"/>
    </row>
    <row r="181" spans="2:12" x14ac:dyDescent="0.3">
      <c r="B181" s="49" t="s">
        <v>19</v>
      </c>
      <c r="H181" s="33"/>
    </row>
    <row r="182" spans="2:12" x14ac:dyDescent="0.3">
      <c r="B182" s="50"/>
    </row>
    <row r="183" spans="2:12" x14ac:dyDescent="0.3">
      <c r="B183" s="50"/>
    </row>
    <row r="184" spans="2:12" x14ac:dyDescent="0.3">
      <c r="B184" s="49" t="s">
        <v>20</v>
      </c>
      <c r="H184" s="33"/>
    </row>
    <row r="185" spans="2:12" x14ac:dyDescent="0.3">
      <c r="B185" s="50"/>
    </row>
    <row r="186" spans="2:12" x14ac:dyDescent="0.3">
      <c r="B186" s="50"/>
    </row>
    <row r="187" spans="2:12" x14ac:dyDescent="0.3">
      <c r="B187" s="50" t="s">
        <v>71</v>
      </c>
    </row>
    <row r="188" spans="2:12" x14ac:dyDescent="0.3">
      <c r="B188" s="50" t="s">
        <v>6</v>
      </c>
    </row>
  </sheetData>
  <autoFilter ref="A10:K177" xr:uid="{00000000-0009-0000-0000-000000000000}"/>
  <mergeCells count="11">
    <mergeCell ref="A6:K6"/>
    <mergeCell ref="A5:K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2" type="noConversion"/>
  <conditionalFormatting sqref="B13 B18 B34">
    <cfRule type="expression" dxfId="120" priority="3854">
      <formula>$B13="Машины и Механизмы"</formula>
    </cfRule>
    <cfRule type="expression" dxfId="119" priority="3855">
      <formula>$B13="Работа"</formula>
    </cfRule>
  </conditionalFormatting>
  <conditionalFormatting sqref="B13">
    <cfRule type="expression" dxfId="118" priority="3856">
      <formula>#REF!="Машины и Механизмы"</formula>
    </cfRule>
  </conditionalFormatting>
  <conditionalFormatting sqref="B40">
    <cfRule type="expression" dxfId="117" priority="3842">
      <formula>#REF!="Машины и Механизмы"</formula>
    </cfRule>
    <cfRule type="expression" dxfId="116" priority="3848">
      <formula>#REF!="Работа"</formula>
    </cfRule>
  </conditionalFormatting>
  <conditionalFormatting sqref="B41">
    <cfRule type="expression" dxfId="115" priority="3830">
      <formula>$B41="Машины и Механизмы"</formula>
    </cfRule>
    <cfRule type="expression" dxfId="114" priority="3831">
      <formula>$B41="Работа"</formula>
    </cfRule>
  </conditionalFormatting>
  <conditionalFormatting sqref="B41">
    <cfRule type="expression" dxfId="113" priority="3832">
      <formula>#REF!="Машины и Механизмы"</formula>
    </cfRule>
  </conditionalFormatting>
  <conditionalFormatting sqref="B18">
    <cfRule type="expression" dxfId="112" priority="3824">
      <formula>#REF!="Машины и Механизмы"</formula>
    </cfRule>
  </conditionalFormatting>
  <conditionalFormatting sqref="B94">
    <cfRule type="expression" dxfId="111" priority="3150">
      <formula>$B94="Машины и Механизмы"</formula>
    </cfRule>
    <cfRule type="expression" dxfId="110" priority="3151">
      <formula>$B94="Работа"</formula>
    </cfRule>
  </conditionalFormatting>
  <conditionalFormatting sqref="B104">
    <cfRule type="expression" dxfId="109" priority="3132">
      <formula>$B104="Машины и Механизмы"</formula>
    </cfRule>
    <cfRule type="expression" dxfId="108" priority="3133">
      <formula>$B104="Работа"</formula>
    </cfRule>
  </conditionalFormatting>
  <conditionalFormatting sqref="B104">
    <cfRule type="expression" dxfId="107" priority="3134">
      <formula>#REF!="Машины и Механизмы"</formula>
    </cfRule>
  </conditionalFormatting>
  <conditionalFormatting sqref="B94">
    <cfRule type="expression" dxfId="106" priority="3152">
      <formula>#REF!="Машины и Механизмы"</formula>
    </cfRule>
  </conditionalFormatting>
  <conditionalFormatting sqref="B111">
    <cfRule type="expression" dxfId="105" priority="3117">
      <formula>$B111="Машины и Механизмы"</formula>
    </cfRule>
    <cfRule type="expression" dxfId="104" priority="3118">
      <formula>$B111="Работа"</formula>
    </cfRule>
  </conditionalFormatting>
  <conditionalFormatting sqref="B108">
    <cfRule type="expression" dxfId="103" priority="3123">
      <formula>$B108="Машины и Механизмы"</formula>
    </cfRule>
    <cfRule type="expression" dxfId="102" priority="3124">
      <formula>$B108="Работа"</formula>
    </cfRule>
  </conditionalFormatting>
  <conditionalFormatting sqref="B108">
    <cfRule type="expression" dxfId="101" priority="3125">
      <formula>#REF!="Машины и Механизмы"</formula>
    </cfRule>
  </conditionalFormatting>
  <conditionalFormatting sqref="B111">
    <cfRule type="expression" dxfId="100" priority="3119">
      <formula>#REF!="Машины и Механизмы"</formula>
    </cfRule>
  </conditionalFormatting>
  <conditionalFormatting sqref="B89">
    <cfRule type="expression" dxfId="99" priority="3164">
      <formula>#REF!="Машины и Механизмы"</formula>
    </cfRule>
  </conditionalFormatting>
  <conditionalFormatting sqref="B101">
    <cfRule type="expression" dxfId="98" priority="3144">
      <formula>$B101="Машины и Механизмы"</formula>
    </cfRule>
    <cfRule type="expression" dxfId="97" priority="3145">
      <formula>$B101="Работа"</formula>
    </cfRule>
  </conditionalFormatting>
  <conditionalFormatting sqref="B89">
    <cfRule type="expression" dxfId="96" priority="3162">
      <formula>$B89="Машины и Механизмы"</formula>
    </cfRule>
    <cfRule type="expression" dxfId="95" priority="3163">
      <formula>$B89="Работа"</formula>
    </cfRule>
  </conditionalFormatting>
  <conditionalFormatting sqref="B87">
    <cfRule type="expression" dxfId="94" priority="3165">
      <formula>$B87="Машины и Механизмы"</formula>
    </cfRule>
    <cfRule type="expression" dxfId="93" priority="3166">
      <formula>$B87="Работа"</formula>
    </cfRule>
  </conditionalFormatting>
  <conditionalFormatting sqref="B87">
    <cfRule type="expression" dxfId="92" priority="3167">
      <formula>#REF!="Машины и Механизмы"</formula>
    </cfRule>
  </conditionalFormatting>
  <conditionalFormatting sqref="B72">
    <cfRule type="expression" dxfId="91" priority="3195">
      <formula>$B72="Машины и Механизмы"</formula>
    </cfRule>
    <cfRule type="expression" dxfId="90" priority="3196">
      <formula>$B72="Работа"</formula>
    </cfRule>
  </conditionalFormatting>
  <conditionalFormatting sqref="B72">
    <cfRule type="expression" dxfId="89" priority="3197">
      <formula>#REF!="Машины и Механизмы"</formula>
    </cfRule>
  </conditionalFormatting>
  <conditionalFormatting sqref="B70">
    <cfRule type="expression" dxfId="88" priority="3200">
      <formula>#REF!="Машины и Механизмы"</formula>
    </cfRule>
  </conditionalFormatting>
  <conditionalFormatting sqref="B70">
    <cfRule type="expression" dxfId="87" priority="3198">
      <formula>$B70="Машины и Механизмы"</formula>
    </cfRule>
    <cfRule type="expression" dxfId="86" priority="3199">
      <formula>$B70="Работа"</formula>
    </cfRule>
  </conditionalFormatting>
  <conditionalFormatting sqref="B118">
    <cfRule type="expression" dxfId="85" priority="3111">
      <formula>$B118="Машины и Механизмы"</formula>
    </cfRule>
    <cfRule type="expression" dxfId="84" priority="3112">
      <formula>$B118="Работа"</formula>
    </cfRule>
  </conditionalFormatting>
  <conditionalFormatting sqref="B118">
    <cfRule type="expression" dxfId="83" priority="3113">
      <formula>#REF!="Машины и Механизмы"</formula>
    </cfRule>
  </conditionalFormatting>
  <conditionalFormatting sqref="B34">
    <cfRule type="expression" dxfId="82" priority="3224">
      <formula>#REF!="Машины и Механизмы"</formula>
    </cfRule>
  </conditionalFormatting>
  <conditionalFormatting sqref="B39">
    <cfRule type="expression" dxfId="81" priority="3220">
      <formula>$B39="Машины и Механизмы"</formula>
    </cfRule>
    <cfRule type="expression" dxfId="80" priority="3221">
      <formula>$B39="Работа"</formula>
    </cfRule>
  </conditionalFormatting>
  <conditionalFormatting sqref="B39">
    <cfRule type="expression" dxfId="79" priority="3219">
      <formula>#REF!="Машины и Механизмы"</formula>
    </cfRule>
  </conditionalFormatting>
  <conditionalFormatting sqref="B65">
    <cfRule type="expression" dxfId="78" priority="3207">
      <formula>$B65="Машины и Механизмы"</formula>
    </cfRule>
    <cfRule type="expression" dxfId="77" priority="3208">
      <formula>$B65="Работа"</formula>
    </cfRule>
  </conditionalFormatting>
  <conditionalFormatting sqref="B65">
    <cfRule type="expression" dxfId="76" priority="3209">
      <formula>#REF!="Машины и Механизмы"</formula>
    </cfRule>
  </conditionalFormatting>
  <conditionalFormatting sqref="B74">
    <cfRule type="expression" dxfId="75" priority="3189">
      <formula>$B74="Машины и Механизмы"</formula>
    </cfRule>
    <cfRule type="expression" dxfId="74" priority="3190">
      <formula>$B74="Работа"</formula>
    </cfRule>
  </conditionalFormatting>
  <conditionalFormatting sqref="B74">
    <cfRule type="expression" dxfId="73" priority="3191">
      <formula>#REF!="Машины и Механизмы"</formula>
    </cfRule>
  </conditionalFormatting>
  <conditionalFormatting sqref="B77">
    <cfRule type="expression" dxfId="72" priority="3183">
      <formula>$B77="Машины и Механизмы"</formula>
    </cfRule>
    <cfRule type="expression" dxfId="71" priority="3184">
      <formula>$B77="Работа"</formula>
    </cfRule>
  </conditionalFormatting>
  <conditionalFormatting sqref="B77">
    <cfRule type="expression" dxfId="70" priority="3185">
      <formula>#REF!="Машины и Механизмы"</formula>
    </cfRule>
  </conditionalFormatting>
  <conditionalFormatting sqref="B84">
    <cfRule type="expression" dxfId="69" priority="3177">
      <formula>$B84="Машины и Механизмы"</formula>
    </cfRule>
    <cfRule type="expression" dxfId="68" priority="3178">
      <formula>$B84="Работа"</formula>
    </cfRule>
  </conditionalFormatting>
  <conditionalFormatting sqref="B84">
    <cfRule type="expression" dxfId="67" priority="3179">
      <formula>#REF!="Машины и Механизмы"</formula>
    </cfRule>
  </conditionalFormatting>
  <conditionalFormatting sqref="B91">
    <cfRule type="expression" dxfId="66" priority="3156">
      <formula>$B91="Машины и Механизмы"</formula>
    </cfRule>
    <cfRule type="expression" dxfId="65" priority="3157">
      <formula>$B91="Работа"</formula>
    </cfRule>
  </conditionalFormatting>
  <conditionalFormatting sqref="B91">
    <cfRule type="expression" dxfId="64" priority="3158">
      <formula>#REF!="Машины и Механизмы"</formula>
    </cfRule>
  </conditionalFormatting>
  <conditionalFormatting sqref="B101">
    <cfRule type="expression" dxfId="63" priority="3146">
      <formula>#REF!="Машины и Механизмы"</formula>
    </cfRule>
  </conditionalFormatting>
  <conditionalFormatting sqref="B106">
    <cfRule type="expression" dxfId="62" priority="3129">
      <formula>$B106="Машины и Механизмы"</formula>
    </cfRule>
    <cfRule type="expression" dxfId="61" priority="3130">
      <formula>$B106="Работа"</formula>
    </cfRule>
  </conditionalFormatting>
  <conditionalFormatting sqref="B106">
    <cfRule type="expression" dxfId="60" priority="3131">
      <formula>#REF!="Машины и Механизмы"</formula>
    </cfRule>
  </conditionalFormatting>
  <conditionalFormatting sqref="B121">
    <cfRule type="expression" dxfId="59" priority="3099">
      <formula>$B121="Машины и Механизмы"</formula>
    </cfRule>
    <cfRule type="expression" dxfId="58" priority="3100">
      <formula>$B121="Работа"</formula>
    </cfRule>
  </conditionalFormatting>
  <conditionalFormatting sqref="B121">
    <cfRule type="expression" dxfId="57" priority="3101">
      <formula>#REF!="Машины и Механизмы"</formula>
    </cfRule>
  </conditionalFormatting>
  <conditionalFormatting sqref="B123">
    <cfRule type="expression" dxfId="56" priority="3096">
      <formula>$B123="Машины и Механизмы"</formula>
    </cfRule>
    <cfRule type="expression" dxfId="55" priority="3097">
      <formula>$B123="Работа"</formula>
    </cfRule>
  </conditionalFormatting>
  <conditionalFormatting sqref="B123">
    <cfRule type="expression" dxfId="54" priority="3098">
      <formula>#REF!="Машины и Механизмы"</formula>
    </cfRule>
  </conditionalFormatting>
  <conditionalFormatting sqref="B125">
    <cfRule type="expression" dxfId="53" priority="3090">
      <formula>$B125="Машины и Механизмы"</formula>
    </cfRule>
    <cfRule type="expression" dxfId="52" priority="3091">
      <formula>$B125="Работа"</formula>
    </cfRule>
  </conditionalFormatting>
  <conditionalFormatting sqref="B125">
    <cfRule type="expression" dxfId="51" priority="3092">
      <formula>#REF!="Машины и Механизмы"</formula>
    </cfRule>
  </conditionalFormatting>
  <conditionalFormatting sqref="B128">
    <cfRule type="expression" dxfId="50" priority="3084">
      <formula>$B128="Машины и Механизмы"</formula>
    </cfRule>
    <cfRule type="expression" dxfId="49" priority="3085">
      <formula>$B128="Работа"</formula>
    </cfRule>
  </conditionalFormatting>
  <conditionalFormatting sqref="B128">
    <cfRule type="expression" dxfId="48" priority="3086">
      <formula>#REF!="Машины и Механизмы"</formula>
    </cfRule>
  </conditionalFormatting>
  <conditionalFormatting sqref="B135">
    <cfRule type="expression" dxfId="47" priority="3078">
      <formula>$B135="Машины и Механизмы"</formula>
    </cfRule>
    <cfRule type="expression" dxfId="46" priority="3079">
      <formula>$B135="Работа"</formula>
    </cfRule>
  </conditionalFormatting>
  <conditionalFormatting sqref="B135">
    <cfRule type="expression" dxfId="45" priority="3080">
      <formula>#REF!="Машины и Механизмы"</formula>
    </cfRule>
  </conditionalFormatting>
  <conditionalFormatting sqref="B138">
    <cfRule type="expression" dxfId="44" priority="3066">
      <formula>$B138="Машины и Механизмы"</formula>
    </cfRule>
    <cfRule type="expression" dxfId="43" priority="3067">
      <formula>$B138="Работа"</formula>
    </cfRule>
  </conditionalFormatting>
  <conditionalFormatting sqref="B138">
    <cfRule type="expression" dxfId="42" priority="3068">
      <formula>#REF!="Машины и Механизмы"</formula>
    </cfRule>
  </conditionalFormatting>
  <conditionalFormatting sqref="B140">
    <cfRule type="expression" dxfId="41" priority="3063">
      <formula>$B140="Машины и Механизмы"</formula>
    </cfRule>
    <cfRule type="expression" dxfId="40" priority="3064">
      <formula>$B140="Работа"</formula>
    </cfRule>
  </conditionalFormatting>
  <conditionalFormatting sqref="B140">
    <cfRule type="expression" dxfId="39" priority="3065">
      <formula>#REF!="Машины и Механизмы"</formula>
    </cfRule>
  </conditionalFormatting>
  <conditionalFormatting sqref="B142">
    <cfRule type="expression" dxfId="38" priority="3057">
      <formula>$B142="Машины и Механизмы"</formula>
    </cfRule>
    <cfRule type="expression" dxfId="37" priority="3058">
      <formula>$B142="Работа"</formula>
    </cfRule>
  </conditionalFormatting>
  <conditionalFormatting sqref="B142">
    <cfRule type="expression" dxfId="36" priority="3059">
      <formula>#REF!="Машины и Механизмы"</formula>
    </cfRule>
  </conditionalFormatting>
  <conditionalFormatting sqref="B145">
    <cfRule type="expression" dxfId="35" priority="3051">
      <formula>$B145="Машины и Механизмы"</formula>
    </cfRule>
    <cfRule type="expression" dxfId="34" priority="3052">
      <formula>$B145="Работа"</formula>
    </cfRule>
  </conditionalFormatting>
  <conditionalFormatting sqref="B145">
    <cfRule type="expression" dxfId="33" priority="3053">
      <formula>#REF!="Машины и Механизмы"</formula>
    </cfRule>
  </conditionalFormatting>
  <conditionalFormatting sqref="B152">
    <cfRule type="expression" dxfId="32" priority="3045">
      <formula>$B152="Машины и Механизмы"</formula>
    </cfRule>
    <cfRule type="expression" dxfId="31" priority="3046">
      <formula>$B152="Работа"</formula>
    </cfRule>
  </conditionalFormatting>
  <conditionalFormatting sqref="B152">
    <cfRule type="expression" dxfId="30" priority="3047">
      <formula>#REF!="Машины и Механизмы"</formula>
    </cfRule>
  </conditionalFormatting>
  <conditionalFormatting sqref="B155">
    <cfRule type="expression" dxfId="29" priority="3033">
      <formula>$B155="Машины и Механизмы"</formula>
    </cfRule>
    <cfRule type="expression" dxfId="28" priority="3034">
      <formula>$B155="Работа"</formula>
    </cfRule>
  </conditionalFormatting>
  <conditionalFormatting sqref="B155">
    <cfRule type="expression" dxfId="27" priority="3035">
      <formula>#REF!="Машины и Механизмы"</formula>
    </cfRule>
  </conditionalFormatting>
  <conditionalFormatting sqref="B157">
    <cfRule type="expression" dxfId="26" priority="3030">
      <formula>$B157="Машины и Механизмы"</formula>
    </cfRule>
    <cfRule type="expression" dxfId="25" priority="3031">
      <formula>$B157="Работа"</formula>
    </cfRule>
  </conditionalFormatting>
  <conditionalFormatting sqref="B157">
    <cfRule type="expression" dxfId="24" priority="3032">
      <formula>#REF!="Машины и Механизмы"</formula>
    </cfRule>
  </conditionalFormatting>
  <conditionalFormatting sqref="B159">
    <cfRule type="expression" dxfId="23" priority="3024">
      <formula>$B159="Машины и Механизмы"</formula>
    </cfRule>
    <cfRule type="expression" dxfId="22" priority="3025">
      <formula>$B159="Работа"</formula>
    </cfRule>
  </conditionalFormatting>
  <conditionalFormatting sqref="B159">
    <cfRule type="expression" dxfId="21" priority="3026">
      <formula>#REF!="Машины и Механизмы"</formula>
    </cfRule>
  </conditionalFormatting>
  <conditionalFormatting sqref="B162">
    <cfRule type="expression" dxfId="20" priority="3018">
      <formula>$B162="Машины и Механизмы"</formula>
    </cfRule>
    <cfRule type="expression" dxfId="19" priority="3019">
      <formula>$B162="Работа"</formula>
    </cfRule>
  </conditionalFormatting>
  <conditionalFormatting sqref="B162">
    <cfRule type="expression" dxfId="18" priority="3020">
      <formula>#REF!="Машины и Механизмы"</formula>
    </cfRule>
  </conditionalFormatting>
  <conditionalFormatting sqref="B169">
    <cfRule type="expression" dxfId="17" priority="3012">
      <formula>$B169="Машины и Механизмы"</formula>
    </cfRule>
    <cfRule type="expression" dxfId="16" priority="3013">
      <formula>$B169="Работа"</formula>
    </cfRule>
  </conditionalFormatting>
  <conditionalFormatting sqref="B169">
    <cfRule type="expression" dxfId="15" priority="3014">
      <formula>#REF!="Машины и Механизмы"</formula>
    </cfRule>
  </conditionalFormatting>
  <conditionalFormatting sqref="B174">
    <cfRule type="expression" dxfId="14" priority="3004">
      <formula>$B174="Машины и Механизмы"</formula>
    </cfRule>
    <cfRule type="expression" dxfId="13" priority="3005">
      <formula>$B174="Работа"</formula>
    </cfRule>
  </conditionalFormatting>
  <conditionalFormatting sqref="B174">
    <cfRule type="expression" dxfId="12" priority="3003">
      <formula>#REF!="Машины и Механизмы"</formula>
    </cfRule>
  </conditionalFormatting>
  <pageMargins left="0.7" right="0.7" top="0.75" bottom="0.75" header="0.3" footer="0.3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view="pageBreakPreview" zoomScale="120" zoomScaleNormal="100" zoomScaleSheetLayoutView="120" workbookViewId="0">
      <selection activeCell="D3" sqref="D3"/>
    </sheetView>
  </sheetViews>
  <sheetFormatPr defaultRowHeight="14.4" x14ac:dyDescent="0.3"/>
  <cols>
    <col min="1" max="1" width="61.5546875" customWidth="1"/>
    <col min="2" max="2" width="6.88671875" customWidth="1"/>
    <col min="3" max="3" width="10.44140625" customWidth="1"/>
  </cols>
  <sheetData>
    <row r="1" spans="1:13" x14ac:dyDescent="0.3">
      <c r="G1" s="131" t="s">
        <v>30</v>
      </c>
      <c r="H1" s="131"/>
      <c r="I1" s="131"/>
      <c r="K1" s="12" t="s">
        <v>32</v>
      </c>
      <c r="L1" t="s">
        <v>35</v>
      </c>
      <c r="M1" t="s">
        <v>38</v>
      </c>
    </row>
    <row r="2" spans="1:13" ht="28.8" x14ac:dyDescent="0.3">
      <c r="C2" s="7" t="s">
        <v>39</v>
      </c>
      <c r="D2" s="11" t="s">
        <v>40</v>
      </c>
      <c r="G2" s="7" t="s">
        <v>4</v>
      </c>
      <c r="H2" s="11" t="s">
        <v>29</v>
      </c>
      <c r="I2" s="7" t="s">
        <v>31</v>
      </c>
      <c r="K2" s="5" t="s">
        <v>3</v>
      </c>
      <c r="L2" s="5" t="s">
        <v>4</v>
      </c>
      <c r="M2" s="13" t="s">
        <v>6</v>
      </c>
    </row>
    <row r="3" spans="1:13" ht="31.2" x14ac:dyDescent="0.3">
      <c r="A3" s="2" t="s">
        <v>23</v>
      </c>
      <c r="B3" s="1" t="s">
        <v>3</v>
      </c>
      <c r="C3" s="14" t="e">
        <f>'№1 ВОР '!D13+'№1 ВОР '!#REF!</f>
        <v>#REF!</v>
      </c>
      <c r="D3" s="8" t="e">
        <f>C3*1.02</f>
        <v>#REF!</v>
      </c>
      <c r="E3" s="9"/>
      <c r="F3" s="9"/>
      <c r="G3" s="7" t="e">
        <f>C3/0.2</f>
        <v>#REF!</v>
      </c>
      <c r="H3" s="7">
        <v>4.0998000000000001</v>
      </c>
      <c r="I3" s="7" t="e">
        <f>G3*H3</f>
        <v>#REF!</v>
      </c>
      <c r="K3" s="5" t="e">
        <f>G3*0.0106</f>
        <v>#REF!</v>
      </c>
      <c r="L3" s="5" t="e">
        <f>G3*0.2</f>
        <v>#REF!</v>
      </c>
      <c r="M3" s="5" t="e">
        <f>G3*0.3</f>
        <v>#REF!</v>
      </c>
    </row>
    <row r="4" spans="1:13" ht="31.2" x14ac:dyDescent="0.3">
      <c r="A4" s="2" t="s">
        <v>25</v>
      </c>
      <c r="B4" s="1" t="s">
        <v>3</v>
      </c>
      <c r="C4" s="8" t="e">
        <f>'№1 ВОР '!#REF!+'№1 ВОР '!D80+'№1 ВОР '!#REF!+'№1 ВОР '!#REF!+'№1 ВОР '!#REF!+'№1 ВОР '!#REF!+'№1 ВОР '!#REF!+'№1 ВОР '!#REF!</f>
        <v>#REF!</v>
      </c>
      <c r="D4" s="8" t="e">
        <f>C4</f>
        <v>#REF!</v>
      </c>
      <c r="E4" s="9"/>
      <c r="F4" s="9"/>
      <c r="G4" s="7" t="e">
        <f>C4/0.05</f>
        <v>#REF!</v>
      </c>
      <c r="H4" s="7">
        <f>H5/2</f>
        <v>1.0607</v>
      </c>
      <c r="I4" s="7" t="e">
        <f>G4*H4</f>
        <v>#REF!</v>
      </c>
      <c r="K4" s="5" t="e">
        <f>G4*0.00265</f>
        <v>#REF!</v>
      </c>
      <c r="L4" s="5" t="e">
        <f>G4*0.05</f>
        <v>#REF!</v>
      </c>
      <c r="M4" s="5" t="e">
        <f>G4*0.3</f>
        <v>#REF!</v>
      </c>
    </row>
    <row r="5" spans="1:13" ht="31.2" x14ac:dyDescent="0.3">
      <c r="A5" s="2" t="s">
        <v>26</v>
      </c>
      <c r="B5" s="1" t="s">
        <v>3</v>
      </c>
      <c r="C5" s="8" t="e">
        <f>'№1 ВОР '!D14+'№1 ВОР '!#REF!+'№1 ВОР '!#REF!+'№1 ВОР '!#REF!+'№1 ВОР '!#REF!+'№1 ВОР '!#REF!+'№1 ВОР '!#REF!+'№1 ВОР '!#REF!</f>
        <v>#REF!</v>
      </c>
      <c r="D5" s="8" t="e">
        <f>C5*1.01</f>
        <v>#REF!</v>
      </c>
      <c r="E5" s="9"/>
      <c r="F5" s="9"/>
      <c r="G5" s="7" t="e">
        <f>C5/0.1</f>
        <v>#REF!</v>
      </c>
      <c r="H5" s="7">
        <v>2.1214</v>
      </c>
      <c r="I5" s="7" t="e">
        <f>G5*H5</f>
        <v>#REF!</v>
      </c>
      <c r="K5" s="5" t="e">
        <f>G5*0.00533</f>
        <v>#REF!</v>
      </c>
      <c r="L5" s="5" t="e">
        <f>G5*0.1</f>
        <v>#REF!</v>
      </c>
      <c r="M5" s="5" t="e">
        <f>G5*0.3</f>
        <v>#REF!</v>
      </c>
    </row>
    <row r="6" spans="1:13" ht="31.2" x14ac:dyDescent="0.3">
      <c r="A6" s="2" t="s">
        <v>24</v>
      </c>
      <c r="B6" s="1" t="s">
        <v>3</v>
      </c>
      <c r="C6" s="8" t="e">
        <f>'№1 ВОР '!D18+'№1 ВОР '!D71+'№1 ВОР '!#REF!+'№1 ВОР '!#REF!+'№1 ВОР '!D149+'№1 ВОР '!#REF!+'№1 ВОР '!#REF!+'№1 ВОР '!#REF!+'№1 ВОР '!#REF!</f>
        <v>#REF!</v>
      </c>
      <c r="D6" s="8" t="e">
        <f>C6*1.02</f>
        <v>#REF!</v>
      </c>
      <c r="E6" s="9"/>
      <c r="F6" s="9"/>
      <c r="G6" s="7" t="e">
        <f>C6/0.2</f>
        <v>#REF!</v>
      </c>
      <c r="H6" s="7">
        <v>4.0998000000000001</v>
      </c>
      <c r="I6" s="7" t="e">
        <f>G6*H6</f>
        <v>#REF!</v>
      </c>
      <c r="K6" s="5" t="e">
        <f>G6*0.0106</f>
        <v>#REF!</v>
      </c>
      <c r="L6" s="5" t="e">
        <f>G6*0.2</f>
        <v>#REF!</v>
      </c>
      <c r="M6" s="5" t="e">
        <f>G6*0.3</f>
        <v>#REF!</v>
      </c>
    </row>
    <row r="7" spans="1:13" ht="31.2" x14ac:dyDescent="0.3">
      <c r="A7" s="2" t="s">
        <v>28</v>
      </c>
      <c r="B7" s="1" t="s">
        <v>3</v>
      </c>
      <c r="C7" s="8" t="e">
        <f>'№1 ВОР '!#REF!+'№1 ВОР '!D19+'№1 ВОР '!#REF!+'№1 ВОР '!D121+'№1 ВОР '!#REF!+'№1 ВОР '!#REF!+'№1 ВОР '!#REF!+'№1 ВОР '!#REF!+'№1 ВОР '!#REF!</f>
        <v>#REF!</v>
      </c>
      <c r="D7" s="8"/>
      <c r="E7" s="9"/>
      <c r="F7" s="9"/>
      <c r="G7" s="7" t="e">
        <f>C7/0.12</f>
        <v>#REF!</v>
      </c>
      <c r="H7" s="7"/>
      <c r="I7" s="7"/>
      <c r="K7" s="5"/>
    </row>
    <row r="8" spans="1:13" ht="15.6" x14ac:dyDescent="0.3">
      <c r="A8" s="2" t="s">
        <v>33</v>
      </c>
      <c r="B8" s="1" t="s">
        <v>3</v>
      </c>
      <c r="C8" s="6" t="e">
        <f>ROUND(K3+K4+K5+K6,3)</f>
        <v>#REF!</v>
      </c>
      <c r="D8" s="10"/>
      <c r="E8" s="10"/>
      <c r="F8" s="10"/>
      <c r="G8" s="5"/>
      <c r="H8" s="5"/>
      <c r="I8" s="5"/>
      <c r="K8" s="5"/>
    </row>
    <row r="9" spans="1:13" ht="15.6" x14ac:dyDescent="0.3">
      <c r="A9" s="2" t="s">
        <v>34</v>
      </c>
      <c r="B9" s="1" t="s">
        <v>27</v>
      </c>
      <c r="C9" s="6" t="e">
        <f>(L3+L4+L5+L6)*2.55</f>
        <v>#REF!</v>
      </c>
    </row>
    <row r="10" spans="1:13" ht="15.6" x14ac:dyDescent="0.3">
      <c r="A10" s="2" t="s">
        <v>37</v>
      </c>
      <c r="B10" s="1" t="s">
        <v>36</v>
      </c>
      <c r="C10" s="5" t="e">
        <f>(M3+M4+M5+M6)*0.22</f>
        <v>#REF!</v>
      </c>
    </row>
  </sheetData>
  <mergeCells count="1">
    <mergeCell ref="G1:I1"/>
  </mergeCells>
  <conditionalFormatting sqref="A3">
    <cfRule type="expression" dxfId="11" priority="10">
      <formula>$B3="Машины и Механизмы"</formula>
    </cfRule>
    <cfRule type="expression" dxfId="10" priority="11">
      <formula>$B3="Работа"</formula>
    </cfRule>
  </conditionalFormatting>
  <conditionalFormatting sqref="A3">
    <cfRule type="expression" dxfId="9" priority="12">
      <formula>#REF!="Машины и Механизмы"</formula>
    </cfRule>
  </conditionalFormatting>
  <conditionalFormatting sqref="A4">
    <cfRule type="expression" dxfId="8" priority="7">
      <formula>$B4="Машины и Механизмы"</formula>
    </cfRule>
    <cfRule type="expression" dxfId="7" priority="8">
      <formula>$B4="Работа"</formula>
    </cfRule>
  </conditionalFormatting>
  <conditionalFormatting sqref="A5">
    <cfRule type="expression" dxfId="6" priority="4">
      <formula>$B5="Машины и Механизмы"</formula>
    </cfRule>
    <cfRule type="expression" dxfId="5" priority="5">
      <formula>$B5="Работа"</formula>
    </cfRule>
  </conditionalFormatting>
  <conditionalFormatting sqref="A4">
    <cfRule type="expression" dxfId="4" priority="9">
      <formula>#REF!="Машины и Механизмы"</formula>
    </cfRule>
  </conditionalFormatting>
  <conditionalFormatting sqref="A5">
    <cfRule type="expression" dxfId="3" priority="6">
      <formula>#REF!="Машины и Механизмы"</formula>
    </cfRule>
  </conditionalFormatting>
  <conditionalFormatting sqref="A6">
    <cfRule type="expression" dxfId="2" priority="1">
      <formula>$B6="Машины и Механизмы"</formula>
    </cfRule>
    <cfRule type="expression" dxfId="1" priority="2">
      <formula>$B6="Работа"</formula>
    </cfRule>
  </conditionalFormatting>
  <conditionalFormatting sqref="A6">
    <cfRule type="expression" dxfId="0" priority="3">
      <formula>#REF!="Машины и Механизмы"</formula>
    </cfRule>
  </conditionalFormatting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F611-B3B1-473C-BDE5-DD359A92398B}">
  <dimension ref="B8:G21"/>
  <sheetViews>
    <sheetView workbookViewId="0">
      <selection activeCell="J13" sqref="J13"/>
    </sheetView>
  </sheetViews>
  <sheetFormatPr defaultRowHeight="14.4" x14ac:dyDescent="0.3"/>
  <sheetData>
    <row r="8" spans="2:7" x14ac:dyDescent="0.3">
      <c r="C8">
        <v>1.2</v>
      </c>
      <c r="D8">
        <v>0.3</v>
      </c>
      <c r="E8">
        <v>0.15</v>
      </c>
      <c r="G8" t="s">
        <v>77</v>
      </c>
    </row>
    <row r="9" spans="2:7" x14ac:dyDescent="0.3">
      <c r="D9">
        <f>C8*D8</f>
        <v>0.36</v>
      </c>
      <c r="E9">
        <f>E8*C8</f>
        <v>0.18</v>
      </c>
    </row>
    <row r="11" spans="2:7" x14ac:dyDescent="0.3">
      <c r="B11" t="s">
        <v>76</v>
      </c>
      <c r="D11">
        <f>6+3+6+3+6+3+6</f>
        <v>33</v>
      </c>
      <c r="E11">
        <f>7+4+7+4+7+4+7</f>
        <v>40</v>
      </c>
      <c r="G11">
        <v>1.44</v>
      </c>
    </row>
    <row r="12" spans="2:7" x14ac:dyDescent="0.3">
      <c r="G12">
        <v>1.44</v>
      </c>
    </row>
    <row r="13" spans="2:7" x14ac:dyDescent="0.3">
      <c r="G13">
        <v>1.44</v>
      </c>
    </row>
    <row r="14" spans="2:7" x14ac:dyDescent="0.3">
      <c r="G14">
        <v>1.44</v>
      </c>
    </row>
    <row r="15" spans="2:7" x14ac:dyDescent="0.3">
      <c r="G15">
        <v>1.44</v>
      </c>
    </row>
    <row r="16" spans="2:7" ht="15" thickBot="1" x14ac:dyDescent="0.35">
      <c r="D16" s="52">
        <f>D9*D11</f>
        <v>11.879999999999999</v>
      </c>
      <c r="E16" s="53">
        <f>E9*E11</f>
        <v>7.1999999999999993</v>
      </c>
      <c r="G16">
        <v>1.44</v>
      </c>
    </row>
    <row r="17" spans="6:7" ht="15" thickBot="1" x14ac:dyDescent="0.35">
      <c r="G17" s="51">
        <f>SUM(G11:G16)</f>
        <v>8.6399999999999988</v>
      </c>
    </row>
    <row r="19" spans="6:7" x14ac:dyDescent="0.3">
      <c r="F19" s="54">
        <v>27.72</v>
      </c>
    </row>
    <row r="21" spans="6:7" x14ac:dyDescent="0.3">
      <c r="F21">
        <f>F19*2+0.37</f>
        <v>55.809999999999995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 (2)</vt:lpstr>
      <vt:lpstr>№1 ВОР </vt:lpstr>
      <vt:lpstr>.</vt:lpstr>
      <vt:lpstr>Лист1</vt:lpstr>
      <vt:lpstr>'.'!Область_печати</vt:lpstr>
      <vt:lpstr>'№1 ВОР '!Область_печати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2023-10-27T12:23:41Z</cp:lastPrinted>
  <dcterms:created xsi:type="dcterms:W3CDTF">2015-06-05T18:19:34Z</dcterms:created>
  <dcterms:modified xsi:type="dcterms:W3CDTF">2023-10-31T12:10:59Z</dcterms:modified>
</cp:coreProperties>
</file>