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Торги\ЭКОТРАНС-ЭТ-про\223-ФЗ ЭКОТРАНС-ПРО\ПРОЦЕДУРЫ\2025\Ремонт дороги\Документация\"/>
    </mc:Choice>
  </mc:AlternateContent>
  <xr:revisionPtr revIDLastSave="0" documentId="13_ncr:1_{A1C6EFAE-2DFD-4A53-B03A-81FA96DE1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ета (2)" sheetId="8" r:id="rId1"/>
    <sheet name="_" sheetId="15" r:id="rId2"/>
  </sheets>
  <externalReferences>
    <externalReference r:id="rId3"/>
  </externalReferences>
  <definedNames>
    <definedName name="dlinna_i_o">[1]Данные!$E$21</definedName>
    <definedName name="dlinna_m">[1]Данные!$E$9</definedName>
    <definedName name="S_PSP">[1]Данные!$E$24</definedName>
    <definedName name="Shirina_o">[1]Данные!$E$16</definedName>
    <definedName name="Shirina_u_o">[1]Данные!$E$17</definedName>
    <definedName name="_xlnm.Print_Titles" localSheetId="1">_!#REF!</definedName>
    <definedName name="_xlnm.Print_Titles" localSheetId="0">'Смета (2)'!#REF!</definedName>
    <definedName name="_xlnm.Print_Area" localSheetId="1">_!$A$1:$N$269</definedName>
    <definedName name="_xlnm.Print_Area" localSheetId="0">'Смета (2)'!$A$1:$N$269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3" i="8" l="1"/>
  <c r="V263" i="8"/>
  <c r="W263" i="8" s="1"/>
  <c r="T263" i="15"/>
  <c r="V263" i="15" s="1"/>
  <c r="L260" i="15"/>
  <c r="J260" i="15"/>
  <c r="L259" i="15"/>
  <c r="J259" i="15"/>
  <c r="L258" i="15"/>
  <c r="J258" i="15"/>
  <c r="L257" i="15"/>
  <c r="J257" i="15"/>
  <c r="L256" i="15"/>
  <c r="J256" i="15"/>
  <c r="L255" i="15"/>
  <c r="J255" i="15"/>
  <c r="L253" i="15"/>
  <c r="J253" i="15"/>
  <c r="L252" i="15"/>
  <c r="J252" i="15"/>
  <c r="L251" i="15"/>
  <c r="J251" i="15"/>
  <c r="L250" i="15"/>
  <c r="J250" i="15"/>
  <c r="H228" i="15"/>
  <c r="G227" i="15"/>
  <c r="G226" i="15"/>
  <c r="J225" i="15"/>
  <c r="L225" i="15" s="1"/>
  <c r="J224" i="15"/>
  <c r="L224" i="15" s="1"/>
  <c r="J223" i="15"/>
  <c r="L223" i="15" s="1"/>
  <c r="J222" i="15"/>
  <c r="J230" i="15" s="1"/>
  <c r="J221" i="15"/>
  <c r="C217" i="15"/>
  <c r="H216" i="15"/>
  <c r="G216" i="15"/>
  <c r="H215" i="15"/>
  <c r="G214" i="15"/>
  <c r="G213" i="15"/>
  <c r="J211" i="15"/>
  <c r="L211" i="15" s="1"/>
  <c r="J210" i="15"/>
  <c r="L210" i="15" s="1"/>
  <c r="J209" i="15"/>
  <c r="L209" i="15" s="1"/>
  <c r="L208" i="15"/>
  <c r="L215" i="15" s="1"/>
  <c r="J208" i="15"/>
  <c r="J207" i="15"/>
  <c r="E207" i="15"/>
  <c r="C203" i="15"/>
  <c r="H202" i="15"/>
  <c r="G202" i="15"/>
  <c r="H201" i="15"/>
  <c r="G200" i="15"/>
  <c r="G199" i="15"/>
  <c r="G198" i="15"/>
  <c r="J197" i="15"/>
  <c r="L197" i="15" s="1"/>
  <c r="J196" i="15"/>
  <c r="L196" i="15" s="1"/>
  <c r="J195" i="15"/>
  <c r="L195" i="15" s="1"/>
  <c r="J194" i="15"/>
  <c r="L194" i="15" s="1"/>
  <c r="J193" i="15"/>
  <c r="E193" i="15"/>
  <c r="C189" i="15"/>
  <c r="G188" i="15"/>
  <c r="J188" i="15" s="1"/>
  <c r="L188" i="15" s="1"/>
  <c r="H187" i="15"/>
  <c r="G186" i="15"/>
  <c r="G185" i="15"/>
  <c r="G184" i="15"/>
  <c r="J183" i="15"/>
  <c r="L183" i="15" s="1"/>
  <c r="J182" i="15"/>
  <c r="L182" i="15" s="1"/>
  <c r="J181" i="15"/>
  <c r="L181" i="15" s="1"/>
  <c r="J180" i="15"/>
  <c r="J179" i="15"/>
  <c r="E179" i="15"/>
  <c r="H175" i="15"/>
  <c r="G174" i="15"/>
  <c r="G173" i="15"/>
  <c r="J171" i="15"/>
  <c r="L171" i="15" s="1"/>
  <c r="J170" i="15"/>
  <c r="L170" i="15" s="1"/>
  <c r="J169" i="15"/>
  <c r="L169" i="15" s="1"/>
  <c r="J168" i="15"/>
  <c r="J175" i="15" s="1"/>
  <c r="J167" i="15"/>
  <c r="E167" i="15"/>
  <c r="C160" i="15"/>
  <c r="H159" i="15"/>
  <c r="G159" i="15"/>
  <c r="H158" i="15"/>
  <c r="G157" i="15"/>
  <c r="G156" i="15"/>
  <c r="J154" i="15"/>
  <c r="L154" i="15" s="1"/>
  <c r="J153" i="15"/>
  <c r="L153" i="15" s="1"/>
  <c r="J152" i="15"/>
  <c r="J151" i="15"/>
  <c r="J161" i="15" s="1"/>
  <c r="J150" i="15"/>
  <c r="E150" i="15"/>
  <c r="C146" i="15"/>
  <c r="H145" i="15"/>
  <c r="G145" i="15"/>
  <c r="H144" i="15"/>
  <c r="G143" i="15"/>
  <c r="G142" i="15"/>
  <c r="G141" i="15"/>
  <c r="J140" i="15"/>
  <c r="L140" i="15" s="1"/>
  <c r="J139" i="15"/>
  <c r="L139" i="15" s="1"/>
  <c r="J138" i="15"/>
  <c r="L138" i="15" s="1"/>
  <c r="J137" i="15"/>
  <c r="L137" i="15" s="1"/>
  <c r="J136" i="15"/>
  <c r="E136" i="15"/>
  <c r="C132" i="15"/>
  <c r="G131" i="15"/>
  <c r="J131" i="15" s="1"/>
  <c r="L131" i="15" s="1"/>
  <c r="H130" i="15"/>
  <c r="G129" i="15"/>
  <c r="G128" i="15"/>
  <c r="G127" i="15"/>
  <c r="L126" i="15"/>
  <c r="J126" i="15"/>
  <c r="J125" i="15"/>
  <c r="L125" i="15" s="1"/>
  <c r="J124" i="15"/>
  <c r="L124" i="15" s="1"/>
  <c r="J123" i="15"/>
  <c r="J130" i="15" s="1"/>
  <c r="J122" i="15"/>
  <c r="E122" i="15"/>
  <c r="C115" i="15"/>
  <c r="H114" i="15"/>
  <c r="G114" i="15"/>
  <c r="H113" i="15"/>
  <c r="G112" i="15"/>
  <c r="G111" i="15"/>
  <c r="J109" i="15"/>
  <c r="L109" i="15" s="1"/>
  <c r="J108" i="15"/>
  <c r="J117" i="15" s="1"/>
  <c r="J107" i="15"/>
  <c r="L107" i="15" s="1"/>
  <c r="J106" i="15"/>
  <c r="J105" i="15"/>
  <c r="E105" i="15"/>
  <c r="C101" i="15"/>
  <c r="H100" i="15"/>
  <c r="G100" i="15"/>
  <c r="H99" i="15"/>
  <c r="G98" i="15"/>
  <c r="G97" i="15"/>
  <c r="G96" i="15"/>
  <c r="J95" i="15"/>
  <c r="L95" i="15" s="1"/>
  <c r="L94" i="15"/>
  <c r="J94" i="15"/>
  <c r="J93" i="15"/>
  <c r="L93" i="15" s="1"/>
  <c r="J92" i="15"/>
  <c r="J103" i="15" s="1"/>
  <c r="J91" i="15"/>
  <c r="E91" i="15"/>
  <c r="J89" i="15"/>
  <c r="C87" i="15"/>
  <c r="G86" i="15"/>
  <c r="J86" i="15" s="1"/>
  <c r="L86" i="15" s="1"/>
  <c r="H85" i="15"/>
  <c r="G84" i="15"/>
  <c r="G83" i="15"/>
  <c r="G82" i="15"/>
  <c r="J81" i="15"/>
  <c r="L81" i="15" s="1"/>
  <c r="L80" i="15"/>
  <c r="C88" i="15" s="1"/>
  <c r="J80" i="15"/>
  <c r="J79" i="15"/>
  <c r="L79" i="15" s="1"/>
  <c r="L78" i="15"/>
  <c r="J78" i="15"/>
  <c r="J88" i="15" s="1"/>
  <c r="J77" i="15"/>
  <c r="E77" i="15"/>
  <c r="C73" i="15"/>
  <c r="G72" i="15"/>
  <c r="J72" i="15" s="1"/>
  <c r="L72" i="15" s="1"/>
  <c r="H71" i="15"/>
  <c r="G70" i="15"/>
  <c r="G69" i="15"/>
  <c r="G68" i="15"/>
  <c r="J67" i="15"/>
  <c r="L67" i="15" s="1"/>
  <c r="J66" i="15"/>
  <c r="L66" i="15" s="1"/>
  <c r="J65" i="15"/>
  <c r="L65" i="15" s="1"/>
  <c r="J64" i="15"/>
  <c r="L64" i="15" s="1"/>
  <c r="C74" i="15" s="1"/>
  <c r="J63" i="15"/>
  <c r="E63" i="15"/>
  <c r="C59" i="15"/>
  <c r="G58" i="15"/>
  <c r="J58" i="15" s="1"/>
  <c r="L58" i="15" s="1"/>
  <c r="H57" i="15"/>
  <c r="G56" i="15"/>
  <c r="G55" i="15"/>
  <c r="J53" i="15"/>
  <c r="L53" i="15" s="1"/>
  <c r="J52" i="15"/>
  <c r="L52" i="15" s="1"/>
  <c r="J51" i="15"/>
  <c r="L51" i="15" s="1"/>
  <c r="J50" i="15"/>
  <c r="L50" i="15" s="1"/>
  <c r="J49" i="15"/>
  <c r="E49" i="15"/>
  <c r="H45" i="15"/>
  <c r="G44" i="15"/>
  <c r="G43" i="15"/>
  <c r="J42" i="15"/>
  <c r="L42" i="15" s="1"/>
  <c r="J41" i="15"/>
  <c r="L41" i="15" s="1"/>
  <c r="J40" i="15"/>
  <c r="L40" i="15" s="1"/>
  <c r="J39" i="15"/>
  <c r="J38" i="15"/>
  <c r="E38" i="15"/>
  <c r="J37" i="15"/>
  <c r="L37" i="15" s="1"/>
  <c r="H33" i="15"/>
  <c r="G32" i="15"/>
  <c r="G31" i="15"/>
  <c r="J30" i="15"/>
  <c r="L30" i="15" s="1"/>
  <c r="J29" i="15"/>
  <c r="L29" i="15" s="1"/>
  <c r="J28" i="15"/>
  <c r="L28" i="15" s="1"/>
  <c r="J27" i="15"/>
  <c r="J26" i="15"/>
  <c r="E26" i="15"/>
  <c r="A6" i="15"/>
  <c r="A9" i="15" s="1"/>
  <c r="H159" i="8"/>
  <c r="H216" i="8"/>
  <c r="H202" i="8"/>
  <c r="H145" i="8"/>
  <c r="H114" i="8"/>
  <c r="H100" i="8"/>
  <c r="G100" i="8"/>
  <c r="G114" i="8"/>
  <c r="G145" i="8"/>
  <c r="G159" i="8"/>
  <c r="G202" i="8"/>
  <c r="G216" i="8"/>
  <c r="E26" i="8"/>
  <c r="E38" i="8"/>
  <c r="E49" i="8"/>
  <c r="E63" i="8"/>
  <c r="E77" i="8"/>
  <c r="E91" i="8"/>
  <c r="E105" i="8"/>
  <c r="E122" i="8"/>
  <c r="E136" i="8"/>
  <c r="E150" i="8"/>
  <c r="E167" i="8"/>
  <c r="E179" i="8"/>
  <c r="E193" i="8"/>
  <c r="E207" i="8"/>
  <c r="E221" i="8"/>
  <c r="L254" i="15" l="1"/>
  <c r="J187" i="15"/>
  <c r="J145" i="15"/>
  <c r="L145" i="15" s="1"/>
  <c r="L108" i="15"/>
  <c r="C89" i="15"/>
  <c r="J47" i="15"/>
  <c r="C60" i="15"/>
  <c r="J33" i="15"/>
  <c r="L218" i="15"/>
  <c r="L92" i="15"/>
  <c r="L102" i="15" s="1"/>
  <c r="J116" i="15"/>
  <c r="L205" i="15"/>
  <c r="L60" i="15"/>
  <c r="L27" i="15"/>
  <c r="L35" i="15" s="1"/>
  <c r="J34" i="15"/>
  <c r="J57" i="15"/>
  <c r="J71" i="15"/>
  <c r="J76" i="15" s="1"/>
  <c r="J102" i="15"/>
  <c r="L106" i="15"/>
  <c r="C116" i="15" s="1"/>
  <c r="J158" i="15"/>
  <c r="J159" i="15"/>
  <c r="L159" i="15" s="1"/>
  <c r="J191" i="15"/>
  <c r="L75" i="15"/>
  <c r="L151" i="15"/>
  <c r="C162" i="15" s="1"/>
  <c r="J75" i="15"/>
  <c r="J61" i="15"/>
  <c r="J74" i="15"/>
  <c r="J60" i="15"/>
  <c r="J162" i="15"/>
  <c r="J163" i="15" s="1"/>
  <c r="L180" i="15"/>
  <c r="C190" i="15" s="1"/>
  <c r="L88" i="15"/>
  <c r="J133" i="15"/>
  <c r="J148" i="15"/>
  <c r="J204" i="15"/>
  <c r="J239" i="15"/>
  <c r="J246" i="15" s="1"/>
  <c r="J85" i="15"/>
  <c r="J90" i="15" s="1"/>
  <c r="L89" i="15"/>
  <c r="J218" i="15"/>
  <c r="J254" i="15"/>
  <c r="J35" i="15"/>
  <c r="J36" i="15" s="1"/>
  <c r="C75" i="15"/>
  <c r="J202" i="15"/>
  <c r="L202" i="15" s="1"/>
  <c r="J216" i="15"/>
  <c r="L216" i="15" s="1"/>
  <c r="J114" i="15"/>
  <c r="L114" i="15" s="1"/>
  <c r="J100" i="15"/>
  <c r="L100" i="15" s="1"/>
  <c r="C148" i="15"/>
  <c r="L148" i="15"/>
  <c r="C147" i="15"/>
  <c r="L147" i="15"/>
  <c r="L144" i="15"/>
  <c r="L239" i="15"/>
  <c r="L246" i="15" s="1"/>
  <c r="C219" i="15"/>
  <c r="C35" i="15"/>
  <c r="L71" i="15"/>
  <c r="L34" i="15"/>
  <c r="J46" i="15"/>
  <c r="L74" i="15"/>
  <c r="J99" i="15"/>
  <c r="L123" i="15"/>
  <c r="J190" i="15"/>
  <c r="J192" i="15" s="1"/>
  <c r="J205" i="15"/>
  <c r="C218" i="15"/>
  <c r="J229" i="15"/>
  <c r="L61" i="15"/>
  <c r="J144" i="15"/>
  <c r="J147" i="15"/>
  <c r="L168" i="15"/>
  <c r="J177" i="15"/>
  <c r="C205" i="15"/>
  <c r="J238" i="15"/>
  <c r="C117" i="15"/>
  <c r="L201" i="15"/>
  <c r="L204" i="15"/>
  <c r="L33" i="15"/>
  <c r="J45" i="15"/>
  <c r="L57" i="15"/>
  <c r="C61" i="15"/>
  <c r="L85" i="15"/>
  <c r="L90" i="15" s="1"/>
  <c r="L116" i="15"/>
  <c r="J134" i="15"/>
  <c r="J201" i="15"/>
  <c r="L219" i="15"/>
  <c r="J228" i="15"/>
  <c r="J237" i="15"/>
  <c r="J244" i="15" s="1"/>
  <c r="J113" i="15"/>
  <c r="J176" i="15"/>
  <c r="L191" i="15"/>
  <c r="C204" i="15"/>
  <c r="J219" i="15"/>
  <c r="L39" i="15"/>
  <c r="L152" i="15"/>
  <c r="L238" i="15" s="1"/>
  <c r="L245" i="15" s="1"/>
  <c r="L222" i="15"/>
  <c r="J215" i="15"/>
  <c r="L260" i="8"/>
  <c r="J260" i="8"/>
  <c r="L259" i="8"/>
  <c r="J259" i="8"/>
  <c r="L258" i="8"/>
  <c r="J258" i="8"/>
  <c r="L257" i="8"/>
  <c r="J257" i="8"/>
  <c r="L256" i="8"/>
  <c r="J256" i="8"/>
  <c r="L255" i="8"/>
  <c r="J255" i="8"/>
  <c r="L253" i="8"/>
  <c r="J253" i="8"/>
  <c r="L252" i="8"/>
  <c r="J252" i="8"/>
  <c r="L251" i="8"/>
  <c r="J251" i="8"/>
  <c r="L250" i="8"/>
  <c r="J250" i="8"/>
  <c r="H228" i="8"/>
  <c r="G227" i="8"/>
  <c r="G226" i="8"/>
  <c r="J225" i="8"/>
  <c r="L225" i="8" s="1"/>
  <c r="J224" i="8"/>
  <c r="L224" i="8" s="1"/>
  <c r="J223" i="8"/>
  <c r="L223" i="8" s="1"/>
  <c r="J222" i="8"/>
  <c r="L222" i="8" s="1"/>
  <c r="J221" i="8"/>
  <c r="C217" i="8"/>
  <c r="J216" i="8"/>
  <c r="L216" i="8" s="1"/>
  <c r="H215" i="8"/>
  <c r="G214" i="8"/>
  <c r="G213" i="8"/>
  <c r="J211" i="8"/>
  <c r="L211" i="8" s="1"/>
  <c r="J210" i="8"/>
  <c r="L210" i="8" s="1"/>
  <c r="J209" i="8"/>
  <c r="L209" i="8" s="1"/>
  <c r="J208" i="8"/>
  <c r="L208" i="8" s="1"/>
  <c r="J207" i="8"/>
  <c r="C203" i="8"/>
  <c r="J202" i="8"/>
  <c r="L202" i="8" s="1"/>
  <c r="H201" i="8"/>
  <c r="G200" i="8"/>
  <c r="G199" i="8"/>
  <c r="G198" i="8"/>
  <c r="J197" i="8"/>
  <c r="L197" i="8" s="1"/>
  <c r="J196" i="8"/>
  <c r="L196" i="8" s="1"/>
  <c r="J195" i="8"/>
  <c r="L195" i="8" s="1"/>
  <c r="J194" i="8"/>
  <c r="J193" i="8"/>
  <c r="C189" i="8"/>
  <c r="G188" i="8"/>
  <c r="J188" i="8" s="1"/>
  <c r="L188" i="8" s="1"/>
  <c r="H187" i="8"/>
  <c r="G186" i="8"/>
  <c r="G185" i="8"/>
  <c r="G184" i="8"/>
  <c r="J183" i="8"/>
  <c r="L183" i="8" s="1"/>
  <c r="J182" i="8"/>
  <c r="L182" i="8" s="1"/>
  <c r="J181" i="8"/>
  <c r="L181" i="8" s="1"/>
  <c r="J180" i="8"/>
  <c r="J179" i="8"/>
  <c r="H175" i="8"/>
  <c r="G174" i="8"/>
  <c r="G173" i="8"/>
  <c r="J171" i="8"/>
  <c r="L171" i="8" s="1"/>
  <c r="J170" i="8"/>
  <c r="L170" i="8" s="1"/>
  <c r="J169" i="8"/>
  <c r="J168" i="8"/>
  <c r="L168" i="8" s="1"/>
  <c r="J167" i="8"/>
  <c r="C160" i="8"/>
  <c r="J159" i="8"/>
  <c r="L159" i="8" s="1"/>
  <c r="H158" i="8"/>
  <c r="G157" i="8"/>
  <c r="G156" i="8"/>
  <c r="J154" i="8"/>
  <c r="L154" i="8" s="1"/>
  <c r="J153" i="8"/>
  <c r="L153" i="8" s="1"/>
  <c r="J152" i="8"/>
  <c r="L152" i="8" s="1"/>
  <c r="J151" i="8"/>
  <c r="L151" i="8" s="1"/>
  <c r="J150" i="8"/>
  <c r="C146" i="8"/>
  <c r="J145" i="8"/>
  <c r="L145" i="8" s="1"/>
  <c r="H144" i="8"/>
  <c r="G143" i="8"/>
  <c r="G142" i="8"/>
  <c r="G141" i="8"/>
  <c r="J140" i="8"/>
  <c r="L140" i="8" s="1"/>
  <c r="J139" i="8"/>
  <c r="L139" i="8" s="1"/>
  <c r="J138" i="8"/>
  <c r="L138" i="8" s="1"/>
  <c r="J137" i="8"/>
  <c r="J136" i="8"/>
  <c r="C132" i="8"/>
  <c r="G131" i="8"/>
  <c r="J131" i="8" s="1"/>
  <c r="L131" i="8" s="1"/>
  <c r="H130" i="8"/>
  <c r="G129" i="8"/>
  <c r="G128" i="8"/>
  <c r="G127" i="8"/>
  <c r="J126" i="8"/>
  <c r="L126" i="8" s="1"/>
  <c r="J125" i="8"/>
  <c r="L125" i="8" s="1"/>
  <c r="J124" i="8"/>
  <c r="L124" i="8" s="1"/>
  <c r="J123" i="8"/>
  <c r="L123" i="8" s="1"/>
  <c r="J122" i="8"/>
  <c r="C115" i="8"/>
  <c r="J114" i="8"/>
  <c r="L114" i="8" s="1"/>
  <c r="H113" i="8"/>
  <c r="G112" i="8"/>
  <c r="G111" i="8"/>
  <c r="J109" i="8"/>
  <c r="L109" i="8" s="1"/>
  <c r="J108" i="8"/>
  <c r="J107" i="8"/>
  <c r="L107" i="8" s="1"/>
  <c r="J106" i="8"/>
  <c r="J116" i="8" s="1"/>
  <c r="J105" i="8"/>
  <c r="C101" i="8"/>
  <c r="J100" i="8"/>
  <c r="L100" i="8" s="1"/>
  <c r="H99" i="8"/>
  <c r="G98" i="8"/>
  <c r="G97" i="8"/>
  <c r="G96" i="8"/>
  <c r="J95" i="8"/>
  <c r="L95" i="8" s="1"/>
  <c r="J94" i="8"/>
  <c r="L94" i="8" s="1"/>
  <c r="J93" i="8"/>
  <c r="L93" i="8" s="1"/>
  <c r="J92" i="8"/>
  <c r="J91" i="8"/>
  <c r="C87" i="8"/>
  <c r="G86" i="8"/>
  <c r="J86" i="8" s="1"/>
  <c r="L86" i="8" s="1"/>
  <c r="H85" i="8"/>
  <c r="G84" i="8"/>
  <c r="G83" i="8"/>
  <c r="G82" i="8"/>
  <c r="J81" i="8"/>
  <c r="L81" i="8" s="1"/>
  <c r="J80" i="8"/>
  <c r="L80" i="8" s="1"/>
  <c r="L79" i="8"/>
  <c r="J79" i="8"/>
  <c r="J78" i="8"/>
  <c r="L78" i="8" s="1"/>
  <c r="J77" i="8"/>
  <c r="C73" i="8"/>
  <c r="G72" i="8"/>
  <c r="J72" i="8" s="1"/>
  <c r="L72" i="8" s="1"/>
  <c r="H71" i="8"/>
  <c r="G70" i="8"/>
  <c r="G69" i="8"/>
  <c r="G68" i="8"/>
  <c r="J67" i="8"/>
  <c r="L67" i="8" s="1"/>
  <c r="J66" i="8"/>
  <c r="L66" i="8" s="1"/>
  <c r="J65" i="8"/>
  <c r="L65" i="8" s="1"/>
  <c r="J64" i="8"/>
  <c r="J63" i="8"/>
  <c r="C59" i="8"/>
  <c r="G58" i="8"/>
  <c r="J58" i="8" s="1"/>
  <c r="L58" i="8" s="1"/>
  <c r="H57" i="8"/>
  <c r="G56" i="8"/>
  <c r="G55" i="8"/>
  <c r="J53" i="8"/>
  <c r="L53" i="8" s="1"/>
  <c r="J52" i="8"/>
  <c r="L52" i="8" s="1"/>
  <c r="J51" i="8"/>
  <c r="L51" i="8" s="1"/>
  <c r="J50" i="8"/>
  <c r="L50" i="8" s="1"/>
  <c r="J49" i="8"/>
  <c r="H45" i="8"/>
  <c r="G44" i="8"/>
  <c r="G43" i="8"/>
  <c r="J42" i="8"/>
  <c r="L42" i="8" s="1"/>
  <c r="J41" i="8"/>
  <c r="L41" i="8" s="1"/>
  <c r="J40" i="8"/>
  <c r="L40" i="8" s="1"/>
  <c r="J39" i="8"/>
  <c r="J38" i="8"/>
  <c r="J37" i="8"/>
  <c r="L37" i="8" s="1"/>
  <c r="H33" i="8"/>
  <c r="G32" i="8"/>
  <c r="G31" i="8"/>
  <c r="J30" i="8"/>
  <c r="L30" i="8" s="1"/>
  <c r="J29" i="8"/>
  <c r="J28" i="8"/>
  <c r="L28" i="8" s="1"/>
  <c r="J27" i="8"/>
  <c r="J34" i="8" s="1"/>
  <c r="J26" i="8"/>
  <c r="A6" i="8"/>
  <c r="A9" i="8" s="1"/>
  <c r="L103" i="15" l="1"/>
  <c r="L36" i="15"/>
  <c r="C34" i="15"/>
  <c r="C103" i="15"/>
  <c r="J191" i="8"/>
  <c r="L99" i="15"/>
  <c r="J135" i="15"/>
  <c r="J62" i="15"/>
  <c r="L117" i="15"/>
  <c r="C102" i="15"/>
  <c r="L187" i="15"/>
  <c r="L113" i="15"/>
  <c r="L118" i="15" s="1"/>
  <c r="J178" i="15"/>
  <c r="L62" i="15"/>
  <c r="L190" i="15"/>
  <c r="C191" i="15"/>
  <c r="J241" i="15"/>
  <c r="J248" i="15" s="1"/>
  <c r="L161" i="15"/>
  <c r="C161" i="15"/>
  <c r="L162" i="15"/>
  <c r="L237" i="15"/>
  <c r="L244" i="15" s="1"/>
  <c r="L180" i="8"/>
  <c r="L191" i="8" s="1"/>
  <c r="J104" i="15"/>
  <c r="L220" i="15"/>
  <c r="J118" i="15"/>
  <c r="J220" i="15"/>
  <c r="J206" i="15"/>
  <c r="J245" i="15"/>
  <c r="J231" i="15"/>
  <c r="L206" i="15"/>
  <c r="J149" i="15"/>
  <c r="J164" i="15" s="1"/>
  <c r="L46" i="15"/>
  <c r="L47" i="15"/>
  <c r="L45" i="15"/>
  <c r="L48" i="15" s="1"/>
  <c r="C47" i="15"/>
  <c r="C46" i="15"/>
  <c r="J19" i="15"/>
  <c r="L149" i="15"/>
  <c r="C176" i="15"/>
  <c r="L175" i="15"/>
  <c r="L176" i="15"/>
  <c r="C177" i="15"/>
  <c r="L177" i="15"/>
  <c r="J20" i="15"/>
  <c r="J242" i="15"/>
  <c r="J249" i="15" s="1"/>
  <c r="L104" i="15"/>
  <c r="L158" i="15"/>
  <c r="L163" i="15" s="1"/>
  <c r="L76" i="15"/>
  <c r="C133" i="15"/>
  <c r="L133" i="15"/>
  <c r="C134" i="15"/>
  <c r="L130" i="15"/>
  <c r="L134" i="15"/>
  <c r="L229" i="15"/>
  <c r="L230" i="15"/>
  <c r="L228" i="15"/>
  <c r="C229" i="15"/>
  <c r="C230" i="15"/>
  <c r="J48" i="15"/>
  <c r="J117" i="8"/>
  <c r="J118" i="8" s="1"/>
  <c r="J229" i="8"/>
  <c r="J71" i="8"/>
  <c r="J133" i="8"/>
  <c r="J175" i="8"/>
  <c r="L108" i="8"/>
  <c r="J176" i="8"/>
  <c r="J177" i="8"/>
  <c r="J254" i="8"/>
  <c r="J201" i="8"/>
  <c r="J134" i="8"/>
  <c r="J190" i="8"/>
  <c r="J228" i="8"/>
  <c r="J103" i="8"/>
  <c r="J144" i="8"/>
  <c r="J162" i="8"/>
  <c r="L229" i="8"/>
  <c r="J239" i="8"/>
  <c r="J246" i="8" s="1"/>
  <c r="J46" i="8"/>
  <c r="J158" i="8"/>
  <c r="L176" i="8"/>
  <c r="J219" i="8"/>
  <c r="L254" i="8"/>
  <c r="J75" i="8"/>
  <c r="J238" i="8"/>
  <c r="J113" i="8"/>
  <c r="J230" i="8"/>
  <c r="J88" i="8"/>
  <c r="J215" i="8"/>
  <c r="C218" i="8"/>
  <c r="L218" i="8"/>
  <c r="C219" i="8"/>
  <c r="L215" i="8"/>
  <c r="L219" i="8"/>
  <c r="L61" i="8"/>
  <c r="C60" i="8"/>
  <c r="L60" i="8"/>
  <c r="C61" i="8"/>
  <c r="L57" i="8"/>
  <c r="C88" i="8"/>
  <c r="L88" i="8"/>
  <c r="C89" i="8"/>
  <c r="L85" i="8"/>
  <c r="L89" i="8"/>
  <c r="C161" i="8"/>
  <c r="L161" i="8"/>
  <c r="C162" i="8"/>
  <c r="L158" i="8"/>
  <c r="L162" i="8"/>
  <c r="C176" i="8"/>
  <c r="L134" i="8"/>
  <c r="J33" i="8"/>
  <c r="J45" i="8"/>
  <c r="J61" i="8"/>
  <c r="J74" i="8"/>
  <c r="J147" i="8"/>
  <c r="J204" i="8"/>
  <c r="J99" i="8"/>
  <c r="L106" i="8"/>
  <c r="L130" i="8"/>
  <c r="C134" i="8"/>
  <c r="L169" i="8"/>
  <c r="L175" i="8" s="1"/>
  <c r="L187" i="8"/>
  <c r="C191" i="8"/>
  <c r="C229" i="8"/>
  <c r="L27" i="8"/>
  <c r="J35" i="8"/>
  <c r="L39" i="8"/>
  <c r="J47" i="8"/>
  <c r="J57" i="8"/>
  <c r="L64" i="8"/>
  <c r="J89" i="8"/>
  <c r="J102" i="8"/>
  <c r="J130" i="8"/>
  <c r="L133" i="8"/>
  <c r="L137" i="8"/>
  <c r="L177" i="8"/>
  <c r="J187" i="8"/>
  <c r="L190" i="8"/>
  <c r="L194" i="8"/>
  <c r="L228" i="8"/>
  <c r="J60" i="8"/>
  <c r="J237" i="8"/>
  <c r="J85" i="8"/>
  <c r="L92" i="8"/>
  <c r="C133" i="8"/>
  <c r="C177" i="8"/>
  <c r="C190" i="8"/>
  <c r="L230" i="8"/>
  <c r="J148" i="8"/>
  <c r="J205" i="8"/>
  <c r="L29" i="8"/>
  <c r="L239" i="8" s="1"/>
  <c r="L246" i="8" s="1"/>
  <c r="J161" i="8"/>
  <c r="J218" i="8"/>
  <c r="J220" i="8" s="1"/>
  <c r="C230" i="8"/>
  <c r="J135" i="8" l="1"/>
  <c r="L192" i="15"/>
  <c r="L241" i="15"/>
  <c r="L248" i="15" s="1"/>
  <c r="J232" i="15"/>
  <c r="J119" i="15"/>
  <c r="L119" i="15"/>
  <c r="L231" i="15"/>
  <c r="L178" i="15"/>
  <c r="L242" i="15"/>
  <c r="L135" i="15"/>
  <c r="L164" i="15" s="1"/>
  <c r="J244" i="8"/>
  <c r="J90" i="8"/>
  <c r="J231" i="8"/>
  <c r="J178" i="8"/>
  <c r="J163" i="8"/>
  <c r="J76" i="8"/>
  <c r="J245" i="8"/>
  <c r="J192" i="8"/>
  <c r="J206" i="8"/>
  <c r="J241" i="8"/>
  <c r="J104" i="8"/>
  <c r="L178" i="8"/>
  <c r="J149" i="8"/>
  <c r="L33" i="8"/>
  <c r="C34" i="8"/>
  <c r="L34" i="8"/>
  <c r="C35" i="8"/>
  <c r="L237" i="8"/>
  <c r="L35" i="8"/>
  <c r="L192" i="8"/>
  <c r="L90" i="8"/>
  <c r="L116" i="8"/>
  <c r="C117" i="8"/>
  <c r="L113" i="8"/>
  <c r="L117" i="8"/>
  <c r="C116" i="8"/>
  <c r="J242" i="8"/>
  <c r="J36" i="8"/>
  <c r="L147" i="8"/>
  <c r="C148" i="8"/>
  <c r="L144" i="8"/>
  <c r="L148" i="8"/>
  <c r="C147" i="8"/>
  <c r="L45" i="8"/>
  <c r="C46" i="8"/>
  <c r="L46" i="8"/>
  <c r="C47" i="8"/>
  <c r="L47" i="8"/>
  <c r="L135" i="8"/>
  <c r="J48" i="8"/>
  <c r="J62" i="8"/>
  <c r="L238" i="8"/>
  <c r="L62" i="8"/>
  <c r="L220" i="8"/>
  <c r="L204" i="8"/>
  <c r="C205" i="8"/>
  <c r="L201" i="8"/>
  <c r="L205" i="8"/>
  <c r="C204" i="8"/>
  <c r="L163" i="8"/>
  <c r="L103" i="8"/>
  <c r="C102" i="8"/>
  <c r="L102" i="8"/>
  <c r="C103" i="8"/>
  <c r="L99" i="8"/>
  <c r="L74" i="8"/>
  <c r="C75" i="8"/>
  <c r="L71" i="8"/>
  <c r="L75" i="8"/>
  <c r="C74" i="8"/>
  <c r="L231" i="8"/>
  <c r="J19" i="8"/>
  <c r="J20" i="8"/>
  <c r="L149" i="8" l="1"/>
  <c r="L164" i="8" s="1"/>
  <c r="L232" i="15"/>
  <c r="L234" i="15" s="1"/>
  <c r="L262" i="15" s="1"/>
  <c r="L263" i="15" s="1"/>
  <c r="W263" i="15" s="1"/>
  <c r="J234" i="15"/>
  <c r="J262" i="15" s="1"/>
  <c r="J263" i="15" s="1"/>
  <c r="L249" i="15"/>
  <c r="J232" i="8"/>
  <c r="L244" i="8"/>
  <c r="J164" i="8"/>
  <c r="J119" i="8"/>
  <c r="J248" i="8"/>
  <c r="L76" i="8"/>
  <c r="L245" i="8"/>
  <c r="L48" i="8"/>
  <c r="L242" i="8"/>
  <c r="J249" i="8"/>
  <c r="L36" i="8"/>
  <c r="L104" i="8"/>
  <c r="L206" i="8"/>
  <c r="L232" i="8" s="1"/>
  <c r="L241" i="8"/>
  <c r="L118" i="8"/>
  <c r="J236" i="15" l="1"/>
  <c r="J261" i="15" s="1"/>
  <c r="L236" i="15"/>
  <c r="L261" i="15" s="1"/>
  <c r="J234" i="8"/>
  <c r="L119" i="8"/>
  <c r="L234" i="8" s="1"/>
  <c r="L248" i="8"/>
  <c r="L249" i="8"/>
  <c r="J243" i="15" l="1"/>
  <c r="J247" i="15" s="1"/>
  <c r="J240" i="15"/>
  <c r="L243" i="15"/>
  <c r="L247" i="15" s="1"/>
  <c r="L240" i="15"/>
  <c r="L236" i="8"/>
  <c r="L240" i="8" s="1"/>
  <c r="L262" i="8"/>
  <c r="L263" i="8" s="1"/>
  <c r="J236" i="8"/>
  <c r="C17" i="8" l="1"/>
  <c r="J240" i="8"/>
  <c r="J243" i="8"/>
  <c r="J247" i="8" s="1"/>
  <c r="L261" i="8"/>
  <c r="L243" i="8"/>
  <c r="L247" i="8" s="1"/>
  <c r="C20" i="8" l="1"/>
  <c r="C17" i="15"/>
  <c r="C20" i="15" s="1"/>
</calcChain>
</file>

<file path=xl/sharedStrings.xml><?xml version="1.0" encoding="utf-8"?>
<sst xmlns="http://schemas.openxmlformats.org/spreadsheetml/2006/main" count="1116" uniqueCount="137">
  <si>
    <t>Обоснование</t>
  </si>
  <si>
    <t>Наименование работ и затрат</t>
  </si>
  <si>
    <t>Сметная стоимость</t>
  </si>
  <si>
    <t>Количество</t>
  </si>
  <si>
    <t>всего</t>
  </si>
  <si>
    <t>Единица измерения</t>
  </si>
  <si>
    <t>(базисном) уровне цен</t>
  </si>
  <si>
    <t>(тыс.руб.)</t>
  </si>
  <si>
    <t xml:space="preserve">     в том числе:</t>
  </si>
  <si>
    <t>Средства на оплату труда рабочих</t>
  </si>
  <si>
    <t>Нормативные затраты труда рабочих</t>
  </si>
  <si>
    <t>чел.-ч.</t>
  </si>
  <si>
    <t>Сметная стоимость в базисном уровне цен (в текущем уровне цен (гр. 8) для ресурсов отсутствующих в СНБ), руб.</t>
  </si>
  <si>
    <t>Сметная стоимо сть в текущем уровне цен, руб.</t>
  </si>
  <si>
    <t>на еди ницу</t>
  </si>
  <si>
    <t>всего с учетом коэффи циентов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</si>
  <si>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</si>
  <si>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</si>
  <si>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</si>
  <si>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</si>
  <si>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</si>
  <si>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</si>
  <si>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</si>
  <si>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</si>
  <si>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</si>
  <si>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</si>
  <si>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</si>
  <si>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</si>
  <si>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строительных работ:</t>
  </si>
  <si>
    <t>100 м2</t>
  </si>
  <si>
    <t>ОТ</t>
  </si>
  <si>
    <t>ЭМ</t>
  </si>
  <si>
    <t>в т.ч. ОТм</t>
  </si>
  <si>
    <t>М</t>
  </si>
  <si>
    <t/>
  </si>
  <si>
    <t>ЗТ</t>
  </si>
  <si>
    <t>ч/ч</t>
  </si>
  <si>
    <t>ЗТм</t>
  </si>
  <si>
    <t>Итого по расценке</t>
  </si>
  <si>
    <t>Приказ №812/пр от 21.12.2020г.</t>
  </si>
  <si>
    <t>%</t>
  </si>
  <si>
    <t>Приказ №774/пр от 11.12.2020г.</t>
  </si>
  <si>
    <t>Всего по позиции</t>
  </si>
  <si>
    <t>1 т груза</t>
  </si>
  <si>
    <t xml:space="preserve">ФЕР27-04-001-04 </t>
  </si>
  <si>
    <t>Устройство подстилающих и выравнивающих слоев оснований: из щебня</t>
  </si>
  <si>
    <t>100 м3</t>
  </si>
  <si>
    <t>П</t>
  </si>
  <si>
    <t>02.2.05.04</t>
  </si>
  <si>
    <t>Щебень</t>
  </si>
  <si>
    <t>м3</t>
  </si>
  <si>
    <t>5.1</t>
  </si>
  <si>
    <t>1000 м2</t>
  </si>
  <si>
    <t>т</t>
  </si>
  <si>
    <t xml:space="preserve">ФЕР27-06-026-01 </t>
  </si>
  <si>
    <t>01.2.01.01</t>
  </si>
  <si>
    <t>Битум</t>
  </si>
  <si>
    <t>ФССЦ-01.2.03.07-0023</t>
  </si>
  <si>
    <t>Эмульсия битумно-дорожная</t>
  </si>
  <si>
    <t xml:space="preserve">ФЕР27-03-004-01 </t>
  </si>
  <si>
    <t>Устройство выравнивающего слоя из асфальтобетонной смеси: с применением укладчиков асфальтобетона</t>
  </si>
  <si>
    <t>100 т</t>
  </si>
  <si>
    <t>04.2.01.01</t>
  </si>
  <si>
    <t>Смесь асфальтобетонная</t>
  </si>
  <si>
    <t xml:space="preserve">ФЕР01-02-027-02 </t>
  </si>
  <si>
    <t>Планировка площадей: механизированным способом, группа грунтов 2</t>
  </si>
  <si>
    <t xml:space="preserve">Итого </t>
  </si>
  <si>
    <t>Итого прямые затраты (справочно)</t>
  </si>
  <si>
    <t xml:space="preserve"> в т.ч. Оплата труда рабочих</t>
  </si>
  <si>
    <t xml:space="preserve">    Эксплуатация машин и механизмов</t>
  </si>
  <si>
    <t xml:space="preserve">        в том числе оплата труда машинистов</t>
  </si>
  <si>
    <t xml:space="preserve">    Материалы</t>
  </si>
  <si>
    <t xml:space="preserve">    Накладные расходы</t>
  </si>
  <si>
    <t xml:space="preserve">    Сметная прибыль</t>
  </si>
  <si>
    <t xml:space="preserve"> Строительные работы</t>
  </si>
  <si>
    <t xml:space="preserve"> в т.ч. оплата труда рабочих</t>
  </si>
  <si>
    <t xml:space="preserve">    эксплуатация машин и механизмов</t>
  </si>
  <si>
    <t xml:space="preserve">    материалы</t>
  </si>
  <si>
    <t xml:space="preserve">    накладные расходы</t>
  </si>
  <si>
    <t xml:space="preserve">    сметная прибыль</t>
  </si>
  <si>
    <t xml:space="preserve"> Монтажные работы</t>
  </si>
  <si>
    <t xml:space="preserve"> Пусконаладочные работы</t>
  </si>
  <si>
    <t xml:space="preserve"> Оборудование</t>
  </si>
  <si>
    <t>Наименование редакции сметных нормативов  ФСНБ-2020 включая дополнение №9 (приказы Минстроя России от 20.12.2021 № 961_пр, 962_пр) действует с 01.02.2022</t>
  </si>
  <si>
    <t>Наименование программного продукта АНТ-смета (версия 5.843)</t>
  </si>
  <si>
    <t>(наименование стройки)</t>
  </si>
  <si>
    <t>(наименование объекта капитального строительства)</t>
  </si>
  <si>
    <t xml:space="preserve">ЛОКАЛЬНЫЙ СМЕТНЫЙ РАСЧЁТ ( СМЕТА) </t>
  </si>
  <si>
    <t>(наименование конструктивного решения)</t>
  </si>
  <si>
    <t>Составлен</t>
  </si>
  <si>
    <t>базисно-индексным</t>
  </si>
  <si>
    <t>методом</t>
  </si>
  <si>
    <t>Основание</t>
  </si>
  <si>
    <t>ведомость объемов работ</t>
  </si>
  <si>
    <t>(проектная и (или) иная техническая документация)</t>
  </si>
  <si>
    <t xml:space="preserve">Составлен(а) в текущем </t>
  </si>
  <si>
    <t>на 1 января 2000 г.</t>
  </si>
  <si>
    <t>1.1</t>
  </si>
  <si>
    <t xml:space="preserve">ФЕР27-06-031-01 </t>
  </si>
  <si>
    <t>ФССЦ-04.2.01.01-0049</t>
  </si>
  <si>
    <t>Составил :</t>
  </si>
  <si>
    <t>Проверил:</t>
  </si>
  <si>
    <r>
      <t xml:space="preserve">№ </t>
    </r>
    <r>
      <rPr>
        <sz val="9.5"/>
        <rFont val="Arial"/>
        <family val="2"/>
        <charset val="204"/>
      </rPr>
      <t>п/п</t>
    </r>
  </si>
  <si>
    <t>Индексы</t>
  </si>
  <si>
    <t>коэффи циенты</t>
  </si>
  <si>
    <t>Тип 1, S = 3179 м2</t>
  </si>
  <si>
    <t xml:space="preserve">ФЕР27-03-012-02 </t>
  </si>
  <si>
    <t>Срезка поверхностного слоя асфальтобетонных дорожных покрытий с применением фрез при ширине фрезерования до 2200 мм, толщина слоя: до 10 см</t>
  </si>
  <si>
    <t>03-21-01-005</t>
  </si>
  <si>
    <t>Перевозка грузов I класса автомобилями-самосвалами грузоподъемностью 10 т работающих вне карьера на расстояние до 5 км</t>
  </si>
  <si>
    <t xml:space="preserve">ФЕР27-03-008-02 </t>
  </si>
  <si>
    <t>Разборка покрытий и оснований: щебеночных</t>
  </si>
  <si>
    <t>4.1</t>
  </si>
  <si>
    <t>ФССЦ-02.2.04.04-0122</t>
  </si>
  <si>
    <t>Смесь щебеночно-песчаная готовая, щебень из плотных горных пород М 1000, номер смеси С4, размер зерен 0-80 мм</t>
  </si>
  <si>
    <t xml:space="preserve"> Розлив вяжущих материалов 0,7 л/м2</t>
  </si>
  <si>
    <t xml:space="preserve"> Розлив вяжущих материалов 0,3 л/м2</t>
  </si>
  <si>
    <t>6.1</t>
  </si>
  <si>
    <t>7.1</t>
  </si>
  <si>
    <t>ФССЦ-04.2.01.02-0006</t>
  </si>
  <si>
    <t>Устройство покрытия из горячих асфальтобетонных смесей асфальтоукладчиками: третьего типоразмера, ширина укладки до 6 м, толщина слоя 4 см</t>
  </si>
  <si>
    <t>8.1</t>
  </si>
  <si>
    <t>Тип 2, S=2400 м2</t>
  </si>
  <si>
    <t>2.1</t>
  </si>
  <si>
    <t>3.1</t>
  </si>
  <si>
    <t>Устройство асфальтобетонного покрытия картами</t>
  </si>
  <si>
    <t>Устройство подстилающих и выравнивающих слоев оснований: из щебня ( из асфальтогранулята ранее разработанного)</t>
  </si>
  <si>
    <t xml:space="preserve">ИТОГО </t>
  </si>
  <si>
    <t>Итого</t>
  </si>
  <si>
    <t>Ремонт подъезда</t>
  </si>
  <si>
    <t xml:space="preserve"> УТВЕРЖДАЮ
</t>
  </si>
  <si>
    <t>на IV квартал 2023 года</t>
  </si>
  <si>
    <t>НДС 20%</t>
  </si>
  <si>
    <t>Смеси асфальтобетонные пористые крупнозернистые марка II _ с учетом доставки</t>
  </si>
  <si>
    <t>Смеси асфальтобетонные плотные мелкозернистые тип Б марка II _ с учетом доставки</t>
  </si>
  <si>
    <t>Смеси асфальтобетонные пористые крупнозернистые марка II_ с учетом доставки</t>
  </si>
  <si>
    <t>Смеси асфальтобетонные плотные мелкозернистые тип Б марка II_ с учетом доставки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</si>
</sst>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vertAlign val="superscript"/>
      <sz val="8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color theme="0"/>
      <name val="Arial"/>
      <family val="2"/>
      <charset val="204"/>
    </font>
    <font>
      <sz val="10"/>
      <color theme="0"/>
      <name val="Arial Cyr"/>
      <charset val="204"/>
    </font>
    <font>
      <i/>
      <sz val="8"/>
      <name val="Arial"/>
      <family val="2"/>
      <charset val="204"/>
    </font>
    <font>
      <sz val="9.5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top"/>
    </xf>
    <xf numFmtId="0" fontId="5" fillId="0" borderId="12" xfId="0" applyFont="1" applyBorder="1"/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9" fontId="5" fillId="0" borderId="1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10" xfId="0" applyFont="1" applyBorder="1"/>
    <xf numFmtId="49" fontId="5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0" fillId="0" borderId="7" xfId="0" applyBorder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4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/>
    <xf numFmtId="0" fontId="6" fillId="0" borderId="13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6" fillId="0" borderId="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5" fillId="0" borderId="7" xfId="0" applyFont="1" applyBorder="1"/>
    <xf numFmtId="0" fontId="6" fillId="0" borderId="14" xfId="0" applyFont="1" applyBorder="1" applyAlignment="1">
      <alignment vertical="top"/>
    </xf>
    <xf numFmtId="4" fontId="13" fillId="2" borderId="0" xfId="0" applyNumberFormat="1" applyFont="1" applyFill="1" applyAlignment="1">
      <alignment shrinkToFit="1"/>
    </xf>
    <xf numFmtId="0" fontId="0" fillId="3" borderId="0" xfId="0" applyFill="1"/>
    <xf numFmtId="4" fontId="11" fillId="0" borderId="0" xfId="0" applyNumberFormat="1" applyFont="1" applyAlignment="1">
      <alignment vertical="center" shrinkToFit="1"/>
    </xf>
    <xf numFmtId="0" fontId="6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3" borderId="0" xfId="0" applyFont="1" applyFill="1"/>
    <xf numFmtId="4" fontId="6" fillId="3" borderId="13" xfId="0" applyNumberFormat="1" applyFont="1" applyFill="1" applyBorder="1" applyAlignment="1">
      <alignment vertical="center" shrinkToFit="1"/>
    </xf>
    <xf numFmtId="4" fontId="5" fillId="3" borderId="13" xfId="0" applyNumberFormat="1" applyFont="1" applyFill="1" applyBorder="1" applyAlignment="1">
      <alignment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top"/>
    </xf>
    <xf numFmtId="0" fontId="5" fillId="3" borderId="8" xfId="0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vertical="center" shrinkToFit="1"/>
    </xf>
    <xf numFmtId="4" fontId="5" fillId="0" borderId="13" xfId="0" applyNumberFormat="1" applyFont="1" applyBorder="1" applyAlignment="1">
      <alignment vertical="center" shrinkToFit="1"/>
    </xf>
    <xf numFmtId="0" fontId="0" fillId="4" borderId="0" xfId="0" applyFill="1"/>
    <xf numFmtId="4" fontId="13" fillId="4" borderId="0" xfId="0" applyNumberFormat="1" applyFont="1" applyFill="1" applyAlignment="1">
      <alignment shrinkToFit="1"/>
    </xf>
    <xf numFmtId="0" fontId="5" fillId="0" borderId="8" xfId="0" applyFont="1" applyBorder="1"/>
    <xf numFmtId="0" fontId="5" fillId="4" borderId="7" xfId="0" applyFont="1" applyFill="1" applyBorder="1"/>
    <xf numFmtId="4" fontId="6" fillId="4" borderId="14" xfId="0" applyNumberFormat="1" applyFont="1" applyFill="1" applyBorder="1" applyAlignment="1">
      <alignment vertical="center" shrinkToFit="1"/>
    </xf>
    <xf numFmtId="0" fontId="6" fillId="0" borderId="1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" fontId="6" fillId="0" borderId="9" xfId="0" applyNumberFormat="1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left" vertical="center"/>
    </xf>
    <xf numFmtId="1" fontId="6" fillId="0" borderId="12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top"/>
    </xf>
    <xf numFmtId="0" fontId="6" fillId="4" borderId="10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2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4" xfId="2" xr:uid="{00000000-0005-0000-0000-000003000000}"/>
    <cellStyle name="Обычный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SU\2023%20&#1075;\__&#1055;&#1088;&#1077;&#1076;&#1083;&#1086;&#1078;&#1077;&#1085;&#1080;&#1103;\23_07_11_%20&#1055;&#1088;&#1077;&#1076;&#1083;&#1086;&#1078;&#1077;&#1085;&#1080;&#1103;%20&#1085;&#1072;%202024%20&#1074;1\01.1_&#1054;_&#1057;&#1084;&#1077;&#1090;&#1072;%20&#1060;&#1045;&#1056;%20&#1050;&#1086;&#1090;&#1077;&#1083;&#1100;&#1085;&#1080;&#1082;&#1086;&#1074;&#1086;%20%20102+828-103+690%20(%200,862&#1082;&#1084;)%20%20&#1050;&#1047;%20(&#1040;%2032%20&#1053;&#1053;%20)%206,%20&#1052;&#1047;%20(&#1040;%2016%20&#1042;&#1053;)%205%20%20&#1074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ф_вед"/>
      <sheetName val="Ведомость объемов"/>
      <sheetName val="Смета ("/>
      <sheetName val="Профиль_(1)"/>
      <sheetName val="Данные"/>
      <sheetName val="Съезды"/>
    </sheetNames>
    <sheetDataSet>
      <sheetData sheetId="0"/>
      <sheetData sheetId="1"/>
      <sheetData sheetId="2"/>
      <sheetData sheetId="3"/>
      <sheetData sheetId="4">
        <row r="9">
          <cell r="E9">
            <v>862</v>
          </cell>
        </row>
        <row r="16">
          <cell r="E16">
            <v>2.5</v>
          </cell>
        </row>
        <row r="17">
          <cell r="E17">
            <v>1</v>
          </cell>
        </row>
        <row r="21">
          <cell r="E21">
            <v>100</v>
          </cell>
        </row>
        <row r="24">
          <cell r="E24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268"/>
  <sheetViews>
    <sheetView tabSelected="1" view="pageBreakPreview" topLeftCell="A232" zoomScaleSheetLayoutView="100" workbookViewId="0">
      <selection activeCell="AC261" sqref="AC261"/>
    </sheetView>
  </sheetViews>
  <sheetFormatPr defaultRowHeight="12.75" x14ac:dyDescent="0.2"/>
  <cols>
    <col min="1" max="1" width="2.85546875" customWidth="1"/>
    <col min="2" max="2" width="13.28515625" customWidth="1"/>
    <col min="3" max="3" width="41.140625" customWidth="1"/>
    <col min="4" max="5" width="8.28515625" customWidth="1"/>
    <col min="6" max="6" width="10.28515625" customWidth="1"/>
    <col min="8" max="8" width="10" customWidth="1"/>
    <col min="9" max="9" width="10.140625" customWidth="1"/>
    <col min="10" max="10" width="9.42578125" customWidth="1"/>
    <col min="11" max="11" width="7.85546875" style="38" customWidth="1"/>
    <col min="12" max="12" width="11.28515625" style="38" customWidth="1"/>
    <col min="13" max="13" width="0.140625" customWidth="1"/>
    <col min="14" max="14" width="9.140625" hidden="1" customWidth="1"/>
    <col min="15" max="15" width="0.140625" hidden="1" customWidth="1"/>
    <col min="16" max="17" width="9.140625" hidden="1" customWidth="1"/>
    <col min="18" max="19" width="0.140625" customWidth="1"/>
    <col min="20" max="21" width="0" hidden="1" customWidth="1"/>
    <col min="22" max="22" width="10.140625" hidden="1" customWidth="1"/>
    <col min="23" max="23" width="0" hidden="1" customWidth="1"/>
  </cols>
  <sheetData>
    <row r="1" spans="1:14" ht="63.75" customHeight="1" x14ac:dyDescent="0.2">
      <c r="H1" s="94" t="s">
        <v>130</v>
      </c>
      <c r="I1" s="95"/>
      <c r="J1" s="95"/>
      <c r="K1" s="95"/>
      <c r="L1" s="95"/>
    </row>
    <row r="2" spans="1:14" x14ac:dyDescent="0.2">
      <c r="A2" s="96" t="s">
        <v>83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x14ac:dyDescent="0.2">
      <c r="A3" s="97" t="s">
        <v>84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4" ht="25.5" customHeight="1" x14ac:dyDescent="0.2">
      <c r="A4" s="98" t="s">
        <v>129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</row>
    <row r="5" spans="1:14" ht="10.5" customHeight="1" x14ac:dyDescent="0.2">
      <c r="A5" s="99" t="s">
        <v>85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</row>
    <row r="6" spans="1:14" ht="14.25" customHeight="1" x14ac:dyDescent="0.2">
      <c r="A6" s="100" t="str">
        <f>A4</f>
        <v>Ремонт подъезда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"/>
    </row>
    <row r="7" spans="1:14" ht="10.5" customHeight="1" x14ac:dyDescent="0.2">
      <c r="A7" s="101" t="s">
        <v>86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"/>
    </row>
    <row r="8" spans="1:14" ht="21" customHeight="1" x14ac:dyDescent="0.2">
      <c r="A8" s="102" t="s">
        <v>87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"/>
    </row>
    <row r="9" spans="1:14" ht="11.25" customHeight="1" x14ac:dyDescent="0.2">
      <c r="A9" s="100" t="str">
        <f>A6</f>
        <v>Ремонт подъезда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"/>
    </row>
    <row r="10" spans="1:14" ht="10.5" customHeight="1" x14ac:dyDescent="0.2">
      <c r="A10" s="101" t="s">
        <v>88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"/>
    </row>
    <row r="11" spans="1:14" x14ac:dyDescent="0.2">
      <c r="B11" s="2"/>
      <c r="C11" s="17" t="s">
        <v>89</v>
      </c>
      <c r="D11" s="103" t="s">
        <v>90</v>
      </c>
      <c r="E11" s="103"/>
      <c r="F11" s="103"/>
      <c r="G11" s="2" t="s">
        <v>91</v>
      </c>
      <c r="H11" s="2"/>
      <c r="I11" s="2"/>
      <c r="J11" s="2"/>
      <c r="K11" s="2"/>
      <c r="L11" s="2"/>
      <c r="M11" s="1"/>
    </row>
    <row r="12" spans="1:14" x14ac:dyDescent="0.2">
      <c r="B12" s="2"/>
      <c r="C12" s="17" t="s">
        <v>92</v>
      </c>
      <c r="D12" s="93" t="s">
        <v>93</v>
      </c>
      <c r="E12" s="93"/>
      <c r="F12" s="93"/>
      <c r="G12" s="2"/>
      <c r="H12" s="2"/>
      <c r="I12" s="2"/>
      <c r="J12" s="2"/>
      <c r="K12" s="2"/>
      <c r="L12" s="2"/>
      <c r="M12" s="1"/>
    </row>
    <row r="13" spans="1:14" ht="12" customHeight="1" x14ac:dyDescent="0.2">
      <c r="A13" s="2"/>
      <c r="B13" s="2"/>
      <c r="D13" s="106" t="s">
        <v>94</v>
      </c>
      <c r="E13" s="106"/>
      <c r="F13" s="106"/>
      <c r="G13" s="34"/>
      <c r="H13" s="34"/>
      <c r="I13" s="34"/>
      <c r="J13" s="34"/>
      <c r="K13" s="34"/>
      <c r="L13" s="34"/>
      <c r="M13" s="34"/>
      <c r="N13" s="34"/>
    </row>
    <row r="14" spans="1:14" x14ac:dyDescent="0.2">
      <c r="B14" s="2"/>
      <c r="C14" s="17" t="s">
        <v>95</v>
      </c>
      <c r="D14" s="107" t="s">
        <v>131</v>
      </c>
      <c r="E14" s="107"/>
      <c r="F14" s="107"/>
      <c r="G14" s="2"/>
      <c r="H14" s="2"/>
      <c r="I14" s="2"/>
      <c r="J14" s="2"/>
      <c r="K14" s="2"/>
      <c r="L14" s="2"/>
      <c r="M14" s="1"/>
    </row>
    <row r="15" spans="1:14" x14ac:dyDescent="0.2">
      <c r="B15" s="2"/>
      <c r="C15" s="17" t="s">
        <v>6</v>
      </c>
      <c r="D15" s="108" t="s">
        <v>96</v>
      </c>
      <c r="E15" s="108"/>
      <c r="F15" s="108"/>
      <c r="G15" s="2"/>
      <c r="H15" s="2"/>
      <c r="I15" s="2"/>
      <c r="J15" s="2"/>
      <c r="K15" s="2"/>
      <c r="L15" s="2"/>
      <c r="M15" s="1"/>
    </row>
    <row r="16" spans="1:14" x14ac:dyDescent="0.2">
      <c r="B16" s="2"/>
      <c r="C16" s="17"/>
      <c r="D16" s="16"/>
      <c r="E16" s="16"/>
      <c r="F16" s="16"/>
      <c r="G16" s="2"/>
      <c r="H16" s="2"/>
      <c r="I16" s="2"/>
      <c r="J16" s="2"/>
      <c r="K16" s="2"/>
      <c r="L16" s="2"/>
      <c r="M16" s="1"/>
    </row>
    <row r="17" spans="1:21" x14ac:dyDescent="0.2">
      <c r="A17" s="2" t="s">
        <v>2</v>
      </c>
      <c r="B17" s="2"/>
      <c r="C17" s="17" t="str">
        <f>L263/1000&amp;" ("&amp;J234/1000&amp;")"</f>
        <v>12684,97231 (1117,71196)</v>
      </c>
      <c r="D17" s="2" t="s">
        <v>7</v>
      </c>
      <c r="E17" s="2"/>
      <c r="F17" s="2"/>
      <c r="G17" s="2"/>
      <c r="H17" s="2"/>
      <c r="I17" s="2"/>
      <c r="J17" s="2"/>
      <c r="K17" s="2"/>
      <c r="L17" s="2"/>
      <c r="M17" s="1"/>
    </row>
    <row r="18" spans="1:21" ht="3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</row>
    <row r="19" spans="1:21" x14ac:dyDescent="0.2">
      <c r="A19" s="109" t="s">
        <v>8</v>
      </c>
      <c r="B19" s="109"/>
      <c r="C19" s="2"/>
      <c r="D19" s="2"/>
      <c r="E19" s="2" t="s">
        <v>9</v>
      </c>
      <c r="F19" s="2"/>
      <c r="G19" s="2"/>
      <c r="H19" s="2"/>
      <c r="I19" s="35"/>
      <c r="J19" s="32" t="str">
        <f>SUMIF(C21:C263,"ОТ",L21:L263)/1000&amp;" ("&amp;SUMIF(C21:C263,"ОТ",J21:J263)/1000&amp;")"</f>
        <v>111,88458 (3,59989)</v>
      </c>
      <c r="K19" s="31" t="s">
        <v>7</v>
      </c>
      <c r="L19" s="2"/>
      <c r="M19" s="1"/>
    </row>
    <row r="20" spans="1:21" x14ac:dyDescent="0.2">
      <c r="A20" s="2" t="s">
        <v>28</v>
      </c>
      <c r="B20" s="2"/>
      <c r="C20" s="32" t="str">
        <f>C17</f>
        <v>12684,97231 (1117,71196)</v>
      </c>
      <c r="D20" s="31" t="s">
        <v>7</v>
      </c>
      <c r="E20" s="2" t="s">
        <v>10</v>
      </c>
      <c r="F20" s="2"/>
      <c r="G20" s="2"/>
      <c r="H20" s="2"/>
      <c r="I20" s="35"/>
      <c r="J20" s="31">
        <f>SUMIF(C21:C263,"ЗТ",G21:G263)</f>
        <v>384.39999999999992</v>
      </c>
      <c r="K20" s="31" t="s">
        <v>11</v>
      </c>
      <c r="L20" s="2"/>
      <c r="M20" s="1"/>
    </row>
    <row r="21" spans="1:2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</row>
    <row r="22" spans="1:21" x14ac:dyDescent="0.2">
      <c r="A22" s="110" t="s">
        <v>102</v>
      </c>
      <c r="B22" s="112" t="s">
        <v>0</v>
      </c>
      <c r="C22" s="112" t="s">
        <v>1</v>
      </c>
      <c r="D22" s="110" t="s">
        <v>5</v>
      </c>
      <c r="E22" s="114" t="s">
        <v>3</v>
      </c>
      <c r="F22" s="115"/>
      <c r="G22" s="116"/>
      <c r="H22" s="90" t="s">
        <v>12</v>
      </c>
      <c r="I22" s="91"/>
      <c r="J22" s="92"/>
      <c r="K22" s="85" t="s">
        <v>103</v>
      </c>
      <c r="L22" s="87" t="s">
        <v>13</v>
      </c>
      <c r="M22" s="1"/>
    </row>
    <row r="23" spans="1:21" ht="51" x14ac:dyDescent="0.2">
      <c r="A23" s="111"/>
      <c r="B23" s="113"/>
      <c r="C23" s="113"/>
      <c r="D23" s="111"/>
      <c r="E23" s="42" t="s">
        <v>14</v>
      </c>
      <c r="F23" s="42" t="s">
        <v>104</v>
      </c>
      <c r="G23" s="42" t="s">
        <v>15</v>
      </c>
      <c r="H23" s="42" t="s">
        <v>14</v>
      </c>
      <c r="I23" s="42" t="s">
        <v>104</v>
      </c>
      <c r="J23" s="43" t="s">
        <v>4</v>
      </c>
      <c r="K23" s="86"/>
      <c r="L23" s="88"/>
      <c r="M23" s="1"/>
      <c r="U23">
        <v>1.3076208291345699</v>
      </c>
    </row>
    <row r="24" spans="1:21" x14ac:dyDescent="0.2">
      <c r="A24" s="3" t="s">
        <v>16</v>
      </c>
      <c r="B24" s="3" t="s">
        <v>17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9" t="s">
        <v>27</v>
      </c>
      <c r="M24" s="1"/>
    </row>
    <row r="25" spans="1:21" x14ac:dyDescent="0.2">
      <c r="A25" s="89" t="s">
        <v>105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1"/>
      <c r="N25" s="1"/>
      <c r="O25" s="1"/>
    </row>
    <row r="26" spans="1:21" ht="45" x14ac:dyDescent="0.2">
      <c r="A26" s="4">
        <v>1</v>
      </c>
      <c r="B26" s="5" t="s">
        <v>106</v>
      </c>
      <c r="C26" s="6" t="s">
        <v>107</v>
      </c>
      <c r="D26" s="7" t="s">
        <v>29</v>
      </c>
      <c r="E26" s="8">
        <f>G26</f>
        <v>26.29</v>
      </c>
      <c r="F26" s="9"/>
      <c r="G26" s="10">
        <v>26.29</v>
      </c>
      <c r="H26" s="10">
        <v>1266.9100000000001</v>
      </c>
      <c r="I26" s="11"/>
      <c r="J26" s="10">
        <f>ROUND(G26*H26,2)</f>
        <v>33307.06</v>
      </c>
      <c r="K26" s="9"/>
      <c r="L26" s="44"/>
      <c r="M26" s="1"/>
      <c r="N26" s="1">
        <v>1</v>
      </c>
      <c r="O26" s="1"/>
      <c r="P26">
        <v>4373</v>
      </c>
      <c r="Q26">
        <v>7064</v>
      </c>
      <c r="R26">
        <v>66210</v>
      </c>
    </row>
    <row r="27" spans="1:21" x14ac:dyDescent="0.2">
      <c r="A27" s="12"/>
      <c r="B27" s="13" t="s">
        <v>16</v>
      </c>
      <c r="C27" s="14" t="s">
        <v>30</v>
      </c>
      <c r="D27" s="15"/>
      <c r="E27" s="16"/>
      <c r="F27" s="2"/>
      <c r="G27" s="2"/>
      <c r="H27" s="17">
        <v>3.9</v>
      </c>
      <c r="I27" s="17"/>
      <c r="J27" s="17">
        <f>ROUND(H27*G26,2)</f>
        <v>102.53</v>
      </c>
      <c r="K27" s="18">
        <v>31.08</v>
      </c>
      <c r="L27" s="45">
        <f>ROUND(J27*K27,2)</f>
        <v>3186.63</v>
      </c>
      <c r="M27" s="1"/>
      <c r="N27" s="1"/>
      <c r="O27" s="1"/>
    </row>
    <row r="28" spans="1:21" x14ac:dyDescent="0.2">
      <c r="A28" s="12"/>
      <c r="B28" s="13" t="s">
        <v>17</v>
      </c>
      <c r="C28" s="14" t="s">
        <v>31</v>
      </c>
      <c r="D28" s="15"/>
      <c r="E28" s="16"/>
      <c r="F28" s="2"/>
      <c r="G28" s="2"/>
      <c r="H28" s="17">
        <v>1262.76</v>
      </c>
      <c r="I28" s="17"/>
      <c r="J28" s="17">
        <f>ROUND(H28*G26,2)</f>
        <v>33197.96</v>
      </c>
      <c r="K28" s="18">
        <v>11.78</v>
      </c>
      <c r="L28" s="45">
        <f>ROUND(J28*K28,2)</f>
        <v>391071.97</v>
      </c>
      <c r="M28" s="1"/>
      <c r="N28" s="1"/>
      <c r="O28" s="1"/>
    </row>
    <row r="29" spans="1:21" x14ac:dyDescent="0.2">
      <c r="A29" s="12"/>
      <c r="B29" s="13" t="s">
        <v>18</v>
      </c>
      <c r="C29" s="14" t="s">
        <v>32</v>
      </c>
      <c r="D29" s="15"/>
      <c r="E29" s="16"/>
      <c r="F29" s="2"/>
      <c r="G29" s="2"/>
      <c r="H29" s="17">
        <v>8.06</v>
      </c>
      <c r="I29" s="17"/>
      <c r="J29" s="17">
        <f>ROUND(H29*G26,2)</f>
        <v>211.9</v>
      </c>
      <c r="K29" s="18">
        <v>31.08</v>
      </c>
      <c r="L29" s="45">
        <f>ROUND(J29*K29,2)</f>
        <v>6585.85</v>
      </c>
      <c r="M29" s="1"/>
      <c r="N29" s="1"/>
      <c r="O29" s="1"/>
    </row>
    <row r="30" spans="1:21" x14ac:dyDescent="0.2">
      <c r="A30" s="12"/>
      <c r="B30" s="13" t="s">
        <v>19</v>
      </c>
      <c r="C30" s="14" t="s">
        <v>33</v>
      </c>
      <c r="D30" s="15"/>
      <c r="E30" s="16"/>
      <c r="F30" s="2"/>
      <c r="G30" s="2"/>
      <c r="H30" s="17">
        <v>0.25</v>
      </c>
      <c r="I30" s="17"/>
      <c r="J30" s="17">
        <f>ROUND(H30*G26,2)</f>
        <v>6.57</v>
      </c>
      <c r="K30" s="18">
        <v>8.61</v>
      </c>
      <c r="L30" s="45">
        <f>ROUND(J30*K30,2)</f>
        <v>56.57</v>
      </c>
      <c r="M30" s="1"/>
      <c r="N30" s="1"/>
      <c r="O30" s="1"/>
    </row>
    <row r="31" spans="1:21" x14ac:dyDescent="0.2">
      <c r="A31" s="12"/>
      <c r="B31" s="13" t="s">
        <v>34</v>
      </c>
      <c r="C31" s="14" t="s">
        <v>35</v>
      </c>
      <c r="D31" s="15" t="s">
        <v>36</v>
      </c>
      <c r="E31" s="16">
        <v>0</v>
      </c>
      <c r="F31" s="2"/>
      <c r="G31" s="2">
        <f>ROUND(E31*G26,2)</f>
        <v>0</v>
      </c>
      <c r="H31" s="17"/>
      <c r="I31" s="17"/>
      <c r="J31" s="17"/>
      <c r="K31" s="18"/>
      <c r="L31" s="45"/>
      <c r="M31" s="1"/>
      <c r="N31" s="1"/>
      <c r="O31" s="1"/>
    </row>
    <row r="32" spans="1:21" x14ac:dyDescent="0.2">
      <c r="A32" s="12"/>
      <c r="B32" s="13" t="s">
        <v>34</v>
      </c>
      <c r="C32" s="14" t="s">
        <v>37</v>
      </c>
      <c r="D32" s="15" t="s">
        <v>36</v>
      </c>
      <c r="E32" s="16">
        <v>1</v>
      </c>
      <c r="F32" s="2"/>
      <c r="G32" s="2">
        <f>ROUND(E32*G26,2)</f>
        <v>26.29</v>
      </c>
      <c r="H32" s="17"/>
      <c r="I32" s="17"/>
      <c r="J32" s="17"/>
      <c r="K32" s="18"/>
      <c r="L32" s="45"/>
      <c r="M32" s="1"/>
      <c r="N32" s="1"/>
      <c r="O32" s="1"/>
    </row>
    <row r="33" spans="1:18" x14ac:dyDescent="0.2">
      <c r="A33" s="12"/>
      <c r="B33" s="13" t="s">
        <v>34</v>
      </c>
      <c r="C33" s="19" t="s">
        <v>38</v>
      </c>
      <c r="D33" s="15"/>
      <c r="E33" s="16"/>
      <c r="F33" s="2"/>
      <c r="G33" s="2"/>
      <c r="H33" s="20">
        <f>ROUND(H27+H28+H30,2)</f>
        <v>1266.9100000000001</v>
      </c>
      <c r="I33" s="17"/>
      <c r="J33" s="20">
        <f>ROUND(J27+J28+J30,2)</f>
        <v>33307.06</v>
      </c>
      <c r="K33" s="18"/>
      <c r="L33" s="46">
        <f>ROUND(L27+L28+L30,2)</f>
        <v>394315.17</v>
      </c>
      <c r="M33" s="1"/>
      <c r="N33" s="1"/>
      <c r="O33" s="1"/>
    </row>
    <row r="34" spans="1:18" ht="22.5" x14ac:dyDescent="0.2">
      <c r="A34" s="12"/>
      <c r="B34" s="13" t="s">
        <v>39</v>
      </c>
      <c r="C34" s="14" t="str">
        <f>" Накладные расходы 147%"&amp;"     "&amp;G34&amp;"*(от "&amp;L27&amp;"+"&amp;L29&amp;")/100"</f>
        <v xml:space="preserve"> Накладные расходы 147%     147*(от 3186,63+6585,85)/100</v>
      </c>
      <c r="D34" s="15" t="s">
        <v>40</v>
      </c>
      <c r="E34" s="16">
        <v>147</v>
      </c>
      <c r="F34" s="2"/>
      <c r="G34" s="2">
        <v>147</v>
      </c>
      <c r="H34" s="17"/>
      <c r="I34" s="17"/>
      <c r="J34" s="17">
        <f>ROUND(G34*(J27+J29)/100,2)</f>
        <v>462.21</v>
      </c>
      <c r="K34" s="18"/>
      <c r="L34" s="47">
        <f>ROUND(G34*(L27+L29)/100,2)</f>
        <v>14365.55</v>
      </c>
      <c r="M34" s="1"/>
      <c r="N34" s="1"/>
      <c r="O34" s="1"/>
    </row>
    <row r="35" spans="1:18" ht="22.5" x14ac:dyDescent="0.2">
      <c r="A35" s="12"/>
      <c r="B35" s="13" t="s">
        <v>41</v>
      </c>
      <c r="C35" s="14" t="str">
        <f>" Сметная прибыль 134%"&amp;"     "&amp;G35&amp;"*(от "&amp;L27&amp;"+"&amp;L29&amp;")/100"</f>
        <v xml:space="preserve"> Сметная прибыль 134%     134*(от 3186,63+6585,85)/100</v>
      </c>
      <c r="D35" s="15" t="s">
        <v>40</v>
      </c>
      <c r="E35" s="16">
        <v>134</v>
      </c>
      <c r="F35" s="2"/>
      <c r="G35" s="2">
        <v>134</v>
      </c>
      <c r="H35" s="17"/>
      <c r="I35" s="17"/>
      <c r="J35" s="17">
        <f>ROUND(G35*(J27+J29)/100,2)</f>
        <v>421.34</v>
      </c>
      <c r="K35" s="18"/>
      <c r="L35" s="47">
        <f>ROUND(G35*(L27+L29)/100,2)</f>
        <v>13095.12</v>
      </c>
      <c r="M35" s="1"/>
      <c r="N35" s="1"/>
      <c r="O35" s="1"/>
    </row>
    <row r="36" spans="1:18" x14ac:dyDescent="0.2">
      <c r="A36" s="12"/>
      <c r="B36" s="13" t="s">
        <v>34</v>
      </c>
      <c r="C36" s="19" t="s">
        <v>42</v>
      </c>
      <c r="D36" s="15"/>
      <c r="E36" s="16"/>
      <c r="F36" s="2"/>
      <c r="G36" s="2"/>
      <c r="H36" s="17"/>
      <c r="I36" s="17"/>
      <c r="J36" s="20">
        <f>ROUND(J33+J34+J35,2)</f>
        <v>34190.61</v>
      </c>
      <c r="K36" s="18"/>
      <c r="L36" s="46">
        <f>ROUND(L33+L34+L35,2)</f>
        <v>421775.84</v>
      </c>
      <c r="N36" s="1"/>
      <c r="O36" s="1">
        <v>2</v>
      </c>
    </row>
    <row r="37" spans="1:18" ht="33.75" x14ac:dyDescent="0.2">
      <c r="A37" s="4">
        <v>2</v>
      </c>
      <c r="B37" s="5" t="s">
        <v>108</v>
      </c>
      <c r="C37" s="6" t="s">
        <v>109</v>
      </c>
      <c r="D37" s="7" t="s">
        <v>43</v>
      </c>
      <c r="E37" s="8">
        <v>500</v>
      </c>
      <c r="F37" s="9"/>
      <c r="G37" s="10">
        <v>500</v>
      </c>
      <c r="H37" s="10">
        <v>6.69</v>
      </c>
      <c r="I37" s="11"/>
      <c r="J37" s="48">
        <f>ROUND(G37*H37,2)</f>
        <v>3345</v>
      </c>
      <c r="K37" s="9">
        <v>1</v>
      </c>
      <c r="L37" s="49">
        <f>ROUND(J37*K37,2)</f>
        <v>3345</v>
      </c>
      <c r="N37">
        <v>1</v>
      </c>
      <c r="O37">
        <v>2</v>
      </c>
      <c r="P37">
        <v>4373</v>
      </c>
      <c r="Q37">
        <v>7064</v>
      </c>
      <c r="R37">
        <v>66211</v>
      </c>
    </row>
    <row r="38" spans="1:18" ht="22.5" x14ac:dyDescent="0.2">
      <c r="A38" s="4">
        <v>3</v>
      </c>
      <c r="B38" s="5" t="s">
        <v>110</v>
      </c>
      <c r="C38" s="6" t="s">
        <v>111</v>
      </c>
      <c r="D38" s="7" t="s">
        <v>46</v>
      </c>
      <c r="E38" s="8">
        <f>G38</f>
        <v>2.2000000000000002</v>
      </c>
      <c r="F38" s="9"/>
      <c r="G38" s="10">
        <v>2.2000000000000002</v>
      </c>
      <c r="H38" s="10">
        <v>510.77</v>
      </c>
      <c r="I38" s="11"/>
      <c r="J38" s="10">
        <f>ROUND(G38*H38,2)</f>
        <v>1123.69</v>
      </c>
      <c r="K38" s="9"/>
      <c r="L38" s="44"/>
      <c r="N38">
        <v>1</v>
      </c>
      <c r="P38">
        <v>4373</v>
      </c>
      <c r="Q38">
        <v>7064</v>
      </c>
      <c r="R38">
        <v>66201</v>
      </c>
    </row>
    <row r="39" spans="1:18" x14ac:dyDescent="0.2">
      <c r="A39" s="12"/>
      <c r="B39" s="13" t="s">
        <v>16</v>
      </c>
      <c r="C39" s="14" t="s">
        <v>30</v>
      </c>
      <c r="D39" s="15"/>
      <c r="E39" s="16"/>
      <c r="F39" s="2"/>
      <c r="G39" s="2"/>
      <c r="H39" s="17">
        <v>103.12</v>
      </c>
      <c r="I39" s="17"/>
      <c r="J39" s="17">
        <f>ROUND(H39*G38,2)</f>
        <v>226.86</v>
      </c>
      <c r="K39" s="18">
        <v>31.08</v>
      </c>
      <c r="L39" s="45">
        <f>ROUND(J39*K39,2)</f>
        <v>7050.81</v>
      </c>
    </row>
    <row r="40" spans="1:18" x14ac:dyDescent="0.2">
      <c r="A40" s="12"/>
      <c r="B40" s="13" t="s">
        <v>17</v>
      </c>
      <c r="C40" s="14" t="s">
        <v>31</v>
      </c>
      <c r="D40" s="15"/>
      <c r="E40" s="16"/>
      <c r="F40" s="2"/>
      <c r="G40" s="2"/>
      <c r="H40" s="17">
        <v>407.65000000000003</v>
      </c>
      <c r="I40" s="17"/>
      <c r="J40" s="17">
        <f>ROUND(H40*G38,2)</f>
        <v>896.83</v>
      </c>
      <c r="K40" s="18">
        <v>11.78</v>
      </c>
      <c r="L40" s="45">
        <f>ROUND(J40*K40,2)</f>
        <v>10564.66</v>
      </c>
    </row>
    <row r="41" spans="1:18" x14ac:dyDescent="0.2">
      <c r="A41" s="12"/>
      <c r="B41" s="13" t="s">
        <v>18</v>
      </c>
      <c r="C41" s="14" t="s">
        <v>32</v>
      </c>
      <c r="D41" s="15"/>
      <c r="E41" s="16"/>
      <c r="F41" s="2"/>
      <c r="G41" s="2"/>
      <c r="H41" s="17">
        <v>50.300000000000004</v>
      </c>
      <c r="I41" s="17"/>
      <c r="J41" s="17">
        <f>ROUND(H41*G38,2)</f>
        <v>110.66</v>
      </c>
      <c r="K41" s="18">
        <v>31.08</v>
      </c>
      <c r="L41" s="45">
        <f>ROUND(J41*K41,2)</f>
        <v>3439.31</v>
      </c>
    </row>
    <row r="42" spans="1:18" ht="12.75" hidden="1" customHeight="1" x14ac:dyDescent="0.2">
      <c r="A42" s="12"/>
      <c r="B42" s="13" t="s">
        <v>19</v>
      </c>
      <c r="C42" s="14" t="s">
        <v>33</v>
      </c>
      <c r="D42" s="15"/>
      <c r="E42" s="16"/>
      <c r="F42" s="2"/>
      <c r="G42" s="2"/>
      <c r="H42" s="17">
        <v>0</v>
      </c>
      <c r="I42" s="17"/>
      <c r="J42" s="17">
        <f>ROUND(H42*G38,2)</f>
        <v>0</v>
      </c>
      <c r="K42" s="18">
        <v>8.61</v>
      </c>
      <c r="L42" s="45">
        <f>ROUND(J42*K42,2)</f>
        <v>0</v>
      </c>
    </row>
    <row r="43" spans="1:18" x14ac:dyDescent="0.2">
      <c r="A43" s="12"/>
      <c r="B43" s="13" t="s">
        <v>34</v>
      </c>
      <c r="C43" s="14" t="s">
        <v>35</v>
      </c>
      <c r="D43" s="15" t="s">
        <v>36</v>
      </c>
      <c r="E43" s="16">
        <v>13</v>
      </c>
      <c r="F43" s="2"/>
      <c r="G43" s="2">
        <f>ROUND(E43*G38,2)</f>
        <v>28.6</v>
      </c>
      <c r="H43" s="17"/>
      <c r="I43" s="17"/>
      <c r="J43" s="17"/>
      <c r="K43" s="18"/>
      <c r="L43" s="45"/>
    </row>
    <row r="44" spans="1:18" x14ac:dyDescent="0.2">
      <c r="A44" s="12"/>
      <c r="B44" s="13" t="s">
        <v>34</v>
      </c>
      <c r="C44" s="14" t="s">
        <v>37</v>
      </c>
      <c r="D44" s="15" t="s">
        <v>36</v>
      </c>
      <c r="E44" s="16">
        <v>4</v>
      </c>
      <c r="F44" s="2"/>
      <c r="G44" s="2">
        <f>ROUND(E44*G38,2)</f>
        <v>8.8000000000000007</v>
      </c>
      <c r="H44" s="17"/>
      <c r="I44" s="17"/>
      <c r="J44" s="17"/>
      <c r="K44" s="18"/>
      <c r="L44" s="45"/>
    </row>
    <row r="45" spans="1:18" x14ac:dyDescent="0.2">
      <c r="A45" s="12"/>
      <c r="B45" s="13" t="s">
        <v>34</v>
      </c>
      <c r="C45" s="19" t="s">
        <v>38</v>
      </c>
      <c r="D45" s="15"/>
      <c r="E45" s="16"/>
      <c r="F45" s="2"/>
      <c r="G45" s="2"/>
      <c r="H45" s="20">
        <f>ROUND(H39+H40+H42,2)</f>
        <v>510.77</v>
      </c>
      <c r="I45" s="17"/>
      <c r="J45" s="20">
        <f>ROUND(J39+J40+J42,2)</f>
        <v>1123.69</v>
      </c>
      <c r="K45" s="18"/>
      <c r="L45" s="46">
        <f>ROUND(L39+L40+L42,2)</f>
        <v>17615.47</v>
      </c>
    </row>
    <row r="46" spans="1:18" ht="22.5" x14ac:dyDescent="0.2">
      <c r="A46" s="12"/>
      <c r="B46" s="13" t="s">
        <v>39</v>
      </c>
      <c r="C46" s="14" t="str">
        <f>" Накладные расходы 147%"&amp;"     "&amp;G46&amp;"*(от "&amp;L39&amp;"+"&amp;L41&amp;")/100"</f>
        <v xml:space="preserve"> Накладные расходы 147%     147*(от 7050,81+3439,31)/100</v>
      </c>
      <c r="D46" s="15" t="s">
        <v>40</v>
      </c>
      <c r="E46" s="16">
        <v>147</v>
      </c>
      <c r="F46" s="2"/>
      <c r="G46" s="2">
        <v>147</v>
      </c>
      <c r="H46" s="17"/>
      <c r="I46" s="17"/>
      <c r="J46" s="17">
        <f>ROUND(G46*(J39+J41)/100,2)</f>
        <v>496.15</v>
      </c>
      <c r="K46" s="18"/>
      <c r="L46" s="47">
        <f>ROUND(G46*(L39+L41)/100,2)</f>
        <v>15420.48</v>
      </c>
    </row>
    <row r="47" spans="1:18" ht="22.5" x14ac:dyDescent="0.2">
      <c r="A47" s="12"/>
      <c r="B47" s="13" t="s">
        <v>41</v>
      </c>
      <c r="C47" s="14" t="str">
        <f>" Сметная прибыль 134%"&amp;"     "&amp;G47&amp;"*(от "&amp;L39&amp;"+"&amp;L41&amp;")/100"</f>
        <v xml:space="preserve"> Сметная прибыль 134%     134*(от 7050,81+3439,31)/100</v>
      </c>
      <c r="D47" s="15" t="s">
        <v>40</v>
      </c>
      <c r="E47" s="16">
        <v>134</v>
      </c>
      <c r="F47" s="2"/>
      <c r="G47" s="2">
        <v>134</v>
      </c>
      <c r="H47" s="17"/>
      <c r="I47" s="17"/>
      <c r="J47" s="17">
        <f>ROUND(G47*(J39+J41)/100,2)</f>
        <v>452.28</v>
      </c>
      <c r="K47" s="18"/>
      <c r="L47" s="47">
        <f>ROUND(G47*(L39+L41)/100,2)</f>
        <v>14056.76</v>
      </c>
    </row>
    <row r="48" spans="1:18" x14ac:dyDescent="0.2">
      <c r="A48" s="12"/>
      <c r="B48" s="13" t="s">
        <v>34</v>
      </c>
      <c r="C48" s="19" t="s">
        <v>42</v>
      </c>
      <c r="D48" s="15"/>
      <c r="E48" s="16"/>
      <c r="F48" s="2"/>
      <c r="G48" s="2"/>
      <c r="H48" s="17"/>
      <c r="I48" s="17"/>
      <c r="J48" s="20">
        <f>ROUND(J45+J46+J47,2)</f>
        <v>2072.12</v>
      </c>
      <c r="K48" s="18"/>
      <c r="L48" s="46">
        <f>ROUND(L45+L46+L47,2)</f>
        <v>47092.71</v>
      </c>
      <c r="O48">
        <v>2</v>
      </c>
    </row>
    <row r="49" spans="1:18" ht="22.5" x14ac:dyDescent="0.2">
      <c r="A49" s="4">
        <v>4</v>
      </c>
      <c r="B49" s="5" t="s">
        <v>44</v>
      </c>
      <c r="C49" s="6" t="s">
        <v>45</v>
      </c>
      <c r="D49" s="7" t="s">
        <v>46</v>
      </c>
      <c r="E49" s="8">
        <f>G49</f>
        <v>2.2000000000000002</v>
      </c>
      <c r="F49" s="9"/>
      <c r="G49" s="10">
        <v>2.2000000000000002</v>
      </c>
      <c r="H49" s="10">
        <v>5459.07</v>
      </c>
      <c r="I49" s="11"/>
      <c r="J49" s="10">
        <f>ROUND(G49*H49,2)</f>
        <v>12009.95</v>
      </c>
      <c r="K49" s="9"/>
      <c r="L49" s="44"/>
      <c r="N49">
        <v>1</v>
      </c>
      <c r="P49">
        <v>4373</v>
      </c>
      <c r="Q49">
        <v>7064</v>
      </c>
      <c r="R49">
        <v>66207</v>
      </c>
    </row>
    <row r="50" spans="1:18" x14ac:dyDescent="0.2">
      <c r="A50" s="12"/>
      <c r="B50" s="13" t="s">
        <v>16</v>
      </c>
      <c r="C50" s="14" t="s">
        <v>30</v>
      </c>
      <c r="D50" s="15"/>
      <c r="E50" s="16"/>
      <c r="F50" s="2"/>
      <c r="G50" s="2"/>
      <c r="H50" s="17">
        <v>173.23</v>
      </c>
      <c r="I50" s="17"/>
      <c r="J50" s="17">
        <f>ROUND(H50*G49,2)</f>
        <v>381.11</v>
      </c>
      <c r="K50" s="18">
        <v>31.08</v>
      </c>
      <c r="L50" s="45">
        <f>ROUND(J50*K50,2)</f>
        <v>11844.9</v>
      </c>
    </row>
    <row r="51" spans="1:18" x14ac:dyDescent="0.2">
      <c r="A51" s="12"/>
      <c r="B51" s="13" t="s">
        <v>17</v>
      </c>
      <c r="C51" s="14" t="s">
        <v>31</v>
      </c>
      <c r="D51" s="15"/>
      <c r="E51" s="16"/>
      <c r="F51" s="2"/>
      <c r="G51" s="2"/>
      <c r="H51" s="17">
        <v>5268.76</v>
      </c>
      <c r="I51" s="17"/>
      <c r="J51" s="17">
        <f>ROUND(H51*G49,2)</f>
        <v>11591.27</v>
      </c>
      <c r="K51" s="18">
        <v>11.78</v>
      </c>
      <c r="L51" s="45">
        <f>ROUND(J51*K51,2)</f>
        <v>136545.16</v>
      </c>
    </row>
    <row r="52" spans="1:18" x14ac:dyDescent="0.2">
      <c r="A52" s="12"/>
      <c r="B52" s="13" t="s">
        <v>18</v>
      </c>
      <c r="C52" s="14" t="s">
        <v>32</v>
      </c>
      <c r="D52" s="15"/>
      <c r="E52" s="16"/>
      <c r="F52" s="2"/>
      <c r="G52" s="2"/>
      <c r="H52" s="17">
        <v>267.67</v>
      </c>
      <c r="I52" s="17"/>
      <c r="J52" s="17">
        <f>ROUND(H52*G49,2)</f>
        <v>588.87</v>
      </c>
      <c r="K52" s="18">
        <v>31.08</v>
      </c>
      <c r="L52" s="45">
        <f>ROUND(J52*K52,2)</f>
        <v>18302.080000000002</v>
      </c>
    </row>
    <row r="53" spans="1:18" x14ac:dyDescent="0.2">
      <c r="A53" s="12"/>
      <c r="B53" s="13" t="s">
        <v>19</v>
      </c>
      <c r="C53" s="14" t="s">
        <v>33</v>
      </c>
      <c r="D53" s="15"/>
      <c r="E53" s="16"/>
      <c r="F53" s="2"/>
      <c r="G53" s="2"/>
      <c r="H53" s="17">
        <v>17.080000000000002</v>
      </c>
      <c r="I53" s="17"/>
      <c r="J53" s="17">
        <f>ROUND(H53*G49,2)</f>
        <v>37.58</v>
      </c>
      <c r="K53" s="18">
        <v>8.61</v>
      </c>
      <c r="L53" s="45">
        <f>ROUND(J53*K53,2)</f>
        <v>323.56</v>
      </c>
    </row>
    <row r="54" spans="1:18" x14ac:dyDescent="0.2">
      <c r="A54" s="12"/>
      <c r="B54" s="21" t="s">
        <v>48</v>
      </c>
      <c r="C54" s="18" t="s">
        <v>49</v>
      </c>
      <c r="D54" s="22" t="s">
        <v>50</v>
      </c>
      <c r="E54" s="22" t="s">
        <v>47</v>
      </c>
      <c r="F54" s="18"/>
      <c r="G54" s="21" t="s">
        <v>47</v>
      </c>
      <c r="H54" s="18"/>
      <c r="I54" s="18"/>
      <c r="J54" s="18"/>
      <c r="K54" s="18"/>
      <c r="L54" s="45"/>
    </row>
    <row r="55" spans="1:18" x14ac:dyDescent="0.2">
      <c r="A55" s="12"/>
      <c r="B55" s="13" t="s">
        <v>34</v>
      </c>
      <c r="C55" s="14" t="s">
        <v>35</v>
      </c>
      <c r="D55" s="15" t="s">
        <v>36</v>
      </c>
      <c r="E55" s="16">
        <v>22</v>
      </c>
      <c r="F55" s="2"/>
      <c r="G55" s="2">
        <f>ROUND(E55*G49,2)</f>
        <v>48.4</v>
      </c>
      <c r="H55" s="17"/>
      <c r="I55" s="17"/>
      <c r="J55" s="17"/>
      <c r="K55" s="18"/>
      <c r="L55" s="45"/>
    </row>
    <row r="56" spans="1:18" x14ac:dyDescent="0.2">
      <c r="A56" s="12"/>
      <c r="B56" s="13" t="s">
        <v>34</v>
      </c>
      <c r="C56" s="14" t="s">
        <v>37</v>
      </c>
      <c r="D56" s="15" t="s">
        <v>36</v>
      </c>
      <c r="E56" s="16">
        <v>21</v>
      </c>
      <c r="F56" s="2"/>
      <c r="G56" s="2">
        <f>ROUND(E56*G49,2)</f>
        <v>46.2</v>
      </c>
      <c r="H56" s="17"/>
      <c r="I56" s="17"/>
      <c r="J56" s="17"/>
      <c r="K56" s="18"/>
      <c r="L56" s="45"/>
    </row>
    <row r="57" spans="1:18" x14ac:dyDescent="0.2">
      <c r="A57" s="12"/>
      <c r="B57" s="13" t="s">
        <v>34</v>
      </c>
      <c r="C57" s="19" t="s">
        <v>38</v>
      </c>
      <c r="D57" s="15"/>
      <c r="E57" s="16"/>
      <c r="F57" s="2"/>
      <c r="G57" s="2"/>
      <c r="H57" s="20">
        <f>ROUND(H50+H51+H53,2)</f>
        <v>5459.07</v>
      </c>
      <c r="I57" s="17"/>
      <c r="J57" s="20">
        <f>ROUND(J50+J51+J53,2)</f>
        <v>12009.96</v>
      </c>
      <c r="K57" s="18"/>
      <c r="L57" s="46">
        <f>ROUND(L50+L51+L53,2)</f>
        <v>148713.62</v>
      </c>
    </row>
    <row r="58" spans="1:18" ht="33.75" x14ac:dyDescent="0.2">
      <c r="A58" s="23" t="s">
        <v>112</v>
      </c>
      <c r="B58" s="24" t="s">
        <v>113</v>
      </c>
      <c r="C58" s="25" t="s">
        <v>114</v>
      </c>
      <c r="D58" s="15" t="s">
        <v>50</v>
      </c>
      <c r="E58" s="16">
        <v>126</v>
      </c>
      <c r="F58" s="2"/>
      <c r="G58" s="2">
        <f>ROUND(E58*G49,4)</f>
        <v>277.2</v>
      </c>
      <c r="H58" s="2">
        <v>192.79</v>
      </c>
      <c r="I58" s="2"/>
      <c r="J58" s="2">
        <f>ROUND(G58*H58,2)</f>
        <v>53441.39</v>
      </c>
      <c r="K58" s="2">
        <v>8.61</v>
      </c>
      <c r="L58" s="47">
        <f>ROUND(J58*K58,2)</f>
        <v>460130.37</v>
      </c>
    </row>
    <row r="59" spans="1:18" x14ac:dyDescent="0.2">
      <c r="A59" s="12"/>
      <c r="B59" s="18"/>
      <c r="C59" s="18" t="str">
        <f>"Объём: "&amp;E58&amp;"*"&amp;G49</f>
        <v>Объём: 126*2,2</v>
      </c>
      <c r="D59" s="18"/>
      <c r="E59" s="18"/>
      <c r="F59" s="18"/>
      <c r="G59" s="18"/>
      <c r="H59" s="18"/>
      <c r="I59" s="18"/>
      <c r="J59" s="18"/>
      <c r="K59" s="18"/>
      <c r="L59" s="45"/>
    </row>
    <row r="60" spans="1:18" ht="22.5" x14ac:dyDescent="0.2">
      <c r="A60" s="12"/>
      <c r="B60" s="13" t="s">
        <v>39</v>
      </c>
      <c r="C60" s="14" t="str">
        <f>" Накладные расходы 147%"&amp;"     "&amp;G60&amp;"*(от "&amp;L50&amp;"+"&amp;L52&amp;")/100"</f>
        <v xml:space="preserve"> Накладные расходы 147%     147*(от 11844,9+18302,08)/100</v>
      </c>
      <c r="D60" s="15" t="s">
        <v>40</v>
      </c>
      <c r="E60" s="16">
        <v>147</v>
      </c>
      <c r="F60" s="2"/>
      <c r="G60" s="2">
        <v>147</v>
      </c>
      <c r="H60" s="17"/>
      <c r="I60" s="17"/>
      <c r="J60" s="17">
        <f>ROUND(G60*(J50+J52)/100,2)</f>
        <v>1425.87</v>
      </c>
      <c r="K60" s="18"/>
      <c r="L60" s="47">
        <f>ROUND(G60*(L50+L52)/100,2)</f>
        <v>44316.06</v>
      </c>
    </row>
    <row r="61" spans="1:18" ht="22.5" x14ac:dyDescent="0.2">
      <c r="A61" s="12"/>
      <c r="B61" s="13" t="s">
        <v>41</v>
      </c>
      <c r="C61" s="14" t="str">
        <f>" Сметная прибыль 134%"&amp;"     "&amp;G61&amp;"*(от "&amp;L50&amp;"+"&amp;L52&amp;")/100"</f>
        <v xml:space="preserve"> Сметная прибыль 134%     134*(от 11844,9+18302,08)/100</v>
      </c>
      <c r="D61" s="15" t="s">
        <v>40</v>
      </c>
      <c r="E61" s="16">
        <v>134</v>
      </c>
      <c r="F61" s="2"/>
      <c r="G61" s="2">
        <v>134</v>
      </c>
      <c r="H61" s="17"/>
      <c r="I61" s="17"/>
      <c r="J61" s="17">
        <f>ROUND(G61*(J50+J52)/100,2)</f>
        <v>1299.77</v>
      </c>
      <c r="K61" s="18"/>
      <c r="L61" s="47">
        <f>ROUND(G61*(L50+L52)/100,2)</f>
        <v>40396.949999999997</v>
      </c>
    </row>
    <row r="62" spans="1:18" x14ac:dyDescent="0.2">
      <c r="A62" s="12"/>
      <c r="B62" s="13" t="s">
        <v>34</v>
      </c>
      <c r="C62" s="19" t="s">
        <v>42</v>
      </c>
      <c r="D62" s="15"/>
      <c r="E62" s="16"/>
      <c r="F62" s="2"/>
      <c r="G62" s="2"/>
      <c r="H62" s="17"/>
      <c r="I62" s="17"/>
      <c r="J62" s="20">
        <f>ROUND(J57+J58+J60+J61,2)</f>
        <v>68176.990000000005</v>
      </c>
      <c r="K62" s="18"/>
      <c r="L62" s="46">
        <f>ROUND(L57+L58+L60+L61,2)</f>
        <v>693557</v>
      </c>
      <c r="O62">
        <v>2</v>
      </c>
    </row>
    <row r="63" spans="1:18" ht="22.5" x14ac:dyDescent="0.2">
      <c r="A63" s="4">
        <v>5</v>
      </c>
      <c r="B63" s="5" t="s">
        <v>54</v>
      </c>
      <c r="C63" s="6" t="s">
        <v>115</v>
      </c>
      <c r="D63" s="7" t="s">
        <v>53</v>
      </c>
      <c r="E63" s="8">
        <f>G63</f>
        <v>0.38500000000000001</v>
      </c>
      <c r="F63" s="9"/>
      <c r="G63" s="10">
        <v>0.38500000000000001</v>
      </c>
      <c r="H63" s="10">
        <v>39.1</v>
      </c>
      <c r="I63" s="11"/>
      <c r="J63" s="10">
        <f>ROUND(G63*H63,2)</f>
        <v>15.05</v>
      </c>
      <c r="K63" s="9"/>
      <c r="L63" s="44"/>
      <c r="N63">
        <v>1</v>
      </c>
      <c r="P63">
        <v>4373</v>
      </c>
      <c r="Q63">
        <v>7064</v>
      </c>
      <c r="R63">
        <v>66209</v>
      </c>
    </row>
    <row r="64" spans="1:18" ht="12.75" hidden="1" customHeight="1" x14ac:dyDescent="0.2">
      <c r="A64" s="12"/>
      <c r="B64" s="13" t="s">
        <v>16</v>
      </c>
      <c r="C64" s="14" t="s">
        <v>30</v>
      </c>
      <c r="D64" s="15"/>
      <c r="E64" s="16"/>
      <c r="F64" s="2"/>
      <c r="G64" s="2"/>
      <c r="H64" s="17">
        <v>0</v>
      </c>
      <c r="I64" s="17"/>
      <c r="J64" s="17">
        <f>ROUND(H64*G63,2)</f>
        <v>0</v>
      </c>
      <c r="K64" s="18">
        <v>31.08</v>
      </c>
      <c r="L64" s="45">
        <f>ROUND(J64*K64,2)</f>
        <v>0</v>
      </c>
    </row>
    <row r="65" spans="1:18" x14ac:dyDescent="0.2">
      <c r="A65" s="12"/>
      <c r="B65" s="13" t="s">
        <v>17</v>
      </c>
      <c r="C65" s="14" t="s">
        <v>31</v>
      </c>
      <c r="D65" s="15"/>
      <c r="E65" s="16"/>
      <c r="F65" s="2"/>
      <c r="G65" s="2"/>
      <c r="H65" s="17">
        <v>39.1</v>
      </c>
      <c r="I65" s="17"/>
      <c r="J65" s="17">
        <f>ROUND(H65*G63,2)</f>
        <v>15.05</v>
      </c>
      <c r="K65" s="18">
        <v>11.78</v>
      </c>
      <c r="L65" s="45">
        <f>ROUND(J65*K65,2)</f>
        <v>177.29</v>
      </c>
    </row>
    <row r="66" spans="1:18" x14ac:dyDescent="0.2">
      <c r="A66" s="12"/>
      <c r="B66" s="13" t="s">
        <v>18</v>
      </c>
      <c r="C66" s="14" t="s">
        <v>32</v>
      </c>
      <c r="D66" s="15"/>
      <c r="E66" s="16"/>
      <c r="F66" s="2"/>
      <c r="G66" s="2"/>
      <c r="H66" s="17">
        <v>7.15</v>
      </c>
      <c r="I66" s="17"/>
      <c r="J66" s="17">
        <f>ROUND(H66*G63,2)</f>
        <v>2.75</v>
      </c>
      <c r="K66" s="18">
        <v>31.08</v>
      </c>
      <c r="L66" s="45">
        <f>ROUND(J66*K66,2)</f>
        <v>85.47</v>
      </c>
    </row>
    <row r="67" spans="1:18" ht="12.75" hidden="1" customHeight="1" x14ac:dyDescent="0.2">
      <c r="A67" s="12"/>
      <c r="B67" s="13" t="s">
        <v>19</v>
      </c>
      <c r="C67" s="14" t="s">
        <v>33</v>
      </c>
      <c r="D67" s="15"/>
      <c r="E67" s="16"/>
      <c r="F67" s="2"/>
      <c r="G67" s="2"/>
      <c r="H67" s="17">
        <v>0</v>
      </c>
      <c r="I67" s="17"/>
      <c r="J67" s="17">
        <f>ROUND(H67*G63,2)</f>
        <v>0</v>
      </c>
      <c r="K67" s="18">
        <v>8.61</v>
      </c>
      <c r="L67" s="45">
        <f>ROUND(J67*K67,2)</f>
        <v>0</v>
      </c>
    </row>
    <row r="68" spans="1:18" x14ac:dyDescent="0.2">
      <c r="A68" s="12"/>
      <c r="B68" s="21" t="s">
        <v>55</v>
      </c>
      <c r="C68" s="18" t="s">
        <v>56</v>
      </c>
      <c r="D68" s="22" t="s">
        <v>53</v>
      </c>
      <c r="E68" s="22">
        <v>1.03</v>
      </c>
      <c r="F68" s="18"/>
      <c r="G68" s="21">
        <f>ROUND(E68*G63,2)</f>
        <v>0.4</v>
      </c>
      <c r="H68" s="18"/>
      <c r="I68" s="18"/>
      <c r="J68" s="18"/>
      <c r="K68" s="18"/>
      <c r="L68" s="45"/>
    </row>
    <row r="69" spans="1:18" ht="12.75" hidden="1" customHeight="1" x14ac:dyDescent="0.2">
      <c r="A69" s="12"/>
      <c r="B69" s="13" t="s">
        <v>34</v>
      </c>
      <c r="C69" s="14" t="s">
        <v>35</v>
      </c>
      <c r="D69" s="15" t="s">
        <v>36</v>
      </c>
      <c r="E69" s="16">
        <v>0</v>
      </c>
      <c r="F69" s="2"/>
      <c r="G69" s="2">
        <f>ROUND(E69*G63,2)</f>
        <v>0</v>
      </c>
      <c r="H69" s="17"/>
      <c r="I69" s="17"/>
      <c r="J69" s="17"/>
      <c r="K69" s="18"/>
      <c r="L69" s="45"/>
    </row>
    <row r="70" spans="1:18" x14ac:dyDescent="0.2">
      <c r="A70" s="12"/>
      <c r="B70" s="13" t="s">
        <v>34</v>
      </c>
      <c r="C70" s="14" t="s">
        <v>37</v>
      </c>
      <c r="D70" s="15" t="s">
        <v>36</v>
      </c>
      <c r="E70" s="16">
        <v>1</v>
      </c>
      <c r="F70" s="2"/>
      <c r="G70" s="2">
        <f>ROUND(E70*G63,2)</f>
        <v>0.39</v>
      </c>
      <c r="H70" s="17"/>
      <c r="I70" s="17"/>
      <c r="J70" s="17"/>
      <c r="K70" s="18"/>
      <c r="L70" s="45"/>
    </row>
    <row r="71" spans="1:18" x14ac:dyDescent="0.2">
      <c r="A71" s="12"/>
      <c r="B71" s="13" t="s">
        <v>34</v>
      </c>
      <c r="C71" s="19" t="s">
        <v>38</v>
      </c>
      <c r="D71" s="15"/>
      <c r="E71" s="16"/>
      <c r="F71" s="2"/>
      <c r="G71" s="2"/>
      <c r="H71" s="20">
        <f>ROUND(H64+H65+H67,2)</f>
        <v>39.1</v>
      </c>
      <c r="I71" s="17"/>
      <c r="J71" s="20">
        <f>ROUND(J64+J65+J67,2)</f>
        <v>15.05</v>
      </c>
      <c r="K71" s="18"/>
      <c r="L71" s="46">
        <f>ROUND(L64+L65+L67,2)</f>
        <v>177.29</v>
      </c>
    </row>
    <row r="72" spans="1:18" ht="22.5" x14ac:dyDescent="0.2">
      <c r="A72" s="23" t="s">
        <v>51</v>
      </c>
      <c r="B72" s="24" t="s">
        <v>57</v>
      </c>
      <c r="C72" s="25" t="s">
        <v>58</v>
      </c>
      <c r="D72" s="15" t="s">
        <v>53</v>
      </c>
      <c r="E72" s="16">
        <v>1.0299</v>
      </c>
      <c r="F72" s="2"/>
      <c r="G72" s="2">
        <f>ROUND(E72*G63,4)</f>
        <v>0.39650000000000002</v>
      </c>
      <c r="H72" s="2">
        <v>1554.2</v>
      </c>
      <c r="I72" s="2"/>
      <c r="J72" s="2">
        <f>ROUND(G72*H72,2)</f>
        <v>616.24</v>
      </c>
      <c r="K72" s="2">
        <v>8.61</v>
      </c>
      <c r="L72" s="47">
        <f>ROUND(J72*K72,2)</f>
        <v>5305.83</v>
      </c>
    </row>
    <row r="73" spans="1:18" x14ac:dyDescent="0.2">
      <c r="A73" s="12"/>
      <c r="B73" s="18"/>
      <c r="C73" s="18" t="str">
        <f>"Объём: "&amp;E72&amp;"*"&amp;G63</f>
        <v>Объём: 1,0299*0,385</v>
      </c>
      <c r="D73" s="18"/>
      <c r="E73" s="18"/>
      <c r="F73" s="18"/>
      <c r="G73" s="18"/>
      <c r="H73" s="18"/>
      <c r="I73" s="18"/>
      <c r="J73" s="18"/>
      <c r="K73" s="18"/>
      <c r="L73" s="45"/>
    </row>
    <row r="74" spans="1:18" ht="22.5" x14ac:dyDescent="0.2">
      <c r="A74" s="12"/>
      <c r="B74" s="13" t="s">
        <v>39</v>
      </c>
      <c r="C74" s="14" t="str">
        <f>" Накладные расходы 147%"&amp;"     "&amp;G74&amp;"*(от "&amp;L64&amp;"+"&amp;L66&amp;")/100"</f>
        <v xml:space="preserve"> Накладные расходы 147%     147*(от 0+85,47)/100</v>
      </c>
      <c r="D74" s="15" t="s">
        <v>40</v>
      </c>
      <c r="E74" s="16">
        <v>147</v>
      </c>
      <c r="F74" s="2"/>
      <c r="G74" s="2">
        <v>147</v>
      </c>
      <c r="H74" s="17"/>
      <c r="I74" s="17"/>
      <c r="J74" s="17">
        <f>ROUND(G74*(J64+J66)/100,2)</f>
        <v>4.04</v>
      </c>
      <c r="K74" s="18"/>
      <c r="L74" s="47">
        <f>ROUND(G74*(L64+L66)/100,2)</f>
        <v>125.64</v>
      </c>
    </row>
    <row r="75" spans="1:18" ht="22.5" x14ac:dyDescent="0.2">
      <c r="A75" s="12"/>
      <c r="B75" s="13" t="s">
        <v>41</v>
      </c>
      <c r="C75" s="14" t="str">
        <f>" Сметная прибыль 134%"&amp;"     "&amp;G75&amp;"*(от "&amp;L64&amp;"+"&amp;L66&amp;")/100"</f>
        <v xml:space="preserve"> Сметная прибыль 134%     134*(от 0+85,47)/100</v>
      </c>
      <c r="D75" s="15" t="s">
        <v>40</v>
      </c>
      <c r="E75" s="16">
        <v>134</v>
      </c>
      <c r="F75" s="2"/>
      <c r="G75" s="2">
        <v>134</v>
      </c>
      <c r="H75" s="17"/>
      <c r="I75" s="17"/>
      <c r="J75" s="17">
        <f>ROUND(G75*(J64+J66)/100,2)</f>
        <v>3.69</v>
      </c>
      <c r="K75" s="18"/>
      <c r="L75" s="47">
        <f>ROUND(G75*(L64+L66)/100,2)</f>
        <v>114.53</v>
      </c>
    </row>
    <row r="76" spans="1:18" x14ac:dyDescent="0.2">
      <c r="A76" s="12"/>
      <c r="B76" s="13" t="s">
        <v>34</v>
      </c>
      <c r="C76" s="19" t="s">
        <v>42</v>
      </c>
      <c r="D76" s="15"/>
      <c r="E76" s="16"/>
      <c r="F76" s="2"/>
      <c r="G76" s="2"/>
      <c r="H76" s="17"/>
      <c r="I76" s="17"/>
      <c r="J76" s="20">
        <f>ROUND(J71+J72+J74+J75,2)</f>
        <v>639.02</v>
      </c>
      <c r="K76" s="18"/>
      <c r="L76" s="46">
        <f>ROUND(L71+L72+L74+L75,2)</f>
        <v>5723.29</v>
      </c>
      <c r="O76">
        <v>2</v>
      </c>
    </row>
    <row r="77" spans="1:18" ht="22.5" x14ac:dyDescent="0.2">
      <c r="A77" s="4">
        <v>6</v>
      </c>
      <c r="B77" s="5" t="s">
        <v>54</v>
      </c>
      <c r="C77" s="6" t="s">
        <v>116</v>
      </c>
      <c r="D77" s="7" t="s">
        <v>53</v>
      </c>
      <c r="E77" s="8">
        <f>G77</f>
        <v>0.95299999999999996</v>
      </c>
      <c r="F77" s="9"/>
      <c r="G77" s="10">
        <v>0.95299999999999996</v>
      </c>
      <c r="H77" s="10">
        <v>39.1</v>
      </c>
      <c r="I77" s="11"/>
      <c r="J77" s="10">
        <f>ROUND(G77*H77,2)</f>
        <v>37.26</v>
      </c>
      <c r="K77" s="9"/>
      <c r="L77" s="44"/>
      <c r="N77">
        <v>1</v>
      </c>
      <c r="P77">
        <v>4373</v>
      </c>
      <c r="Q77">
        <v>7064</v>
      </c>
      <c r="R77">
        <v>66213</v>
      </c>
    </row>
    <row r="78" spans="1:18" ht="12.75" hidden="1" customHeight="1" x14ac:dyDescent="0.2">
      <c r="A78" s="12"/>
      <c r="B78" s="13" t="s">
        <v>16</v>
      </c>
      <c r="C78" s="14" t="s">
        <v>30</v>
      </c>
      <c r="D78" s="15"/>
      <c r="E78" s="16"/>
      <c r="F78" s="2"/>
      <c r="G78" s="2"/>
      <c r="H78" s="17">
        <v>0</v>
      </c>
      <c r="I78" s="17"/>
      <c r="J78" s="17">
        <f>ROUND(H78*G77,2)</f>
        <v>0</v>
      </c>
      <c r="K78" s="18">
        <v>31.08</v>
      </c>
      <c r="L78" s="45">
        <f>ROUND(J78*K78,2)</f>
        <v>0</v>
      </c>
    </row>
    <row r="79" spans="1:18" x14ac:dyDescent="0.2">
      <c r="A79" s="12"/>
      <c r="B79" s="13" t="s">
        <v>17</v>
      </c>
      <c r="C79" s="14" t="s">
        <v>31</v>
      </c>
      <c r="D79" s="15"/>
      <c r="E79" s="16"/>
      <c r="F79" s="2"/>
      <c r="G79" s="2"/>
      <c r="H79" s="17">
        <v>39.1</v>
      </c>
      <c r="I79" s="17"/>
      <c r="J79" s="17">
        <f>ROUND(H79*G77,2)</f>
        <v>37.26</v>
      </c>
      <c r="K79" s="18">
        <v>11.78</v>
      </c>
      <c r="L79" s="45">
        <f>ROUND(J79*K79,2)</f>
        <v>438.92</v>
      </c>
    </row>
    <row r="80" spans="1:18" x14ac:dyDescent="0.2">
      <c r="A80" s="12"/>
      <c r="B80" s="13" t="s">
        <v>18</v>
      </c>
      <c r="C80" s="14" t="s">
        <v>32</v>
      </c>
      <c r="D80" s="15"/>
      <c r="E80" s="16"/>
      <c r="F80" s="2"/>
      <c r="G80" s="2"/>
      <c r="H80" s="17">
        <v>7.15</v>
      </c>
      <c r="I80" s="17"/>
      <c r="J80" s="17">
        <f>ROUND(H80*G77,2)</f>
        <v>6.81</v>
      </c>
      <c r="K80" s="18">
        <v>31.08</v>
      </c>
      <c r="L80" s="45">
        <f>ROUND(J80*K80,2)</f>
        <v>211.65</v>
      </c>
    </row>
    <row r="81" spans="1:18" ht="12.75" hidden="1" customHeight="1" x14ac:dyDescent="0.2">
      <c r="A81" s="12"/>
      <c r="B81" s="13" t="s">
        <v>19</v>
      </c>
      <c r="C81" s="14" t="s">
        <v>33</v>
      </c>
      <c r="D81" s="15"/>
      <c r="E81" s="16"/>
      <c r="F81" s="2"/>
      <c r="G81" s="2"/>
      <c r="H81" s="17">
        <v>0</v>
      </c>
      <c r="I81" s="17"/>
      <c r="J81" s="17">
        <f>ROUND(H81*G77,2)</f>
        <v>0</v>
      </c>
      <c r="K81" s="18">
        <v>8.61</v>
      </c>
      <c r="L81" s="45">
        <f>ROUND(J81*K81,2)</f>
        <v>0</v>
      </c>
    </row>
    <row r="82" spans="1:18" x14ac:dyDescent="0.2">
      <c r="A82" s="12"/>
      <c r="B82" s="21" t="s">
        <v>55</v>
      </c>
      <c r="C82" s="18" t="s">
        <v>56</v>
      </c>
      <c r="D82" s="22" t="s">
        <v>53</v>
      </c>
      <c r="E82" s="22">
        <v>1.03</v>
      </c>
      <c r="F82" s="18"/>
      <c r="G82" s="21">
        <f>ROUND(E82*G77,2)</f>
        <v>0.98</v>
      </c>
      <c r="H82" s="18"/>
      <c r="I82" s="18"/>
      <c r="J82" s="18"/>
      <c r="K82" s="18"/>
      <c r="L82" s="45"/>
    </row>
    <row r="83" spans="1:18" ht="12.75" hidden="1" customHeight="1" x14ac:dyDescent="0.2">
      <c r="A83" s="12"/>
      <c r="B83" s="13" t="s">
        <v>34</v>
      </c>
      <c r="C83" s="14" t="s">
        <v>35</v>
      </c>
      <c r="D83" s="15" t="s">
        <v>36</v>
      </c>
      <c r="E83" s="16">
        <v>0</v>
      </c>
      <c r="F83" s="2"/>
      <c r="G83" s="2">
        <f>ROUND(E83*G77,2)</f>
        <v>0</v>
      </c>
      <c r="H83" s="17"/>
      <c r="I83" s="17"/>
      <c r="J83" s="17"/>
      <c r="K83" s="18"/>
      <c r="L83" s="45"/>
    </row>
    <row r="84" spans="1:18" x14ac:dyDescent="0.2">
      <c r="A84" s="12"/>
      <c r="B84" s="13" t="s">
        <v>34</v>
      </c>
      <c r="C84" s="14" t="s">
        <v>37</v>
      </c>
      <c r="D84" s="15" t="s">
        <v>36</v>
      </c>
      <c r="E84" s="16">
        <v>1</v>
      </c>
      <c r="F84" s="2"/>
      <c r="G84" s="2">
        <f>ROUND(E84*G77,2)</f>
        <v>0.95</v>
      </c>
      <c r="H84" s="17"/>
      <c r="I84" s="17"/>
      <c r="J84" s="17"/>
      <c r="K84" s="18"/>
      <c r="L84" s="45"/>
    </row>
    <row r="85" spans="1:18" x14ac:dyDescent="0.2">
      <c r="A85" s="12"/>
      <c r="B85" s="13" t="s">
        <v>34</v>
      </c>
      <c r="C85" s="19" t="s">
        <v>38</v>
      </c>
      <c r="D85" s="15"/>
      <c r="E85" s="16"/>
      <c r="F85" s="2"/>
      <c r="G85" s="2"/>
      <c r="H85" s="20">
        <f>ROUND(H78+H79+H81,2)</f>
        <v>39.1</v>
      </c>
      <c r="I85" s="17"/>
      <c r="J85" s="20">
        <f>ROUND(J78+J79+J81,2)</f>
        <v>37.26</v>
      </c>
      <c r="K85" s="18"/>
      <c r="L85" s="46">
        <f>ROUND(L78+L79+L81,2)</f>
        <v>438.92</v>
      </c>
    </row>
    <row r="86" spans="1:18" ht="22.5" x14ac:dyDescent="0.2">
      <c r="A86" s="23" t="s">
        <v>117</v>
      </c>
      <c r="B86" s="24" t="s">
        <v>57</v>
      </c>
      <c r="C86" s="25" t="s">
        <v>58</v>
      </c>
      <c r="D86" s="15" t="s">
        <v>53</v>
      </c>
      <c r="E86" s="16">
        <v>1.03</v>
      </c>
      <c r="F86" s="2"/>
      <c r="G86" s="2">
        <f>ROUND(E86*G77,4)</f>
        <v>0.98160000000000003</v>
      </c>
      <c r="H86" s="2">
        <v>1554.2</v>
      </c>
      <c r="I86" s="2"/>
      <c r="J86" s="2">
        <f>ROUND(G86*H86,2)</f>
        <v>1525.6</v>
      </c>
      <c r="K86" s="2">
        <v>8.61</v>
      </c>
      <c r="L86" s="47">
        <f>ROUND(J86*K86,2)</f>
        <v>13135.42</v>
      </c>
    </row>
    <row r="87" spans="1:18" x14ac:dyDescent="0.2">
      <c r="A87" s="12"/>
      <c r="B87" s="18"/>
      <c r="C87" s="18" t="str">
        <f>"Объём: "&amp;E86&amp;"*"&amp;G77</f>
        <v>Объём: 1,03*0,953</v>
      </c>
      <c r="D87" s="18"/>
      <c r="E87" s="18"/>
      <c r="F87" s="18"/>
      <c r="G87" s="18"/>
      <c r="H87" s="18"/>
      <c r="I87" s="18"/>
      <c r="J87" s="18"/>
      <c r="K87" s="18"/>
      <c r="L87" s="45"/>
    </row>
    <row r="88" spans="1:18" ht="22.5" x14ac:dyDescent="0.2">
      <c r="A88" s="12"/>
      <c r="B88" s="13" t="s">
        <v>39</v>
      </c>
      <c r="C88" s="14" t="str">
        <f>" Накладные расходы 147%"&amp;"     "&amp;G88&amp;"*(от "&amp;L78&amp;"+"&amp;L80&amp;")/100"</f>
        <v xml:space="preserve"> Накладные расходы 147%     147*(от 0+211,65)/100</v>
      </c>
      <c r="D88" s="15" t="s">
        <v>40</v>
      </c>
      <c r="E88" s="16">
        <v>147</v>
      </c>
      <c r="F88" s="2"/>
      <c r="G88" s="2">
        <v>147</v>
      </c>
      <c r="H88" s="17"/>
      <c r="I88" s="17"/>
      <c r="J88" s="17">
        <f>ROUND(G88*(J78+J80)/100,2)</f>
        <v>10.01</v>
      </c>
      <c r="K88" s="18"/>
      <c r="L88" s="47">
        <f>ROUND(G88*(L78+L80)/100,2)</f>
        <v>311.13</v>
      </c>
    </row>
    <row r="89" spans="1:18" ht="22.5" x14ac:dyDescent="0.2">
      <c r="A89" s="12"/>
      <c r="B89" s="13" t="s">
        <v>41</v>
      </c>
      <c r="C89" s="14" t="str">
        <f>" Сметная прибыль 134%"&amp;"     "&amp;G89&amp;"*(от "&amp;L78&amp;"+"&amp;L80&amp;")/100"</f>
        <v xml:space="preserve"> Сметная прибыль 134%     134*(от 0+211,65)/100</v>
      </c>
      <c r="D89" s="15" t="s">
        <v>40</v>
      </c>
      <c r="E89" s="16">
        <v>134</v>
      </c>
      <c r="F89" s="2"/>
      <c r="G89" s="2">
        <v>134</v>
      </c>
      <c r="H89" s="17"/>
      <c r="I89" s="17"/>
      <c r="J89" s="17">
        <f>ROUND(G89*(J78+J80)/100,2)</f>
        <v>9.1300000000000008</v>
      </c>
      <c r="K89" s="18"/>
      <c r="L89" s="47">
        <f>ROUND(G89*(L78+L80)/100,2)</f>
        <v>283.61</v>
      </c>
    </row>
    <row r="90" spans="1:18" x14ac:dyDescent="0.2">
      <c r="A90" s="12"/>
      <c r="B90" s="13" t="s">
        <v>34</v>
      </c>
      <c r="C90" s="19" t="s">
        <v>42</v>
      </c>
      <c r="D90" s="15"/>
      <c r="E90" s="16"/>
      <c r="F90" s="2"/>
      <c r="G90" s="2"/>
      <c r="H90" s="17"/>
      <c r="I90" s="17"/>
      <c r="J90" s="20">
        <f>ROUND(J85+J86+J88+J89,2)</f>
        <v>1582</v>
      </c>
      <c r="K90" s="18"/>
      <c r="L90" s="46">
        <f>ROUND(L85+L86+L88+L89,2)</f>
        <v>14169.08</v>
      </c>
      <c r="O90">
        <v>2</v>
      </c>
    </row>
    <row r="91" spans="1:18" ht="33.75" x14ac:dyDescent="0.2">
      <c r="A91" s="4">
        <v>7</v>
      </c>
      <c r="B91" s="5" t="s">
        <v>59</v>
      </c>
      <c r="C91" s="6" t="s">
        <v>60</v>
      </c>
      <c r="D91" s="7" t="s">
        <v>61</v>
      </c>
      <c r="E91" s="8">
        <f>G91</f>
        <v>4.5599999999999996</v>
      </c>
      <c r="F91" s="9"/>
      <c r="G91" s="10">
        <v>4.5599999999999996</v>
      </c>
      <c r="H91" s="10">
        <v>5872.99</v>
      </c>
      <c r="I91" s="11"/>
      <c r="J91" s="10">
        <f>ROUND(G91*H91,2)</f>
        <v>26780.83</v>
      </c>
      <c r="K91" s="9"/>
      <c r="L91" s="44"/>
      <c r="N91">
        <v>1</v>
      </c>
      <c r="P91">
        <v>4373</v>
      </c>
      <c r="Q91">
        <v>7064</v>
      </c>
      <c r="R91">
        <v>66215</v>
      </c>
    </row>
    <row r="92" spans="1:18" x14ac:dyDescent="0.2">
      <c r="A92" s="12"/>
      <c r="B92" s="13" t="s">
        <v>16</v>
      </c>
      <c r="C92" s="14" t="s">
        <v>30</v>
      </c>
      <c r="D92" s="15"/>
      <c r="E92" s="16"/>
      <c r="F92" s="2"/>
      <c r="G92" s="2"/>
      <c r="H92" s="17">
        <v>212.48000000000002</v>
      </c>
      <c r="I92" s="17"/>
      <c r="J92" s="17">
        <f>ROUND(H92*G91,2)</f>
        <v>968.91</v>
      </c>
      <c r="K92" s="18">
        <v>31.08</v>
      </c>
      <c r="L92" s="45">
        <f>ROUND(J92*K92,2)</f>
        <v>30113.72</v>
      </c>
    </row>
    <row r="93" spans="1:18" x14ac:dyDescent="0.2">
      <c r="A93" s="12"/>
      <c r="B93" s="13" t="s">
        <v>17</v>
      </c>
      <c r="C93" s="14" t="s">
        <v>31</v>
      </c>
      <c r="D93" s="15"/>
      <c r="E93" s="16"/>
      <c r="F93" s="2"/>
      <c r="G93" s="2"/>
      <c r="H93" s="17">
        <v>5536.89</v>
      </c>
      <c r="I93" s="17"/>
      <c r="J93" s="17">
        <f>ROUND(H93*G91,2)</f>
        <v>25248.22</v>
      </c>
      <c r="K93" s="18">
        <v>11.78</v>
      </c>
      <c r="L93" s="45">
        <f>ROUND(J93*K93,2)</f>
        <v>297424.03000000003</v>
      </c>
    </row>
    <row r="94" spans="1:18" x14ac:dyDescent="0.2">
      <c r="A94" s="12"/>
      <c r="B94" s="13" t="s">
        <v>18</v>
      </c>
      <c r="C94" s="14" t="s">
        <v>32</v>
      </c>
      <c r="D94" s="15"/>
      <c r="E94" s="16"/>
      <c r="F94" s="2"/>
      <c r="G94" s="2"/>
      <c r="H94" s="17">
        <v>284.69</v>
      </c>
      <c r="I94" s="17"/>
      <c r="J94" s="17">
        <f>ROUND(H94*G91,2)</f>
        <v>1298.19</v>
      </c>
      <c r="K94" s="18">
        <v>31.08</v>
      </c>
      <c r="L94" s="45">
        <f>ROUND(J94*K94,2)</f>
        <v>40347.75</v>
      </c>
    </row>
    <row r="95" spans="1:18" x14ac:dyDescent="0.2">
      <c r="A95" s="12"/>
      <c r="B95" s="13" t="s">
        <v>19</v>
      </c>
      <c r="C95" s="14" t="s">
        <v>33</v>
      </c>
      <c r="D95" s="15"/>
      <c r="E95" s="16"/>
      <c r="F95" s="2"/>
      <c r="G95" s="2"/>
      <c r="H95" s="17">
        <v>123.62</v>
      </c>
      <c r="I95" s="17"/>
      <c r="J95" s="17">
        <f>ROUND(H95*G91,2)</f>
        <v>563.71</v>
      </c>
      <c r="K95" s="18">
        <v>8.61</v>
      </c>
      <c r="L95" s="45">
        <f>ROUND(J95*K95,2)</f>
        <v>4853.54</v>
      </c>
    </row>
    <row r="96" spans="1:18" x14ac:dyDescent="0.2">
      <c r="A96" s="12"/>
      <c r="B96" s="21" t="s">
        <v>62</v>
      </c>
      <c r="C96" s="18" t="s">
        <v>63</v>
      </c>
      <c r="D96" s="22" t="s">
        <v>53</v>
      </c>
      <c r="E96" s="22">
        <v>101</v>
      </c>
      <c r="F96" s="18"/>
      <c r="G96" s="21">
        <f>ROUND(E96*G91,2)</f>
        <v>460.56</v>
      </c>
      <c r="H96" s="18"/>
      <c r="I96" s="18"/>
      <c r="J96" s="18"/>
      <c r="K96" s="18"/>
      <c r="L96" s="45"/>
    </row>
    <row r="97" spans="1:18" x14ac:dyDescent="0.2">
      <c r="A97" s="12"/>
      <c r="B97" s="13" t="s">
        <v>34</v>
      </c>
      <c r="C97" s="14" t="s">
        <v>35</v>
      </c>
      <c r="D97" s="15" t="s">
        <v>36</v>
      </c>
      <c r="E97" s="16">
        <v>22</v>
      </c>
      <c r="F97" s="2"/>
      <c r="G97" s="2">
        <f>ROUND(E97*G91,2)</f>
        <v>100.32</v>
      </c>
      <c r="H97" s="17"/>
      <c r="I97" s="17"/>
      <c r="J97" s="17"/>
      <c r="K97" s="18"/>
      <c r="L97" s="45"/>
    </row>
    <row r="98" spans="1:18" x14ac:dyDescent="0.2">
      <c r="A98" s="12"/>
      <c r="B98" s="13" t="s">
        <v>34</v>
      </c>
      <c r="C98" s="14" t="s">
        <v>37</v>
      </c>
      <c r="D98" s="15" t="s">
        <v>36</v>
      </c>
      <c r="E98" s="16">
        <v>22</v>
      </c>
      <c r="F98" s="2"/>
      <c r="G98" s="2">
        <f>ROUND(E98*G91,2)</f>
        <v>100.32</v>
      </c>
      <c r="H98" s="17"/>
      <c r="I98" s="17"/>
      <c r="J98" s="17"/>
      <c r="K98" s="18"/>
      <c r="L98" s="45"/>
    </row>
    <row r="99" spans="1:18" x14ac:dyDescent="0.2">
      <c r="A99" s="12"/>
      <c r="B99" s="13" t="s">
        <v>34</v>
      </c>
      <c r="C99" s="19" t="s">
        <v>38</v>
      </c>
      <c r="D99" s="15"/>
      <c r="E99" s="16"/>
      <c r="F99" s="2"/>
      <c r="G99" s="2"/>
      <c r="H99" s="20">
        <f>ROUND(H92+H93+H95,2)</f>
        <v>5872.99</v>
      </c>
      <c r="I99" s="17"/>
      <c r="J99" s="20">
        <f>ROUND(J92+J93+J95,2)</f>
        <v>26780.84</v>
      </c>
      <c r="K99" s="18"/>
      <c r="L99" s="46">
        <f>ROUND(L92+L93+L95,2)</f>
        <v>332391.28999999998</v>
      </c>
    </row>
    <row r="100" spans="1:18" ht="22.5" x14ac:dyDescent="0.2">
      <c r="A100" s="23" t="s">
        <v>118</v>
      </c>
      <c r="B100" s="24" t="s">
        <v>119</v>
      </c>
      <c r="C100" s="25" t="s">
        <v>133</v>
      </c>
      <c r="D100" s="15" t="s">
        <v>53</v>
      </c>
      <c r="E100" s="16">
        <v>101</v>
      </c>
      <c r="F100" s="2"/>
      <c r="G100" s="2">
        <f>ROUND(E100*G91,1)</f>
        <v>460.6</v>
      </c>
      <c r="H100" s="2">
        <f>ROUND(451.06*U23,2)</f>
        <v>589.82000000000005</v>
      </c>
      <c r="I100" s="2"/>
      <c r="J100" s="2">
        <f>ROUND(G100*H100,2)</f>
        <v>271671.09000000003</v>
      </c>
      <c r="K100" s="2">
        <v>8.61</v>
      </c>
      <c r="L100" s="47">
        <f>ROUND(J100*K100,2)</f>
        <v>2339088.08</v>
      </c>
    </row>
    <row r="101" spans="1:18" x14ac:dyDescent="0.2">
      <c r="A101" s="12"/>
      <c r="B101" s="18"/>
      <c r="C101" s="18" t="str">
        <f>"Объём: "&amp;E100&amp;"*"&amp;G91</f>
        <v>Объём: 101*4,56</v>
      </c>
      <c r="D101" s="18"/>
      <c r="E101" s="18"/>
      <c r="F101" s="18"/>
      <c r="G101" s="18"/>
      <c r="H101" s="18"/>
      <c r="I101" s="18"/>
      <c r="J101" s="18"/>
      <c r="K101" s="18"/>
      <c r="L101" s="45"/>
    </row>
    <row r="102" spans="1:18" ht="22.5" x14ac:dyDescent="0.2">
      <c r="A102" s="12"/>
      <c r="B102" s="13" t="s">
        <v>39</v>
      </c>
      <c r="C102" s="14" t="str">
        <f>" Накладные расходы 147%"&amp;"     "&amp;G102&amp;"*(от "&amp;L92&amp;"+"&amp;L94&amp;")/100"</f>
        <v xml:space="preserve"> Накладные расходы 147%     147*(от 30113,72+40347,75)/100</v>
      </c>
      <c r="D102" s="15" t="s">
        <v>40</v>
      </c>
      <c r="E102" s="16">
        <v>147</v>
      </c>
      <c r="F102" s="2"/>
      <c r="G102" s="2">
        <v>147</v>
      </c>
      <c r="H102" s="17"/>
      <c r="I102" s="17"/>
      <c r="J102" s="17">
        <f>ROUND(G102*(J92+J94)/100,2)</f>
        <v>3332.64</v>
      </c>
      <c r="K102" s="18"/>
      <c r="L102" s="47">
        <f>ROUND(G102*(L92+L94)/100,2)</f>
        <v>103578.36</v>
      </c>
    </row>
    <row r="103" spans="1:18" ht="22.5" x14ac:dyDescent="0.2">
      <c r="A103" s="12"/>
      <c r="B103" s="13" t="s">
        <v>41</v>
      </c>
      <c r="C103" s="14" t="str">
        <f>" Сметная прибыль 134%"&amp;"     "&amp;G103&amp;"*(от "&amp;L92&amp;"+"&amp;L94&amp;")/100"</f>
        <v xml:space="preserve"> Сметная прибыль 134%     134*(от 30113,72+40347,75)/100</v>
      </c>
      <c r="D103" s="15" t="s">
        <v>40</v>
      </c>
      <c r="E103" s="16">
        <v>134</v>
      </c>
      <c r="F103" s="2"/>
      <c r="G103" s="2">
        <v>134</v>
      </c>
      <c r="H103" s="17"/>
      <c r="I103" s="17"/>
      <c r="J103" s="17">
        <f>ROUND(G103*(J92+J94)/100,2)</f>
        <v>3037.91</v>
      </c>
      <c r="K103" s="18"/>
      <c r="L103" s="47">
        <f>ROUND(G103*(L92+L94)/100,2)</f>
        <v>94418.37</v>
      </c>
    </row>
    <row r="104" spans="1:18" x14ac:dyDescent="0.2">
      <c r="A104" s="12"/>
      <c r="B104" s="13" t="s">
        <v>34</v>
      </c>
      <c r="C104" s="19" t="s">
        <v>42</v>
      </c>
      <c r="D104" s="15"/>
      <c r="E104" s="16"/>
      <c r="F104" s="2"/>
      <c r="G104" s="2"/>
      <c r="H104" s="17"/>
      <c r="I104" s="17"/>
      <c r="J104" s="20">
        <f>ROUND(J99+J100+J102+J103,2)</f>
        <v>304822.48</v>
      </c>
      <c r="K104" s="18"/>
      <c r="L104" s="46">
        <f>ROUND(L99+L100+L102+L103,2)</f>
        <v>2869476.1</v>
      </c>
      <c r="O104">
        <v>2</v>
      </c>
    </row>
    <row r="105" spans="1:18" ht="45" x14ac:dyDescent="0.2">
      <c r="A105" s="4">
        <v>8</v>
      </c>
      <c r="B105" s="5" t="s">
        <v>98</v>
      </c>
      <c r="C105" s="6" t="s">
        <v>120</v>
      </c>
      <c r="D105" s="7" t="s">
        <v>52</v>
      </c>
      <c r="E105" s="8">
        <f>G105</f>
        <v>3.1789999999999998</v>
      </c>
      <c r="F105" s="9"/>
      <c r="G105" s="10">
        <v>3.1789999999999998</v>
      </c>
      <c r="H105" s="10">
        <v>5721.76</v>
      </c>
      <c r="I105" s="11"/>
      <c r="J105" s="10">
        <f>ROUND(G105*H105,2)</f>
        <v>18189.48</v>
      </c>
      <c r="K105" s="9"/>
      <c r="L105" s="44"/>
      <c r="N105">
        <v>1</v>
      </c>
      <c r="P105">
        <v>4373</v>
      </c>
      <c r="Q105">
        <v>7064</v>
      </c>
      <c r="R105">
        <v>66217</v>
      </c>
    </row>
    <row r="106" spans="1:18" x14ac:dyDescent="0.2">
      <c r="A106" s="12"/>
      <c r="B106" s="13" t="s">
        <v>16</v>
      </c>
      <c r="C106" s="14" t="s">
        <v>30</v>
      </c>
      <c r="D106" s="15"/>
      <c r="E106" s="16"/>
      <c r="F106" s="2"/>
      <c r="G106" s="2"/>
      <c r="H106" s="17">
        <v>154.49</v>
      </c>
      <c r="I106" s="17"/>
      <c r="J106" s="17">
        <f>ROUND(H106*G105,2)</f>
        <v>491.12</v>
      </c>
      <c r="K106" s="18">
        <v>31.08</v>
      </c>
      <c r="L106" s="45">
        <f>ROUND(J106*K106,2)</f>
        <v>15264.01</v>
      </c>
    </row>
    <row r="107" spans="1:18" x14ac:dyDescent="0.2">
      <c r="A107" s="12"/>
      <c r="B107" s="13" t="s">
        <v>17</v>
      </c>
      <c r="C107" s="14" t="s">
        <v>31</v>
      </c>
      <c r="D107" s="15"/>
      <c r="E107" s="16"/>
      <c r="F107" s="2"/>
      <c r="G107" s="2"/>
      <c r="H107" s="17">
        <v>4510.84</v>
      </c>
      <c r="I107" s="17"/>
      <c r="J107" s="17">
        <f>ROUND(H107*G105,2)</f>
        <v>14339.96</v>
      </c>
      <c r="K107" s="18">
        <v>11.78</v>
      </c>
      <c r="L107" s="45">
        <f>ROUND(J107*K107,2)</f>
        <v>168924.73</v>
      </c>
    </row>
    <row r="108" spans="1:18" x14ac:dyDescent="0.2">
      <c r="A108" s="12"/>
      <c r="B108" s="13" t="s">
        <v>18</v>
      </c>
      <c r="C108" s="14" t="s">
        <v>32</v>
      </c>
      <c r="D108" s="15"/>
      <c r="E108" s="16"/>
      <c r="F108" s="2"/>
      <c r="G108" s="2"/>
      <c r="H108" s="17">
        <v>101.52</v>
      </c>
      <c r="I108" s="17"/>
      <c r="J108" s="17">
        <f>ROUND(H108*G105,2)</f>
        <v>322.73</v>
      </c>
      <c r="K108" s="18">
        <v>31.08</v>
      </c>
      <c r="L108" s="45">
        <f>ROUND(J108*K108,2)</f>
        <v>10030.450000000001</v>
      </c>
    </row>
    <row r="109" spans="1:18" x14ac:dyDescent="0.2">
      <c r="A109" s="12"/>
      <c r="B109" s="13" t="s">
        <v>19</v>
      </c>
      <c r="C109" s="14" t="s">
        <v>33</v>
      </c>
      <c r="D109" s="15"/>
      <c r="E109" s="16"/>
      <c r="F109" s="2"/>
      <c r="G109" s="2"/>
      <c r="H109" s="17">
        <v>1056.43</v>
      </c>
      <c r="I109" s="17"/>
      <c r="J109" s="17">
        <f>ROUND(H109*G105,2)</f>
        <v>3358.39</v>
      </c>
      <c r="K109" s="18">
        <v>8.61</v>
      </c>
      <c r="L109" s="45">
        <f>ROUND(J109*K109,2)</f>
        <v>28915.74</v>
      </c>
    </row>
    <row r="110" spans="1:18" x14ac:dyDescent="0.2">
      <c r="A110" s="12"/>
      <c r="B110" s="21" t="s">
        <v>62</v>
      </c>
      <c r="C110" s="18" t="s">
        <v>63</v>
      </c>
      <c r="D110" s="22" t="s">
        <v>53</v>
      </c>
      <c r="E110" s="22" t="s">
        <v>47</v>
      </c>
      <c r="F110" s="18"/>
      <c r="G110" s="21" t="s">
        <v>47</v>
      </c>
      <c r="H110" s="18"/>
      <c r="I110" s="18"/>
      <c r="J110" s="18"/>
      <c r="K110" s="18"/>
      <c r="L110" s="45"/>
    </row>
    <row r="111" spans="1:18" x14ac:dyDescent="0.2">
      <c r="A111" s="12"/>
      <c r="B111" s="13" t="s">
        <v>34</v>
      </c>
      <c r="C111" s="14" t="s">
        <v>35</v>
      </c>
      <c r="D111" s="15" t="s">
        <v>36</v>
      </c>
      <c r="E111" s="16">
        <v>17</v>
      </c>
      <c r="F111" s="2"/>
      <c r="G111" s="2">
        <f>ROUND(E111*G105,2)</f>
        <v>54.04</v>
      </c>
      <c r="H111" s="17"/>
      <c r="I111" s="17"/>
      <c r="J111" s="17"/>
      <c r="K111" s="18"/>
      <c r="L111" s="45"/>
    </row>
    <row r="112" spans="1:18" x14ac:dyDescent="0.2">
      <c r="A112" s="12"/>
      <c r="B112" s="13" t="s">
        <v>34</v>
      </c>
      <c r="C112" s="14" t="s">
        <v>37</v>
      </c>
      <c r="D112" s="15" t="s">
        <v>36</v>
      </c>
      <c r="E112" s="16">
        <v>8</v>
      </c>
      <c r="F112" s="2"/>
      <c r="G112" s="2">
        <f>ROUND(E112*G105,2)</f>
        <v>25.43</v>
      </c>
      <c r="H112" s="17"/>
      <c r="I112" s="17"/>
      <c r="J112" s="17"/>
      <c r="K112" s="18"/>
      <c r="L112" s="45"/>
    </row>
    <row r="113" spans="1:18" x14ac:dyDescent="0.2">
      <c r="A113" s="12"/>
      <c r="B113" s="13" t="s">
        <v>34</v>
      </c>
      <c r="C113" s="19" t="s">
        <v>38</v>
      </c>
      <c r="D113" s="15"/>
      <c r="E113" s="16"/>
      <c r="F113" s="2"/>
      <c r="G113" s="2"/>
      <c r="H113" s="20">
        <f>ROUND(H106+H107+H109,2)</f>
        <v>5721.76</v>
      </c>
      <c r="I113" s="17"/>
      <c r="J113" s="20">
        <f>ROUND(J106+J107+J109,2)</f>
        <v>18189.47</v>
      </c>
      <c r="K113" s="18"/>
      <c r="L113" s="46">
        <f>ROUND(L106+L107+L109,2)</f>
        <v>213104.48</v>
      </c>
    </row>
    <row r="114" spans="1:18" ht="22.5" x14ac:dyDescent="0.2">
      <c r="A114" s="23" t="s">
        <v>121</v>
      </c>
      <c r="B114" s="24" t="s">
        <v>99</v>
      </c>
      <c r="C114" s="25" t="s">
        <v>134</v>
      </c>
      <c r="D114" s="15" t="s">
        <v>53</v>
      </c>
      <c r="E114" s="16">
        <v>96.599600000000009</v>
      </c>
      <c r="F114" s="2"/>
      <c r="G114" s="2">
        <f>ROUND(E114*G105,1)</f>
        <v>307.10000000000002</v>
      </c>
      <c r="H114" s="2">
        <f>ROUND(491.01*U23,2)</f>
        <v>642.04999999999995</v>
      </c>
      <c r="I114" s="2"/>
      <c r="J114" s="2">
        <f>ROUND(G114*H114,2)</f>
        <v>197173.56</v>
      </c>
      <c r="K114" s="2">
        <v>8.61</v>
      </c>
      <c r="L114" s="47">
        <f>ROUND(J114*K114,2)</f>
        <v>1697664.35</v>
      </c>
    </row>
    <row r="115" spans="1:18" x14ac:dyDescent="0.2">
      <c r="A115" s="12"/>
      <c r="B115" s="18"/>
      <c r="C115" s="18" t="str">
        <f>"Объём: "&amp;E114&amp;"*"&amp;G105</f>
        <v>Объём: 96,5996*3,179</v>
      </c>
      <c r="D115" s="18"/>
      <c r="E115" s="18"/>
      <c r="F115" s="18"/>
      <c r="G115" s="18"/>
      <c r="H115" s="18"/>
      <c r="I115" s="18"/>
      <c r="J115" s="18"/>
      <c r="K115" s="18"/>
      <c r="L115" s="45"/>
    </row>
    <row r="116" spans="1:18" ht="22.5" x14ac:dyDescent="0.2">
      <c r="A116" s="12"/>
      <c r="B116" s="13" t="s">
        <v>39</v>
      </c>
      <c r="C116" s="14" t="str">
        <f>" Накладные расходы 147%"&amp;"     "&amp;G116&amp;"*(от "&amp;L106&amp;"+"&amp;L108&amp;")/100"</f>
        <v xml:space="preserve"> Накладные расходы 147%     147*(от 15264,01+10030,45)/100</v>
      </c>
      <c r="D116" s="15" t="s">
        <v>40</v>
      </c>
      <c r="E116" s="16">
        <v>147</v>
      </c>
      <c r="F116" s="2"/>
      <c r="G116" s="2">
        <v>147</v>
      </c>
      <c r="H116" s="17"/>
      <c r="I116" s="17"/>
      <c r="J116" s="17">
        <f>ROUND(G116*(J106+J108)/100,2)</f>
        <v>1196.3599999999999</v>
      </c>
      <c r="K116" s="18"/>
      <c r="L116" s="47">
        <f>ROUND(G116*(L106+L108)/100,2)</f>
        <v>37182.86</v>
      </c>
    </row>
    <row r="117" spans="1:18" ht="22.5" x14ac:dyDescent="0.2">
      <c r="A117" s="12"/>
      <c r="B117" s="13" t="s">
        <v>41</v>
      </c>
      <c r="C117" s="14" t="str">
        <f>" Сметная прибыль 134%"&amp;"     "&amp;G117&amp;"*(от "&amp;L106&amp;"+"&amp;L108&amp;")/100"</f>
        <v xml:space="preserve"> Сметная прибыль 134%     134*(от 15264,01+10030,45)/100</v>
      </c>
      <c r="D117" s="15" t="s">
        <v>40</v>
      </c>
      <c r="E117" s="16">
        <v>134</v>
      </c>
      <c r="F117" s="2"/>
      <c r="G117" s="2">
        <v>134</v>
      </c>
      <c r="H117" s="17"/>
      <c r="I117" s="17"/>
      <c r="J117" s="17">
        <f>ROUND(G117*(J106+J108)/100,2)</f>
        <v>1090.56</v>
      </c>
      <c r="K117" s="18"/>
      <c r="L117" s="47">
        <f>ROUND(G117*(L106+L108)/100,2)</f>
        <v>33894.58</v>
      </c>
    </row>
    <row r="118" spans="1:18" x14ac:dyDescent="0.2">
      <c r="A118" s="26"/>
      <c r="B118" s="27" t="s">
        <v>34</v>
      </c>
      <c r="C118" s="28" t="s">
        <v>42</v>
      </c>
      <c r="D118" s="29"/>
      <c r="E118" s="30"/>
      <c r="F118" s="31"/>
      <c r="G118" s="31"/>
      <c r="H118" s="32"/>
      <c r="I118" s="32"/>
      <c r="J118" s="33">
        <f>ROUND(J113+J114+J116+J117,2)</f>
        <v>217649.95</v>
      </c>
      <c r="K118" s="50"/>
      <c r="L118" s="51">
        <f>ROUND(L113+L114+L116+L117,2)</f>
        <v>1981846.27</v>
      </c>
      <c r="O118">
        <v>2</v>
      </c>
    </row>
    <row r="119" spans="1:18" x14ac:dyDescent="0.2">
      <c r="A119" s="76" t="s">
        <v>66</v>
      </c>
      <c r="B119" s="77"/>
      <c r="C119" s="77"/>
      <c r="D119" s="77"/>
      <c r="E119" s="77"/>
      <c r="F119" s="77"/>
      <c r="G119" s="77"/>
      <c r="H119" s="77"/>
      <c r="I119" s="77"/>
      <c r="J119" s="79">
        <f>J36+J37+J48+J62+J76+J90+J104+J118</f>
        <v>632478.16999999993</v>
      </c>
      <c r="K119" s="18"/>
      <c r="L119" s="81">
        <f>L36+L37+L48+L62+L76+L90+L104+L118</f>
        <v>6036985.290000001</v>
      </c>
    </row>
    <row r="120" spans="1:18" x14ac:dyDescent="0.2">
      <c r="A120" s="76"/>
      <c r="B120" s="77"/>
      <c r="C120" s="77"/>
      <c r="D120" s="77"/>
      <c r="E120" s="77"/>
      <c r="F120" s="77"/>
      <c r="G120" s="77"/>
      <c r="H120" s="77"/>
      <c r="I120" s="77"/>
      <c r="J120" s="79"/>
      <c r="K120" s="18"/>
      <c r="L120" s="81"/>
    </row>
    <row r="121" spans="1:18" x14ac:dyDescent="0.2">
      <c r="A121" s="117" t="s">
        <v>122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9"/>
    </row>
    <row r="122" spans="1:18" ht="22.5" x14ac:dyDescent="0.2">
      <c r="A122" s="4">
        <v>1</v>
      </c>
      <c r="B122" s="5" t="s">
        <v>54</v>
      </c>
      <c r="C122" s="6" t="s">
        <v>116</v>
      </c>
      <c r="D122" s="7" t="s">
        <v>53</v>
      </c>
      <c r="E122" s="8">
        <f>G122</f>
        <v>0.72</v>
      </c>
      <c r="F122" s="9"/>
      <c r="G122" s="10">
        <v>0.72</v>
      </c>
      <c r="H122" s="10">
        <v>39.1</v>
      </c>
      <c r="I122" s="11"/>
      <c r="J122" s="10">
        <f>ROUND(G122*H122,2)</f>
        <v>28.15</v>
      </c>
      <c r="K122" s="9"/>
      <c r="L122" s="44"/>
      <c r="N122">
        <v>1</v>
      </c>
      <c r="P122">
        <v>4374</v>
      </c>
      <c r="Q122">
        <v>7065</v>
      </c>
      <c r="R122">
        <v>66219</v>
      </c>
    </row>
    <row r="123" spans="1:18" ht="12.75" hidden="1" customHeight="1" x14ac:dyDescent="0.2">
      <c r="A123" s="12"/>
      <c r="B123" s="13" t="s">
        <v>16</v>
      </c>
      <c r="C123" s="14" t="s">
        <v>30</v>
      </c>
      <c r="D123" s="15"/>
      <c r="E123" s="16"/>
      <c r="F123" s="2"/>
      <c r="G123" s="2"/>
      <c r="H123" s="17">
        <v>0</v>
      </c>
      <c r="I123" s="17"/>
      <c r="J123" s="17">
        <f>ROUND(H123*G122,2)</f>
        <v>0</v>
      </c>
      <c r="K123" s="18">
        <v>31.08</v>
      </c>
      <c r="L123" s="45">
        <f>ROUND(J123*K123,2)</f>
        <v>0</v>
      </c>
    </row>
    <row r="124" spans="1:18" x14ac:dyDescent="0.2">
      <c r="A124" s="12"/>
      <c r="B124" s="13" t="s">
        <v>17</v>
      </c>
      <c r="C124" s="14" t="s">
        <v>31</v>
      </c>
      <c r="D124" s="15"/>
      <c r="E124" s="16"/>
      <c r="F124" s="2"/>
      <c r="G124" s="2"/>
      <c r="H124" s="17">
        <v>39.1</v>
      </c>
      <c r="I124" s="17"/>
      <c r="J124" s="17">
        <f>ROUND(H124*G122,2)</f>
        <v>28.15</v>
      </c>
      <c r="K124" s="18">
        <v>11.78</v>
      </c>
      <c r="L124" s="45">
        <f>ROUND(J124*K124,2)</f>
        <v>331.61</v>
      </c>
    </row>
    <row r="125" spans="1:18" x14ac:dyDescent="0.2">
      <c r="A125" s="12"/>
      <c r="B125" s="13" t="s">
        <v>18</v>
      </c>
      <c r="C125" s="14" t="s">
        <v>32</v>
      </c>
      <c r="D125" s="15"/>
      <c r="E125" s="16"/>
      <c r="F125" s="2"/>
      <c r="G125" s="2"/>
      <c r="H125" s="17">
        <v>7.15</v>
      </c>
      <c r="I125" s="17"/>
      <c r="J125" s="17">
        <f>ROUND(H125*G122,2)</f>
        <v>5.15</v>
      </c>
      <c r="K125" s="18">
        <v>31.08</v>
      </c>
      <c r="L125" s="45">
        <f>ROUND(J125*K125,2)</f>
        <v>160.06</v>
      </c>
    </row>
    <row r="126" spans="1:18" ht="12.75" hidden="1" customHeight="1" x14ac:dyDescent="0.2">
      <c r="A126" s="12"/>
      <c r="B126" s="13" t="s">
        <v>19</v>
      </c>
      <c r="C126" s="14" t="s">
        <v>33</v>
      </c>
      <c r="D126" s="15"/>
      <c r="E126" s="16"/>
      <c r="F126" s="2"/>
      <c r="G126" s="2"/>
      <c r="H126" s="17">
        <v>0</v>
      </c>
      <c r="I126" s="17"/>
      <c r="J126" s="17">
        <f>ROUND(H126*G122,2)</f>
        <v>0</v>
      </c>
      <c r="K126" s="18">
        <v>8.61</v>
      </c>
      <c r="L126" s="45">
        <f>ROUND(J126*K126,2)</f>
        <v>0</v>
      </c>
    </row>
    <row r="127" spans="1:18" x14ac:dyDescent="0.2">
      <c r="A127" s="12"/>
      <c r="B127" s="21" t="s">
        <v>55</v>
      </c>
      <c r="C127" s="18" t="s">
        <v>56</v>
      </c>
      <c r="D127" s="22" t="s">
        <v>53</v>
      </c>
      <c r="E127" s="22">
        <v>1.03</v>
      </c>
      <c r="F127" s="18"/>
      <c r="G127" s="21">
        <f>ROUND(E127*G122,2)</f>
        <v>0.74</v>
      </c>
      <c r="H127" s="18"/>
      <c r="I127" s="18"/>
      <c r="J127" s="18"/>
      <c r="K127" s="18"/>
      <c r="L127" s="45"/>
    </row>
    <row r="128" spans="1:18" ht="12.75" hidden="1" customHeight="1" x14ac:dyDescent="0.2">
      <c r="A128" s="12"/>
      <c r="B128" s="13" t="s">
        <v>34</v>
      </c>
      <c r="C128" s="14" t="s">
        <v>35</v>
      </c>
      <c r="D128" s="15" t="s">
        <v>36</v>
      </c>
      <c r="E128" s="16">
        <v>0</v>
      </c>
      <c r="F128" s="2"/>
      <c r="G128" s="2">
        <f>ROUND(E128*G122,2)</f>
        <v>0</v>
      </c>
      <c r="H128" s="17"/>
      <c r="I128" s="17"/>
      <c r="J128" s="17"/>
      <c r="K128" s="18"/>
      <c r="L128" s="45"/>
    </row>
    <row r="129" spans="1:18" x14ac:dyDescent="0.2">
      <c r="A129" s="12"/>
      <c r="B129" s="13" t="s">
        <v>34</v>
      </c>
      <c r="C129" s="14" t="s">
        <v>37</v>
      </c>
      <c r="D129" s="15" t="s">
        <v>36</v>
      </c>
      <c r="E129" s="16">
        <v>1</v>
      </c>
      <c r="F129" s="2"/>
      <c r="G129" s="2">
        <f>ROUND(E129*G122,2)</f>
        <v>0.72</v>
      </c>
      <c r="H129" s="17"/>
      <c r="I129" s="17"/>
      <c r="J129" s="17"/>
      <c r="K129" s="18"/>
      <c r="L129" s="45"/>
    </row>
    <row r="130" spans="1:18" x14ac:dyDescent="0.2">
      <c r="A130" s="12"/>
      <c r="B130" s="13" t="s">
        <v>34</v>
      </c>
      <c r="C130" s="19" t="s">
        <v>38</v>
      </c>
      <c r="D130" s="15"/>
      <c r="E130" s="16"/>
      <c r="F130" s="2"/>
      <c r="G130" s="2"/>
      <c r="H130" s="20">
        <f>ROUND(H123+H124+H126,2)</f>
        <v>39.1</v>
      </c>
      <c r="I130" s="17"/>
      <c r="J130" s="20">
        <f>ROUND(J123+J124+J126,2)</f>
        <v>28.15</v>
      </c>
      <c r="K130" s="18"/>
      <c r="L130" s="46">
        <f>ROUND(L123+L124+L126,2)</f>
        <v>331.61</v>
      </c>
    </row>
    <row r="131" spans="1:18" ht="22.5" x14ac:dyDescent="0.2">
      <c r="A131" s="23" t="s">
        <v>97</v>
      </c>
      <c r="B131" s="24" t="s">
        <v>57</v>
      </c>
      <c r="C131" s="25" t="s">
        <v>58</v>
      </c>
      <c r="D131" s="15" t="s">
        <v>53</v>
      </c>
      <c r="E131" s="16">
        <v>1.03</v>
      </c>
      <c r="F131" s="2"/>
      <c r="G131" s="2">
        <f>ROUND(E131*G122,4)</f>
        <v>0.74160000000000004</v>
      </c>
      <c r="H131" s="2">
        <v>1554.2</v>
      </c>
      <c r="I131" s="2"/>
      <c r="J131" s="2">
        <f>ROUND(G131*H131,2)</f>
        <v>1152.5899999999999</v>
      </c>
      <c r="K131" s="2">
        <v>8.61</v>
      </c>
      <c r="L131" s="47">
        <f>ROUND(J131*K131,2)</f>
        <v>9923.7999999999993</v>
      </c>
    </row>
    <row r="132" spans="1:18" x14ac:dyDescent="0.2">
      <c r="A132" s="12"/>
      <c r="B132" s="18"/>
      <c r="C132" s="18" t="str">
        <f>"Объём: "&amp;E131&amp;"*"&amp;G122</f>
        <v>Объём: 1,03*0,72</v>
      </c>
      <c r="D132" s="18"/>
      <c r="E132" s="18"/>
      <c r="F132" s="18"/>
      <c r="G132" s="18"/>
      <c r="H132" s="18"/>
      <c r="I132" s="18"/>
      <c r="J132" s="18"/>
      <c r="K132" s="18"/>
      <c r="L132" s="45"/>
    </row>
    <row r="133" spans="1:18" ht="22.5" x14ac:dyDescent="0.2">
      <c r="A133" s="12"/>
      <c r="B133" s="13" t="s">
        <v>39</v>
      </c>
      <c r="C133" s="14" t="str">
        <f>" Накладные расходы 147%"&amp;"     "&amp;G133&amp;"*(от "&amp;L123&amp;"+"&amp;L125&amp;")/100"</f>
        <v xml:space="preserve"> Накладные расходы 147%     147*(от 0+160,06)/100</v>
      </c>
      <c r="D133" s="15" t="s">
        <v>40</v>
      </c>
      <c r="E133" s="16">
        <v>147</v>
      </c>
      <c r="F133" s="2"/>
      <c r="G133" s="2">
        <v>147</v>
      </c>
      <c r="H133" s="17"/>
      <c r="I133" s="17"/>
      <c r="J133" s="17">
        <f>ROUND(G133*(J123+J125)/100,2)</f>
        <v>7.57</v>
      </c>
      <c r="K133" s="18"/>
      <c r="L133" s="47">
        <f>ROUND(G133*(L123+L125)/100,2)</f>
        <v>235.29</v>
      </c>
    </row>
    <row r="134" spans="1:18" ht="22.5" x14ac:dyDescent="0.2">
      <c r="A134" s="12"/>
      <c r="B134" s="13" t="s">
        <v>41</v>
      </c>
      <c r="C134" s="14" t="str">
        <f>" Сметная прибыль 134%"&amp;"     "&amp;G134&amp;"*(от "&amp;L123&amp;"+"&amp;L125&amp;")/100"</f>
        <v xml:space="preserve"> Сметная прибыль 134%     134*(от 0+160,06)/100</v>
      </c>
      <c r="D134" s="15" t="s">
        <v>40</v>
      </c>
      <c r="E134" s="16">
        <v>134</v>
      </c>
      <c r="F134" s="2"/>
      <c r="G134" s="2">
        <v>134</v>
      </c>
      <c r="H134" s="17"/>
      <c r="I134" s="17"/>
      <c r="J134" s="17">
        <f>ROUND(G134*(J123+J125)/100,2)</f>
        <v>6.9</v>
      </c>
      <c r="K134" s="18"/>
      <c r="L134" s="47">
        <f>ROUND(G134*(L123+L125)/100,2)</f>
        <v>214.48</v>
      </c>
    </row>
    <row r="135" spans="1:18" x14ac:dyDescent="0.2">
      <c r="A135" s="12"/>
      <c r="B135" s="13" t="s">
        <v>34</v>
      </c>
      <c r="C135" s="19" t="s">
        <v>42</v>
      </c>
      <c r="D135" s="15"/>
      <c r="E135" s="16"/>
      <c r="F135" s="2"/>
      <c r="G135" s="2"/>
      <c r="H135" s="17"/>
      <c r="I135" s="17"/>
      <c r="J135" s="20">
        <f>ROUND(J130+J131+J133+J134,2)</f>
        <v>1195.21</v>
      </c>
      <c r="K135" s="18"/>
      <c r="L135" s="46">
        <f>ROUND(L130+L131+L133+L134,2)</f>
        <v>10705.18</v>
      </c>
      <c r="O135">
        <v>2</v>
      </c>
    </row>
    <row r="136" spans="1:18" ht="33.75" x14ac:dyDescent="0.2">
      <c r="A136" s="4">
        <v>2</v>
      </c>
      <c r="B136" s="5" t="s">
        <v>59</v>
      </c>
      <c r="C136" s="6" t="s">
        <v>60</v>
      </c>
      <c r="D136" s="7" t="s">
        <v>61</v>
      </c>
      <c r="E136" s="8">
        <f>G136</f>
        <v>3.44</v>
      </c>
      <c r="F136" s="9"/>
      <c r="G136" s="10">
        <v>3.44</v>
      </c>
      <c r="H136" s="10">
        <v>5872.99</v>
      </c>
      <c r="I136" s="11"/>
      <c r="J136" s="10">
        <f>ROUND(G136*H136,2)</f>
        <v>20203.09</v>
      </c>
      <c r="K136" s="9"/>
      <c r="L136" s="44"/>
      <c r="N136">
        <v>1</v>
      </c>
      <c r="P136">
        <v>4374</v>
      </c>
      <c r="Q136">
        <v>7065</v>
      </c>
      <c r="R136">
        <v>66221</v>
      </c>
    </row>
    <row r="137" spans="1:18" x14ac:dyDescent="0.2">
      <c r="A137" s="12"/>
      <c r="B137" s="13" t="s">
        <v>16</v>
      </c>
      <c r="C137" s="14" t="s">
        <v>30</v>
      </c>
      <c r="D137" s="15"/>
      <c r="E137" s="16"/>
      <c r="F137" s="2"/>
      <c r="G137" s="2"/>
      <c r="H137" s="17">
        <v>212.48000000000002</v>
      </c>
      <c r="I137" s="17"/>
      <c r="J137" s="17">
        <f>ROUND(H137*G136,2)</f>
        <v>730.93</v>
      </c>
      <c r="K137" s="18">
        <v>31.08</v>
      </c>
      <c r="L137" s="45">
        <f>ROUND(J137*K137,2)</f>
        <v>22717.3</v>
      </c>
    </row>
    <row r="138" spans="1:18" x14ac:dyDescent="0.2">
      <c r="A138" s="12"/>
      <c r="B138" s="13" t="s">
        <v>17</v>
      </c>
      <c r="C138" s="14" t="s">
        <v>31</v>
      </c>
      <c r="D138" s="15"/>
      <c r="E138" s="16"/>
      <c r="F138" s="2"/>
      <c r="G138" s="2"/>
      <c r="H138" s="17">
        <v>5536.89</v>
      </c>
      <c r="I138" s="17"/>
      <c r="J138" s="17">
        <f>ROUND(H138*G136,2)</f>
        <v>19046.900000000001</v>
      </c>
      <c r="K138" s="18">
        <v>11.78</v>
      </c>
      <c r="L138" s="45">
        <f>ROUND(J138*K138,2)</f>
        <v>224372.48000000001</v>
      </c>
    </row>
    <row r="139" spans="1:18" x14ac:dyDescent="0.2">
      <c r="A139" s="12"/>
      <c r="B139" s="13" t="s">
        <v>18</v>
      </c>
      <c r="C139" s="14" t="s">
        <v>32</v>
      </c>
      <c r="D139" s="15"/>
      <c r="E139" s="16"/>
      <c r="F139" s="2"/>
      <c r="G139" s="2"/>
      <c r="H139" s="17">
        <v>284.69</v>
      </c>
      <c r="I139" s="17"/>
      <c r="J139" s="17">
        <f>ROUND(H139*G136,2)</f>
        <v>979.33</v>
      </c>
      <c r="K139" s="18">
        <v>31.08</v>
      </c>
      <c r="L139" s="45">
        <f>ROUND(J139*K139,2)</f>
        <v>30437.58</v>
      </c>
    </row>
    <row r="140" spans="1:18" x14ac:dyDescent="0.2">
      <c r="A140" s="12"/>
      <c r="B140" s="13" t="s">
        <v>19</v>
      </c>
      <c r="C140" s="14" t="s">
        <v>33</v>
      </c>
      <c r="D140" s="15"/>
      <c r="E140" s="16"/>
      <c r="F140" s="2"/>
      <c r="G140" s="2"/>
      <c r="H140" s="17">
        <v>123.62</v>
      </c>
      <c r="I140" s="17"/>
      <c r="J140" s="17">
        <f>ROUND(H140*G136,2)</f>
        <v>425.25</v>
      </c>
      <c r="K140" s="18">
        <v>8.61</v>
      </c>
      <c r="L140" s="45">
        <f>ROUND(J140*K140,2)</f>
        <v>3661.4</v>
      </c>
    </row>
    <row r="141" spans="1:18" x14ac:dyDescent="0.2">
      <c r="A141" s="12"/>
      <c r="B141" s="21" t="s">
        <v>62</v>
      </c>
      <c r="C141" s="18" t="s">
        <v>63</v>
      </c>
      <c r="D141" s="22" t="s">
        <v>53</v>
      </c>
      <c r="E141" s="22">
        <v>101</v>
      </c>
      <c r="F141" s="18"/>
      <c r="G141" s="21">
        <f>ROUND(E141*G136,2)</f>
        <v>347.44</v>
      </c>
      <c r="H141" s="18"/>
      <c r="I141" s="18"/>
      <c r="J141" s="18"/>
      <c r="K141" s="18"/>
      <c r="L141" s="45"/>
    </row>
    <row r="142" spans="1:18" x14ac:dyDescent="0.2">
      <c r="A142" s="12"/>
      <c r="B142" s="13" t="s">
        <v>34</v>
      </c>
      <c r="C142" s="14" t="s">
        <v>35</v>
      </c>
      <c r="D142" s="15" t="s">
        <v>36</v>
      </c>
      <c r="E142" s="16">
        <v>22</v>
      </c>
      <c r="F142" s="2"/>
      <c r="G142" s="2">
        <f>ROUND(E142*G136,2)</f>
        <v>75.680000000000007</v>
      </c>
      <c r="H142" s="17"/>
      <c r="I142" s="17"/>
      <c r="J142" s="17"/>
      <c r="K142" s="18"/>
      <c r="L142" s="45"/>
    </row>
    <row r="143" spans="1:18" x14ac:dyDescent="0.2">
      <c r="A143" s="12"/>
      <c r="B143" s="13" t="s">
        <v>34</v>
      </c>
      <c r="C143" s="14" t="s">
        <v>37</v>
      </c>
      <c r="D143" s="15" t="s">
        <v>36</v>
      </c>
      <c r="E143" s="16">
        <v>22</v>
      </c>
      <c r="F143" s="2"/>
      <c r="G143" s="2">
        <f>ROUND(E143*G136,2)</f>
        <v>75.680000000000007</v>
      </c>
      <c r="H143" s="17"/>
      <c r="I143" s="17"/>
      <c r="J143" s="17"/>
      <c r="K143" s="18"/>
      <c r="L143" s="45"/>
    </row>
    <row r="144" spans="1:18" x14ac:dyDescent="0.2">
      <c r="A144" s="12"/>
      <c r="B144" s="13" t="s">
        <v>34</v>
      </c>
      <c r="C144" s="19" t="s">
        <v>38</v>
      </c>
      <c r="D144" s="15"/>
      <c r="E144" s="16"/>
      <c r="F144" s="2"/>
      <c r="G144" s="2"/>
      <c r="H144" s="20">
        <f>ROUND(H137+H138+H140,2)</f>
        <v>5872.99</v>
      </c>
      <c r="I144" s="17"/>
      <c r="J144" s="20">
        <f>ROUND(J137+J138+J140,2)</f>
        <v>20203.080000000002</v>
      </c>
      <c r="K144" s="18"/>
      <c r="L144" s="46">
        <f>ROUND(L137+L138+L140,2)</f>
        <v>250751.18</v>
      </c>
    </row>
    <row r="145" spans="1:18" ht="22.5" x14ac:dyDescent="0.2">
      <c r="A145" s="23" t="s">
        <v>123</v>
      </c>
      <c r="B145" s="24" t="s">
        <v>119</v>
      </c>
      <c r="C145" s="25" t="s">
        <v>135</v>
      </c>
      <c r="D145" s="15" t="s">
        <v>53</v>
      </c>
      <c r="E145" s="16">
        <v>101</v>
      </c>
      <c r="F145" s="2"/>
      <c r="G145" s="2">
        <f>ROUND(E145*G136,1)</f>
        <v>347.4</v>
      </c>
      <c r="H145" s="2">
        <f>ROUND(451.06*U23,2)</f>
        <v>589.82000000000005</v>
      </c>
      <c r="I145" s="2"/>
      <c r="J145" s="2">
        <f>ROUND(G145*H145,2)</f>
        <v>204903.47</v>
      </c>
      <c r="K145" s="2">
        <v>8.61</v>
      </c>
      <c r="L145" s="47">
        <f>ROUND(J145*K145,2)</f>
        <v>1764218.8799999999</v>
      </c>
    </row>
    <row r="146" spans="1:18" x14ac:dyDescent="0.2">
      <c r="A146" s="12"/>
      <c r="B146" s="18"/>
      <c r="C146" s="18" t="str">
        <f>"Объём: "&amp;E145&amp;"*"&amp;G136</f>
        <v>Объём: 101*3,44</v>
      </c>
      <c r="D146" s="18"/>
      <c r="E146" s="18"/>
      <c r="F146" s="18"/>
      <c r="G146" s="18"/>
      <c r="H146" s="18"/>
      <c r="I146" s="18"/>
      <c r="J146" s="18"/>
      <c r="K146" s="18"/>
      <c r="L146" s="45"/>
    </row>
    <row r="147" spans="1:18" ht="22.5" x14ac:dyDescent="0.2">
      <c r="A147" s="12"/>
      <c r="B147" s="13" t="s">
        <v>39</v>
      </c>
      <c r="C147" s="14" t="str">
        <f>" Накладные расходы 147%"&amp;"     "&amp;G147&amp;"*(от "&amp;L137&amp;"+"&amp;L139&amp;")/100"</f>
        <v xml:space="preserve"> Накладные расходы 147%     147*(от 22717,3+30437,58)/100</v>
      </c>
      <c r="D147" s="15" t="s">
        <v>40</v>
      </c>
      <c r="E147" s="16">
        <v>147</v>
      </c>
      <c r="F147" s="2"/>
      <c r="G147" s="2">
        <v>147</v>
      </c>
      <c r="H147" s="17"/>
      <c r="I147" s="17"/>
      <c r="J147" s="17">
        <f>ROUND(G147*(J137+J139)/100,2)</f>
        <v>2514.08</v>
      </c>
      <c r="K147" s="18"/>
      <c r="L147" s="47">
        <f>ROUND(G147*(L137+L139)/100,2)</f>
        <v>78137.67</v>
      </c>
    </row>
    <row r="148" spans="1:18" ht="22.5" x14ac:dyDescent="0.2">
      <c r="A148" s="12"/>
      <c r="B148" s="13" t="s">
        <v>41</v>
      </c>
      <c r="C148" s="14" t="str">
        <f>" Сметная прибыль 134%"&amp;"     "&amp;G148&amp;"*(от "&amp;L137&amp;"+"&amp;L139&amp;")/100"</f>
        <v xml:space="preserve"> Сметная прибыль 134%     134*(от 22717,3+30437,58)/100</v>
      </c>
      <c r="D148" s="15" t="s">
        <v>40</v>
      </c>
      <c r="E148" s="16">
        <v>134</v>
      </c>
      <c r="F148" s="2"/>
      <c r="G148" s="2">
        <v>134</v>
      </c>
      <c r="H148" s="17"/>
      <c r="I148" s="17"/>
      <c r="J148" s="17">
        <f>ROUND(G148*(J137+J139)/100,2)</f>
        <v>2291.75</v>
      </c>
      <c r="K148" s="18"/>
      <c r="L148" s="47">
        <f>ROUND(G148*(L137+L139)/100,2)</f>
        <v>71227.539999999994</v>
      </c>
    </row>
    <row r="149" spans="1:18" x14ac:dyDescent="0.2">
      <c r="A149" s="12"/>
      <c r="B149" s="13" t="s">
        <v>34</v>
      </c>
      <c r="C149" s="19" t="s">
        <v>42</v>
      </c>
      <c r="D149" s="15"/>
      <c r="E149" s="16"/>
      <c r="F149" s="2"/>
      <c r="G149" s="2"/>
      <c r="H149" s="17"/>
      <c r="I149" s="17"/>
      <c r="J149" s="20">
        <f>ROUND(J144+J145+J147+J148,2)</f>
        <v>229912.38</v>
      </c>
      <c r="K149" s="18"/>
      <c r="L149" s="46">
        <f>ROUND(L144+L145+L147+L148,2)</f>
        <v>2164335.27</v>
      </c>
      <c r="O149">
        <v>2</v>
      </c>
    </row>
    <row r="150" spans="1:18" ht="45" x14ac:dyDescent="0.2">
      <c r="A150" s="4">
        <v>3</v>
      </c>
      <c r="B150" s="5" t="s">
        <v>98</v>
      </c>
      <c r="C150" s="6" t="s">
        <v>120</v>
      </c>
      <c r="D150" s="7" t="s">
        <v>52</v>
      </c>
      <c r="E150" s="8">
        <f>G150</f>
        <v>2.4</v>
      </c>
      <c r="F150" s="9"/>
      <c r="G150" s="10">
        <v>2.4</v>
      </c>
      <c r="H150" s="10">
        <v>5721.76</v>
      </c>
      <c r="I150" s="11"/>
      <c r="J150" s="10">
        <f>ROUND(G150*H150,2)</f>
        <v>13732.22</v>
      </c>
      <c r="K150" s="9"/>
      <c r="L150" s="44"/>
      <c r="N150">
        <v>1</v>
      </c>
      <c r="P150">
        <v>4374</v>
      </c>
      <c r="Q150">
        <v>7065</v>
      </c>
      <c r="R150">
        <v>66223</v>
      </c>
    </row>
    <row r="151" spans="1:18" x14ac:dyDescent="0.2">
      <c r="A151" s="12"/>
      <c r="B151" s="13" t="s">
        <v>16</v>
      </c>
      <c r="C151" s="14" t="s">
        <v>30</v>
      </c>
      <c r="D151" s="15"/>
      <c r="E151" s="16"/>
      <c r="F151" s="2"/>
      <c r="G151" s="2"/>
      <c r="H151" s="17">
        <v>154.49</v>
      </c>
      <c r="I151" s="17"/>
      <c r="J151" s="17">
        <f>ROUND(H151*G150,2)</f>
        <v>370.78</v>
      </c>
      <c r="K151" s="18">
        <v>31.08</v>
      </c>
      <c r="L151" s="45">
        <f>ROUND(J151*K151,2)</f>
        <v>11523.84</v>
      </c>
    </row>
    <row r="152" spans="1:18" x14ac:dyDescent="0.2">
      <c r="A152" s="12"/>
      <c r="B152" s="13" t="s">
        <v>17</v>
      </c>
      <c r="C152" s="14" t="s">
        <v>31</v>
      </c>
      <c r="D152" s="15"/>
      <c r="E152" s="16"/>
      <c r="F152" s="2"/>
      <c r="G152" s="2"/>
      <c r="H152" s="17">
        <v>4510.84</v>
      </c>
      <c r="I152" s="17"/>
      <c r="J152" s="17">
        <f>ROUND(H152*G150,2)</f>
        <v>10826.02</v>
      </c>
      <c r="K152" s="18">
        <v>11.78</v>
      </c>
      <c r="L152" s="45">
        <f>ROUND(J152*K152,2)</f>
        <v>127530.52</v>
      </c>
    </row>
    <row r="153" spans="1:18" x14ac:dyDescent="0.2">
      <c r="A153" s="12"/>
      <c r="B153" s="13" t="s">
        <v>18</v>
      </c>
      <c r="C153" s="14" t="s">
        <v>32</v>
      </c>
      <c r="D153" s="15"/>
      <c r="E153" s="16"/>
      <c r="F153" s="2"/>
      <c r="G153" s="2"/>
      <c r="H153" s="17">
        <v>101.52</v>
      </c>
      <c r="I153" s="17"/>
      <c r="J153" s="17">
        <f>ROUND(H153*G150,2)</f>
        <v>243.65</v>
      </c>
      <c r="K153" s="18">
        <v>31.08</v>
      </c>
      <c r="L153" s="45">
        <f>ROUND(J153*K153,2)</f>
        <v>7572.64</v>
      </c>
    </row>
    <row r="154" spans="1:18" x14ac:dyDescent="0.2">
      <c r="A154" s="12"/>
      <c r="B154" s="13" t="s">
        <v>19</v>
      </c>
      <c r="C154" s="14" t="s">
        <v>33</v>
      </c>
      <c r="D154" s="15"/>
      <c r="E154" s="16"/>
      <c r="F154" s="2"/>
      <c r="G154" s="2"/>
      <c r="H154" s="17">
        <v>1056.43</v>
      </c>
      <c r="I154" s="17"/>
      <c r="J154" s="17">
        <f>ROUND(H154*G150,2)</f>
        <v>2535.4299999999998</v>
      </c>
      <c r="K154" s="18">
        <v>8.61</v>
      </c>
      <c r="L154" s="45">
        <f>ROUND(J154*K154,2)</f>
        <v>21830.05</v>
      </c>
    </row>
    <row r="155" spans="1:18" x14ac:dyDescent="0.2">
      <c r="A155" s="12"/>
      <c r="B155" s="21" t="s">
        <v>62</v>
      </c>
      <c r="C155" s="18" t="s">
        <v>63</v>
      </c>
      <c r="D155" s="22" t="s">
        <v>53</v>
      </c>
      <c r="E155" s="22" t="s">
        <v>47</v>
      </c>
      <c r="F155" s="18"/>
      <c r="G155" s="21" t="s">
        <v>47</v>
      </c>
      <c r="H155" s="18"/>
      <c r="I155" s="18"/>
      <c r="J155" s="18"/>
      <c r="K155" s="18"/>
      <c r="L155" s="45"/>
    </row>
    <row r="156" spans="1:18" x14ac:dyDescent="0.2">
      <c r="A156" s="12"/>
      <c r="B156" s="13" t="s">
        <v>34</v>
      </c>
      <c r="C156" s="14" t="s">
        <v>35</v>
      </c>
      <c r="D156" s="15" t="s">
        <v>36</v>
      </c>
      <c r="E156" s="16">
        <v>17</v>
      </c>
      <c r="F156" s="2"/>
      <c r="G156" s="2">
        <f>ROUND(E156*G150,2)</f>
        <v>40.799999999999997</v>
      </c>
      <c r="H156" s="17"/>
      <c r="I156" s="17"/>
      <c r="J156" s="17"/>
      <c r="K156" s="18"/>
      <c r="L156" s="45"/>
    </row>
    <row r="157" spans="1:18" x14ac:dyDescent="0.2">
      <c r="A157" s="12"/>
      <c r="B157" s="13" t="s">
        <v>34</v>
      </c>
      <c r="C157" s="14" t="s">
        <v>37</v>
      </c>
      <c r="D157" s="15" t="s">
        <v>36</v>
      </c>
      <c r="E157" s="16">
        <v>8</v>
      </c>
      <c r="F157" s="2"/>
      <c r="G157" s="2">
        <f>ROUND(E157*G150,2)</f>
        <v>19.2</v>
      </c>
      <c r="H157" s="17"/>
      <c r="I157" s="17"/>
      <c r="J157" s="17"/>
      <c r="K157" s="18"/>
      <c r="L157" s="45"/>
    </row>
    <row r="158" spans="1:18" x14ac:dyDescent="0.2">
      <c r="A158" s="12"/>
      <c r="B158" s="13" t="s">
        <v>34</v>
      </c>
      <c r="C158" s="19" t="s">
        <v>38</v>
      </c>
      <c r="D158" s="15"/>
      <c r="E158" s="16"/>
      <c r="F158" s="2"/>
      <c r="G158" s="2"/>
      <c r="H158" s="20">
        <f>ROUND(H151+H152+H154,2)</f>
        <v>5721.76</v>
      </c>
      <c r="I158" s="17"/>
      <c r="J158" s="20">
        <f>ROUND(J151+J152+J154,2)</f>
        <v>13732.23</v>
      </c>
      <c r="K158" s="18"/>
      <c r="L158" s="46">
        <f>ROUND(L151+L152+L154,2)</f>
        <v>160884.41</v>
      </c>
    </row>
    <row r="159" spans="1:18" ht="22.5" x14ac:dyDescent="0.2">
      <c r="A159" s="23" t="s">
        <v>124</v>
      </c>
      <c r="B159" s="24" t="s">
        <v>99</v>
      </c>
      <c r="C159" s="25" t="s">
        <v>136</v>
      </c>
      <c r="D159" s="15" t="s">
        <v>53</v>
      </c>
      <c r="E159" s="16">
        <v>96.600000000000009</v>
      </c>
      <c r="F159" s="2"/>
      <c r="G159" s="2">
        <f>ROUND(E159*G150,1)</f>
        <v>231.8</v>
      </c>
      <c r="H159" s="2">
        <f>ROUND(491.01*U23,2)</f>
        <v>642.04999999999995</v>
      </c>
      <c r="I159" s="2"/>
      <c r="J159" s="2">
        <f>ROUND(G159*H159,2)</f>
        <v>148827.19</v>
      </c>
      <c r="K159" s="2">
        <v>8.61</v>
      </c>
      <c r="L159" s="47">
        <f>ROUND(J159*K159,2)</f>
        <v>1281402.1100000001</v>
      </c>
    </row>
    <row r="160" spans="1:18" x14ac:dyDescent="0.2">
      <c r="A160" s="12"/>
      <c r="B160" s="18"/>
      <c r="C160" s="18" t="str">
        <f>"Объём: "&amp;E159&amp;"*"&amp;G150</f>
        <v>Объём: 96,6*2,4</v>
      </c>
      <c r="D160" s="18"/>
      <c r="E160" s="18"/>
      <c r="F160" s="18"/>
      <c r="G160" s="18"/>
      <c r="H160" s="18"/>
      <c r="I160" s="18"/>
      <c r="J160" s="18"/>
      <c r="K160" s="18"/>
      <c r="L160" s="45"/>
    </row>
    <row r="161" spans="1:18" ht="22.5" x14ac:dyDescent="0.2">
      <c r="A161" s="12"/>
      <c r="B161" s="13" t="s">
        <v>39</v>
      </c>
      <c r="C161" s="14" t="str">
        <f>" Накладные расходы 147%"&amp;"     "&amp;G161&amp;"*(от "&amp;L151&amp;"+"&amp;L153&amp;")/100"</f>
        <v xml:space="preserve"> Накладные расходы 147%     147*(от 11523,84+7572,64)/100</v>
      </c>
      <c r="D161" s="15" t="s">
        <v>40</v>
      </c>
      <c r="E161" s="16">
        <v>147</v>
      </c>
      <c r="F161" s="2"/>
      <c r="G161" s="2">
        <v>147</v>
      </c>
      <c r="H161" s="17"/>
      <c r="I161" s="17"/>
      <c r="J161" s="17">
        <f>ROUND(G161*(J151+J153)/100,2)</f>
        <v>903.21</v>
      </c>
      <c r="K161" s="18"/>
      <c r="L161" s="47">
        <f>ROUND(G161*(L151+L153)/100,2)</f>
        <v>28071.83</v>
      </c>
    </row>
    <row r="162" spans="1:18" ht="22.5" x14ac:dyDescent="0.2">
      <c r="A162" s="12"/>
      <c r="B162" s="13" t="s">
        <v>41</v>
      </c>
      <c r="C162" s="14" t="str">
        <f>" Сметная прибыль 134%"&amp;"     "&amp;G162&amp;"*(от "&amp;L151&amp;"+"&amp;L153&amp;")/100"</f>
        <v xml:space="preserve"> Сметная прибыль 134%     134*(от 11523,84+7572,64)/100</v>
      </c>
      <c r="D162" s="15" t="s">
        <v>40</v>
      </c>
      <c r="E162" s="16">
        <v>134</v>
      </c>
      <c r="F162" s="2"/>
      <c r="G162" s="2">
        <v>134</v>
      </c>
      <c r="H162" s="17"/>
      <c r="I162" s="17"/>
      <c r="J162" s="17">
        <f>ROUND(G162*(J151+J153)/100,2)</f>
        <v>823.34</v>
      </c>
      <c r="K162" s="18"/>
      <c r="L162" s="47">
        <f>ROUND(G162*(L151+L153)/100,2)</f>
        <v>25589.279999999999</v>
      </c>
    </row>
    <row r="163" spans="1:18" x14ac:dyDescent="0.2">
      <c r="A163" s="26"/>
      <c r="B163" s="27" t="s">
        <v>34</v>
      </c>
      <c r="C163" s="28" t="s">
        <v>42</v>
      </c>
      <c r="D163" s="29"/>
      <c r="E163" s="30"/>
      <c r="F163" s="31"/>
      <c r="G163" s="31"/>
      <c r="H163" s="32"/>
      <c r="I163" s="32"/>
      <c r="J163" s="33">
        <f>ROUND(J158+J159+J161+J162,2)</f>
        <v>164285.97</v>
      </c>
      <c r="K163" s="50"/>
      <c r="L163" s="51">
        <f>ROUND(L158+L159+L161+L162,2)</f>
        <v>1495947.63</v>
      </c>
      <c r="O163">
        <v>2</v>
      </c>
    </row>
    <row r="164" spans="1:18" x14ac:dyDescent="0.2">
      <c r="A164" s="76" t="s">
        <v>66</v>
      </c>
      <c r="B164" s="77"/>
      <c r="C164" s="77"/>
      <c r="D164" s="77"/>
      <c r="E164" s="77"/>
      <c r="F164" s="77"/>
      <c r="G164" s="77"/>
      <c r="H164" s="77"/>
      <c r="I164" s="77"/>
      <c r="J164" s="79">
        <f>J135+J149+J163</f>
        <v>395393.56</v>
      </c>
      <c r="K164" s="18"/>
      <c r="L164" s="81">
        <f>L135+L149+L163</f>
        <v>3670988.08</v>
      </c>
    </row>
    <row r="165" spans="1:18" x14ac:dyDescent="0.2">
      <c r="A165" s="76"/>
      <c r="B165" s="77"/>
      <c r="C165" s="77"/>
      <c r="D165" s="77"/>
      <c r="E165" s="77"/>
      <c r="F165" s="77"/>
      <c r="G165" s="77"/>
      <c r="H165" s="77"/>
      <c r="I165" s="77"/>
      <c r="J165" s="79"/>
      <c r="K165" s="18"/>
      <c r="L165" s="81"/>
    </row>
    <row r="166" spans="1:18" x14ac:dyDescent="0.2">
      <c r="A166" s="117" t="s">
        <v>125</v>
      </c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9"/>
    </row>
    <row r="167" spans="1:18" ht="33.75" x14ac:dyDescent="0.2">
      <c r="A167" s="4">
        <v>1</v>
      </c>
      <c r="B167" s="5" t="s">
        <v>44</v>
      </c>
      <c r="C167" s="6" t="s">
        <v>126</v>
      </c>
      <c r="D167" s="7" t="s">
        <v>46</v>
      </c>
      <c r="E167" s="8">
        <f>G167</f>
        <v>0.52</v>
      </c>
      <c r="F167" s="9"/>
      <c r="G167" s="10">
        <v>0.52</v>
      </c>
      <c r="H167" s="10">
        <v>5459.07</v>
      </c>
      <c r="I167" s="11"/>
      <c r="J167" s="10">
        <f>ROUND(G167*H167,2)</f>
        <v>2838.72</v>
      </c>
      <c r="K167" s="9"/>
      <c r="L167" s="44"/>
      <c r="N167">
        <v>1</v>
      </c>
      <c r="P167">
        <v>4375</v>
      </c>
      <c r="Q167">
        <v>7066</v>
      </c>
      <c r="R167">
        <v>66225</v>
      </c>
    </row>
    <row r="168" spans="1:18" x14ac:dyDescent="0.2">
      <c r="A168" s="12"/>
      <c r="B168" s="13" t="s">
        <v>16</v>
      </c>
      <c r="C168" s="14" t="s">
        <v>30</v>
      </c>
      <c r="D168" s="15"/>
      <c r="E168" s="16"/>
      <c r="F168" s="2"/>
      <c r="G168" s="2"/>
      <c r="H168" s="17">
        <v>173.23</v>
      </c>
      <c r="I168" s="17"/>
      <c r="J168" s="17">
        <f>ROUND(H168*G167,2)</f>
        <v>90.08</v>
      </c>
      <c r="K168" s="18">
        <v>31.08</v>
      </c>
      <c r="L168" s="45">
        <f>ROUND(J168*K168,2)</f>
        <v>2799.69</v>
      </c>
    </row>
    <row r="169" spans="1:18" x14ac:dyDescent="0.2">
      <c r="A169" s="12"/>
      <c r="B169" s="13" t="s">
        <v>17</v>
      </c>
      <c r="C169" s="14" t="s">
        <v>31</v>
      </c>
      <c r="D169" s="15"/>
      <c r="E169" s="16"/>
      <c r="F169" s="2"/>
      <c r="G169" s="2"/>
      <c r="H169" s="17">
        <v>5268.76</v>
      </c>
      <c r="I169" s="17"/>
      <c r="J169" s="17">
        <f>ROUND(H169*G167,2)</f>
        <v>2739.76</v>
      </c>
      <c r="K169" s="18">
        <v>11.78</v>
      </c>
      <c r="L169" s="45">
        <f>ROUND(J169*K169,2)</f>
        <v>32274.37</v>
      </c>
    </row>
    <row r="170" spans="1:18" x14ac:dyDescent="0.2">
      <c r="A170" s="12"/>
      <c r="B170" s="13" t="s">
        <v>18</v>
      </c>
      <c r="C170" s="14" t="s">
        <v>32</v>
      </c>
      <c r="D170" s="15"/>
      <c r="E170" s="16"/>
      <c r="F170" s="2"/>
      <c r="G170" s="2"/>
      <c r="H170" s="17">
        <v>267.67</v>
      </c>
      <c r="I170" s="17"/>
      <c r="J170" s="17">
        <f>ROUND(H170*G167,2)</f>
        <v>139.19</v>
      </c>
      <c r="K170" s="18">
        <v>31.08</v>
      </c>
      <c r="L170" s="45">
        <f>ROUND(J170*K170,2)</f>
        <v>4326.03</v>
      </c>
    </row>
    <row r="171" spans="1:18" x14ac:dyDescent="0.2">
      <c r="A171" s="12"/>
      <c r="B171" s="13" t="s">
        <v>19</v>
      </c>
      <c r="C171" s="14" t="s">
        <v>33</v>
      </c>
      <c r="D171" s="15"/>
      <c r="E171" s="16"/>
      <c r="F171" s="2"/>
      <c r="G171" s="2"/>
      <c r="H171" s="17">
        <v>17.080000000000002</v>
      </c>
      <c r="I171" s="17"/>
      <c r="J171" s="17">
        <f>ROUND(H171*G167,2)</f>
        <v>8.8800000000000008</v>
      </c>
      <c r="K171" s="18">
        <v>8.61</v>
      </c>
      <c r="L171" s="45">
        <f>ROUND(J171*K171,2)</f>
        <v>76.459999999999994</v>
      </c>
    </row>
    <row r="172" spans="1:18" x14ac:dyDescent="0.2">
      <c r="A172" s="12"/>
      <c r="B172" s="21" t="s">
        <v>48</v>
      </c>
      <c r="C172" s="18" t="s">
        <v>49</v>
      </c>
      <c r="D172" s="22" t="s">
        <v>50</v>
      </c>
      <c r="E172" s="22" t="s">
        <v>47</v>
      </c>
      <c r="F172" s="18"/>
      <c r="G172" s="21" t="s">
        <v>47</v>
      </c>
      <c r="H172" s="18"/>
      <c r="I172" s="18"/>
      <c r="J172" s="18"/>
      <c r="K172" s="18"/>
      <c r="L172" s="45"/>
    </row>
    <row r="173" spans="1:18" x14ac:dyDescent="0.2">
      <c r="A173" s="12"/>
      <c r="B173" s="13" t="s">
        <v>34</v>
      </c>
      <c r="C173" s="14" t="s">
        <v>35</v>
      </c>
      <c r="D173" s="15" t="s">
        <v>36</v>
      </c>
      <c r="E173" s="16">
        <v>22</v>
      </c>
      <c r="F173" s="2"/>
      <c r="G173" s="2">
        <f>ROUND(E173*G167,2)</f>
        <v>11.44</v>
      </c>
      <c r="H173" s="17"/>
      <c r="I173" s="17"/>
      <c r="J173" s="17"/>
      <c r="K173" s="18"/>
      <c r="L173" s="45"/>
    </row>
    <row r="174" spans="1:18" x14ac:dyDescent="0.2">
      <c r="A174" s="12"/>
      <c r="B174" s="13" t="s">
        <v>34</v>
      </c>
      <c r="C174" s="14" t="s">
        <v>37</v>
      </c>
      <c r="D174" s="15" t="s">
        <v>36</v>
      </c>
      <c r="E174" s="16">
        <v>21</v>
      </c>
      <c r="F174" s="2"/>
      <c r="G174" s="2">
        <f>ROUND(E174*G167,2)</f>
        <v>10.92</v>
      </c>
      <c r="H174" s="17"/>
      <c r="I174" s="17"/>
      <c r="J174" s="17"/>
      <c r="K174" s="18"/>
      <c r="L174" s="45"/>
    </row>
    <row r="175" spans="1:18" x14ac:dyDescent="0.2">
      <c r="A175" s="12"/>
      <c r="B175" s="13" t="s">
        <v>34</v>
      </c>
      <c r="C175" s="19" t="s">
        <v>38</v>
      </c>
      <c r="D175" s="15"/>
      <c r="E175" s="16"/>
      <c r="F175" s="2"/>
      <c r="G175" s="2"/>
      <c r="H175" s="20">
        <f>ROUND(H168+H169+H171,2)</f>
        <v>5459.07</v>
      </c>
      <c r="I175" s="17"/>
      <c r="J175" s="20">
        <f>ROUND(J168+J169+J171,2)</f>
        <v>2838.72</v>
      </c>
      <c r="K175" s="18"/>
      <c r="L175" s="46">
        <f>ROUND(L168+L169+L171,2)</f>
        <v>35150.519999999997</v>
      </c>
    </row>
    <row r="176" spans="1:18" ht="22.5" x14ac:dyDescent="0.2">
      <c r="A176" s="12"/>
      <c r="B176" s="13" t="s">
        <v>39</v>
      </c>
      <c r="C176" s="14" t="str">
        <f>" Накладные расходы 147%"&amp;"     "&amp;G176&amp;"*(от "&amp;L168&amp;"+"&amp;L170&amp;")/100"</f>
        <v xml:space="preserve"> Накладные расходы 147%     147*(от 2799,69+4326,03)/100</v>
      </c>
      <c r="D176" s="15" t="s">
        <v>40</v>
      </c>
      <c r="E176" s="16">
        <v>147</v>
      </c>
      <c r="F176" s="2"/>
      <c r="G176" s="2">
        <v>147</v>
      </c>
      <c r="H176" s="17"/>
      <c r="I176" s="17"/>
      <c r="J176" s="17">
        <f>ROUND(G176*(J168+J170)/100,2)</f>
        <v>337.03</v>
      </c>
      <c r="K176" s="18"/>
      <c r="L176" s="47">
        <f>ROUND(G176*(L168+L170)/100,2)</f>
        <v>10474.81</v>
      </c>
    </row>
    <row r="177" spans="1:18" ht="22.5" x14ac:dyDescent="0.2">
      <c r="A177" s="12"/>
      <c r="B177" s="13" t="s">
        <v>41</v>
      </c>
      <c r="C177" s="14" t="str">
        <f>" Сметная прибыль 134%"&amp;"     "&amp;G177&amp;"*(от "&amp;L168&amp;"+"&amp;L170&amp;")/100"</f>
        <v xml:space="preserve"> Сметная прибыль 134%     134*(от 2799,69+4326,03)/100</v>
      </c>
      <c r="D177" s="15" t="s">
        <v>40</v>
      </c>
      <c r="E177" s="16">
        <v>134</v>
      </c>
      <c r="F177" s="2"/>
      <c r="G177" s="2">
        <v>134</v>
      </c>
      <c r="H177" s="17"/>
      <c r="I177" s="17"/>
      <c r="J177" s="17">
        <f>ROUND(G177*(J168+J170)/100,2)</f>
        <v>307.22000000000003</v>
      </c>
      <c r="K177" s="18"/>
      <c r="L177" s="47">
        <f>ROUND(G177*(L168+L170)/100,2)</f>
        <v>9548.4599999999991</v>
      </c>
    </row>
    <row r="178" spans="1:18" x14ac:dyDescent="0.2">
      <c r="A178" s="12"/>
      <c r="B178" s="13" t="s">
        <v>34</v>
      </c>
      <c r="C178" s="19" t="s">
        <v>42</v>
      </c>
      <c r="D178" s="15"/>
      <c r="E178" s="16"/>
      <c r="F178" s="2"/>
      <c r="G178" s="2"/>
      <c r="H178" s="17"/>
      <c r="I178" s="17"/>
      <c r="J178" s="20">
        <f>ROUND(J175+J176+J177,2)</f>
        <v>3482.97</v>
      </c>
      <c r="K178" s="18"/>
      <c r="L178" s="46">
        <f>ROUND(L175+L176+L177,2)</f>
        <v>55173.79</v>
      </c>
      <c r="O178">
        <v>2</v>
      </c>
    </row>
    <row r="179" spans="1:18" ht="22.5" x14ac:dyDescent="0.2">
      <c r="A179" s="4">
        <v>2</v>
      </c>
      <c r="B179" s="5" t="s">
        <v>54</v>
      </c>
      <c r="C179" s="6" t="s">
        <v>116</v>
      </c>
      <c r="D179" s="7" t="s">
        <v>53</v>
      </c>
      <c r="E179" s="8">
        <f>G179</f>
        <v>0.156</v>
      </c>
      <c r="F179" s="9"/>
      <c r="G179" s="10">
        <v>0.156</v>
      </c>
      <c r="H179" s="10">
        <v>39.1</v>
      </c>
      <c r="I179" s="11"/>
      <c r="J179" s="10">
        <f>ROUND(G179*H179,2)</f>
        <v>6.1</v>
      </c>
      <c r="K179" s="9"/>
      <c r="L179" s="44"/>
      <c r="N179">
        <v>1</v>
      </c>
      <c r="P179">
        <v>4375</v>
      </c>
      <c r="Q179">
        <v>7066</v>
      </c>
      <c r="R179">
        <v>66227</v>
      </c>
    </row>
    <row r="180" spans="1:18" ht="12.75" hidden="1" customHeight="1" x14ac:dyDescent="0.2">
      <c r="A180" s="12"/>
      <c r="B180" s="13" t="s">
        <v>16</v>
      </c>
      <c r="C180" s="14" t="s">
        <v>30</v>
      </c>
      <c r="D180" s="15"/>
      <c r="E180" s="16"/>
      <c r="F180" s="2"/>
      <c r="G180" s="2"/>
      <c r="H180" s="17">
        <v>0</v>
      </c>
      <c r="I180" s="17"/>
      <c r="J180" s="17">
        <f>ROUND(H180*G179,2)</f>
        <v>0</v>
      </c>
      <c r="K180" s="18">
        <v>31.08</v>
      </c>
      <c r="L180" s="45">
        <f>ROUND(J180*K180,2)</f>
        <v>0</v>
      </c>
    </row>
    <row r="181" spans="1:18" x14ac:dyDescent="0.2">
      <c r="A181" s="12"/>
      <c r="B181" s="13" t="s">
        <v>17</v>
      </c>
      <c r="C181" s="14" t="s">
        <v>31</v>
      </c>
      <c r="D181" s="15"/>
      <c r="E181" s="16"/>
      <c r="F181" s="2"/>
      <c r="G181" s="2"/>
      <c r="H181" s="17">
        <v>39.1</v>
      </c>
      <c r="I181" s="17"/>
      <c r="J181" s="17">
        <f>ROUND(H181*G179,2)</f>
        <v>6.1</v>
      </c>
      <c r="K181" s="18">
        <v>11.78</v>
      </c>
      <c r="L181" s="45">
        <f>ROUND(J181*K181,2)</f>
        <v>71.86</v>
      </c>
    </row>
    <row r="182" spans="1:18" x14ac:dyDescent="0.2">
      <c r="A182" s="12"/>
      <c r="B182" s="13" t="s">
        <v>18</v>
      </c>
      <c r="C182" s="14" t="s">
        <v>32</v>
      </c>
      <c r="D182" s="15"/>
      <c r="E182" s="16"/>
      <c r="F182" s="2"/>
      <c r="G182" s="2"/>
      <c r="H182" s="17">
        <v>7.15</v>
      </c>
      <c r="I182" s="17"/>
      <c r="J182" s="17">
        <f>ROUND(H182*G179,2)</f>
        <v>1.1200000000000001</v>
      </c>
      <c r="K182" s="18">
        <v>31.08</v>
      </c>
      <c r="L182" s="45">
        <f>ROUND(J182*K182,2)</f>
        <v>34.81</v>
      </c>
    </row>
    <row r="183" spans="1:18" ht="12.75" hidden="1" customHeight="1" x14ac:dyDescent="0.2">
      <c r="A183" s="12"/>
      <c r="B183" s="13" t="s">
        <v>19</v>
      </c>
      <c r="C183" s="14" t="s">
        <v>33</v>
      </c>
      <c r="D183" s="15"/>
      <c r="E183" s="16"/>
      <c r="F183" s="2"/>
      <c r="G183" s="2"/>
      <c r="H183" s="17">
        <v>0</v>
      </c>
      <c r="I183" s="17"/>
      <c r="J183" s="17">
        <f>ROUND(H183*G179,2)</f>
        <v>0</v>
      </c>
      <c r="K183" s="18">
        <v>8.61</v>
      </c>
      <c r="L183" s="45">
        <f>ROUND(J183*K183,2)</f>
        <v>0</v>
      </c>
    </row>
    <row r="184" spans="1:18" x14ac:dyDescent="0.2">
      <c r="A184" s="12"/>
      <c r="B184" s="21" t="s">
        <v>55</v>
      </c>
      <c r="C184" s="18" t="s">
        <v>56</v>
      </c>
      <c r="D184" s="22" t="s">
        <v>53</v>
      </c>
      <c r="E184" s="22">
        <v>1.03</v>
      </c>
      <c r="F184" s="18"/>
      <c r="G184" s="21">
        <f>ROUND(E184*G179,2)</f>
        <v>0.16</v>
      </c>
      <c r="H184" s="18"/>
      <c r="I184" s="18"/>
      <c r="J184" s="18"/>
      <c r="K184" s="18"/>
      <c r="L184" s="45"/>
    </row>
    <row r="185" spans="1:18" ht="12.75" hidden="1" customHeight="1" x14ac:dyDescent="0.2">
      <c r="A185" s="12"/>
      <c r="B185" s="13" t="s">
        <v>34</v>
      </c>
      <c r="C185" s="14" t="s">
        <v>35</v>
      </c>
      <c r="D185" s="15" t="s">
        <v>36</v>
      </c>
      <c r="E185" s="16">
        <v>0</v>
      </c>
      <c r="F185" s="2"/>
      <c r="G185" s="2">
        <f>ROUND(E185*G179,2)</f>
        <v>0</v>
      </c>
      <c r="H185" s="17"/>
      <c r="I185" s="17"/>
      <c r="J185" s="17"/>
      <c r="K185" s="18"/>
      <c r="L185" s="45"/>
    </row>
    <row r="186" spans="1:18" x14ac:dyDescent="0.2">
      <c r="A186" s="12"/>
      <c r="B186" s="13" t="s">
        <v>34</v>
      </c>
      <c r="C186" s="14" t="s">
        <v>37</v>
      </c>
      <c r="D186" s="15" t="s">
        <v>36</v>
      </c>
      <c r="E186" s="16">
        <v>1</v>
      </c>
      <c r="F186" s="2"/>
      <c r="G186" s="2">
        <f>ROUND(E186*G179,2)</f>
        <v>0.16</v>
      </c>
      <c r="H186" s="17"/>
      <c r="I186" s="17"/>
      <c r="J186" s="17"/>
      <c r="K186" s="18"/>
      <c r="L186" s="45"/>
    </row>
    <row r="187" spans="1:18" x14ac:dyDescent="0.2">
      <c r="A187" s="12"/>
      <c r="B187" s="13" t="s">
        <v>34</v>
      </c>
      <c r="C187" s="19" t="s">
        <v>38</v>
      </c>
      <c r="D187" s="15"/>
      <c r="E187" s="16"/>
      <c r="F187" s="2"/>
      <c r="G187" s="2"/>
      <c r="H187" s="20">
        <f>ROUND(H180+H181+H183,2)</f>
        <v>39.1</v>
      </c>
      <c r="I187" s="17"/>
      <c r="J187" s="20">
        <f>ROUND(J180+J181+J183,2)</f>
        <v>6.1</v>
      </c>
      <c r="K187" s="18"/>
      <c r="L187" s="46">
        <f>ROUND(L180+L181+L183,2)</f>
        <v>71.86</v>
      </c>
    </row>
    <row r="188" spans="1:18" ht="22.5" x14ac:dyDescent="0.2">
      <c r="A188" s="23" t="s">
        <v>123</v>
      </c>
      <c r="B188" s="24" t="s">
        <v>57</v>
      </c>
      <c r="C188" s="25" t="s">
        <v>58</v>
      </c>
      <c r="D188" s="15" t="s">
        <v>53</v>
      </c>
      <c r="E188" s="16">
        <v>1.03</v>
      </c>
      <c r="F188" s="2"/>
      <c r="G188" s="2">
        <f>ROUND(E188*G179,4)</f>
        <v>0.16070000000000001</v>
      </c>
      <c r="H188" s="2">
        <v>1554.2</v>
      </c>
      <c r="I188" s="2"/>
      <c r="J188" s="2">
        <f>ROUND(G188*H188,2)</f>
        <v>249.76</v>
      </c>
      <c r="K188" s="2">
        <v>8.61</v>
      </c>
      <c r="L188" s="47">
        <f>ROUND(J188*K188,2)</f>
        <v>2150.4299999999998</v>
      </c>
    </row>
    <row r="189" spans="1:18" x14ac:dyDescent="0.2">
      <c r="A189" s="12"/>
      <c r="B189" s="18"/>
      <c r="C189" s="18" t="str">
        <f>"Объём: "&amp;E188&amp;"*"&amp;G179</f>
        <v>Объём: 1,03*0,156</v>
      </c>
      <c r="D189" s="18"/>
      <c r="E189" s="18"/>
      <c r="F189" s="18"/>
      <c r="G189" s="18"/>
      <c r="H189" s="18"/>
      <c r="I189" s="18"/>
      <c r="J189" s="18"/>
      <c r="K189" s="18"/>
      <c r="L189" s="45"/>
    </row>
    <row r="190" spans="1:18" ht="22.5" x14ac:dyDescent="0.2">
      <c r="A190" s="12"/>
      <c r="B190" s="13" t="s">
        <v>39</v>
      </c>
      <c r="C190" s="14" t="str">
        <f>" Накладные расходы 147%"&amp;"     "&amp;G190&amp;"*(от "&amp;L180&amp;"+"&amp;L182&amp;")/100"</f>
        <v xml:space="preserve"> Накладные расходы 147%     147*(от 0+34,81)/100</v>
      </c>
      <c r="D190" s="15" t="s">
        <v>40</v>
      </c>
      <c r="E190" s="16">
        <v>147</v>
      </c>
      <c r="F190" s="2"/>
      <c r="G190" s="2">
        <v>147</v>
      </c>
      <c r="H190" s="17"/>
      <c r="I190" s="17"/>
      <c r="J190" s="17">
        <f>ROUND(G190*(J180+J182)/100,2)</f>
        <v>1.65</v>
      </c>
      <c r="K190" s="18"/>
      <c r="L190" s="47">
        <f>ROUND(G190*(L180+L182)/100,2)</f>
        <v>51.17</v>
      </c>
    </row>
    <row r="191" spans="1:18" ht="22.5" x14ac:dyDescent="0.2">
      <c r="A191" s="12"/>
      <c r="B191" s="13" t="s">
        <v>41</v>
      </c>
      <c r="C191" s="14" t="str">
        <f>" Сметная прибыль 134%"&amp;"     "&amp;G191&amp;"*(от "&amp;L180&amp;"+"&amp;L182&amp;")/100"</f>
        <v xml:space="preserve"> Сметная прибыль 134%     134*(от 0+34,81)/100</v>
      </c>
      <c r="D191" s="15" t="s">
        <v>40</v>
      </c>
      <c r="E191" s="16">
        <v>134</v>
      </c>
      <c r="F191" s="2"/>
      <c r="G191" s="2">
        <v>134</v>
      </c>
      <c r="H191" s="17"/>
      <c r="I191" s="17"/>
      <c r="J191" s="17">
        <f>ROUND(G191*(J180+J182)/100,2)</f>
        <v>1.5</v>
      </c>
      <c r="K191" s="18"/>
      <c r="L191" s="47">
        <f>ROUND(G191*(L180+L182)/100,2)</f>
        <v>46.65</v>
      </c>
    </row>
    <row r="192" spans="1:18" x14ac:dyDescent="0.2">
      <c r="A192" s="12"/>
      <c r="B192" s="13" t="s">
        <v>34</v>
      </c>
      <c r="C192" s="19" t="s">
        <v>42</v>
      </c>
      <c r="D192" s="15"/>
      <c r="E192" s="16"/>
      <c r="F192" s="2"/>
      <c r="G192" s="2"/>
      <c r="H192" s="17"/>
      <c r="I192" s="17"/>
      <c r="J192" s="20">
        <f>ROUND(J187+J188+J190+J191,2)</f>
        <v>259.01</v>
      </c>
      <c r="K192" s="18"/>
      <c r="L192" s="46">
        <f>ROUND(L187+L188+L190+L191,2)</f>
        <v>2320.11</v>
      </c>
      <c r="O192">
        <v>2</v>
      </c>
    </row>
    <row r="193" spans="1:18" ht="33.75" x14ac:dyDescent="0.2">
      <c r="A193" s="4">
        <v>3</v>
      </c>
      <c r="B193" s="5" t="s">
        <v>59</v>
      </c>
      <c r="C193" s="6" t="s">
        <v>60</v>
      </c>
      <c r="D193" s="7" t="s">
        <v>61</v>
      </c>
      <c r="E193" s="8">
        <f>G193</f>
        <v>0.74</v>
      </c>
      <c r="F193" s="9"/>
      <c r="G193" s="10">
        <v>0.74</v>
      </c>
      <c r="H193" s="10">
        <v>5872.99</v>
      </c>
      <c r="I193" s="11"/>
      <c r="J193" s="10">
        <f>ROUND(G193*H193,2)</f>
        <v>4346.01</v>
      </c>
      <c r="K193" s="9"/>
      <c r="L193" s="44"/>
      <c r="N193">
        <v>1</v>
      </c>
      <c r="P193">
        <v>4375</v>
      </c>
      <c r="Q193">
        <v>7066</v>
      </c>
      <c r="R193">
        <v>66229</v>
      </c>
    </row>
    <row r="194" spans="1:18" x14ac:dyDescent="0.2">
      <c r="A194" s="12"/>
      <c r="B194" s="13" t="s">
        <v>16</v>
      </c>
      <c r="C194" s="14" t="s">
        <v>30</v>
      </c>
      <c r="D194" s="15"/>
      <c r="E194" s="16"/>
      <c r="F194" s="2"/>
      <c r="G194" s="2"/>
      <c r="H194" s="17">
        <v>212.48000000000002</v>
      </c>
      <c r="I194" s="17"/>
      <c r="J194" s="17">
        <f>ROUND(H194*G193,2)</f>
        <v>157.24</v>
      </c>
      <c r="K194" s="18">
        <v>31.08</v>
      </c>
      <c r="L194" s="45">
        <f>ROUND(J194*K194,2)</f>
        <v>4887.0200000000004</v>
      </c>
    </row>
    <row r="195" spans="1:18" x14ac:dyDescent="0.2">
      <c r="A195" s="12"/>
      <c r="B195" s="13" t="s">
        <v>17</v>
      </c>
      <c r="C195" s="14" t="s">
        <v>31</v>
      </c>
      <c r="D195" s="15"/>
      <c r="E195" s="16"/>
      <c r="F195" s="2"/>
      <c r="G195" s="2"/>
      <c r="H195" s="17">
        <v>5536.89</v>
      </c>
      <c r="I195" s="17"/>
      <c r="J195" s="17">
        <f>ROUND(H195*G193,2)</f>
        <v>4097.3</v>
      </c>
      <c r="K195" s="18">
        <v>11.78</v>
      </c>
      <c r="L195" s="45">
        <f>ROUND(J195*K195,2)</f>
        <v>48266.19</v>
      </c>
    </row>
    <row r="196" spans="1:18" x14ac:dyDescent="0.2">
      <c r="A196" s="12"/>
      <c r="B196" s="13" t="s">
        <v>18</v>
      </c>
      <c r="C196" s="14" t="s">
        <v>32</v>
      </c>
      <c r="D196" s="15"/>
      <c r="E196" s="16"/>
      <c r="F196" s="2"/>
      <c r="G196" s="2"/>
      <c r="H196" s="17">
        <v>284.69</v>
      </c>
      <c r="I196" s="17"/>
      <c r="J196" s="17">
        <f>ROUND(H196*G193,2)</f>
        <v>210.67</v>
      </c>
      <c r="K196" s="18">
        <v>31.08</v>
      </c>
      <c r="L196" s="45">
        <f>ROUND(J196*K196,2)</f>
        <v>6547.62</v>
      </c>
    </row>
    <row r="197" spans="1:18" x14ac:dyDescent="0.2">
      <c r="A197" s="12"/>
      <c r="B197" s="13" t="s">
        <v>19</v>
      </c>
      <c r="C197" s="14" t="s">
        <v>33</v>
      </c>
      <c r="D197" s="15"/>
      <c r="E197" s="16"/>
      <c r="F197" s="2"/>
      <c r="G197" s="2"/>
      <c r="H197" s="17">
        <v>123.62</v>
      </c>
      <c r="I197" s="17"/>
      <c r="J197" s="17">
        <f>ROUND(H197*G193,2)</f>
        <v>91.48</v>
      </c>
      <c r="K197" s="18">
        <v>8.61</v>
      </c>
      <c r="L197" s="45">
        <f>ROUND(J197*K197,2)</f>
        <v>787.64</v>
      </c>
    </row>
    <row r="198" spans="1:18" x14ac:dyDescent="0.2">
      <c r="A198" s="12"/>
      <c r="B198" s="21" t="s">
        <v>62</v>
      </c>
      <c r="C198" s="18" t="s">
        <v>63</v>
      </c>
      <c r="D198" s="22" t="s">
        <v>53</v>
      </c>
      <c r="E198" s="22">
        <v>101</v>
      </c>
      <c r="F198" s="18"/>
      <c r="G198" s="21">
        <f>ROUND(E198*G193,2)</f>
        <v>74.739999999999995</v>
      </c>
      <c r="H198" s="18"/>
      <c r="I198" s="18"/>
      <c r="J198" s="18"/>
      <c r="K198" s="18"/>
      <c r="L198" s="45"/>
    </row>
    <row r="199" spans="1:18" x14ac:dyDescent="0.2">
      <c r="A199" s="12"/>
      <c r="B199" s="13" t="s">
        <v>34</v>
      </c>
      <c r="C199" s="14" t="s">
        <v>35</v>
      </c>
      <c r="D199" s="15" t="s">
        <v>36</v>
      </c>
      <c r="E199" s="16">
        <v>22</v>
      </c>
      <c r="F199" s="2"/>
      <c r="G199" s="2">
        <f>ROUND(E199*G193,2)</f>
        <v>16.28</v>
      </c>
      <c r="H199" s="17"/>
      <c r="I199" s="17"/>
      <c r="J199" s="17"/>
      <c r="K199" s="18"/>
      <c r="L199" s="45"/>
    </row>
    <row r="200" spans="1:18" x14ac:dyDescent="0.2">
      <c r="A200" s="12"/>
      <c r="B200" s="13" t="s">
        <v>34</v>
      </c>
      <c r="C200" s="14" t="s">
        <v>37</v>
      </c>
      <c r="D200" s="15" t="s">
        <v>36</v>
      </c>
      <c r="E200" s="16">
        <v>22</v>
      </c>
      <c r="F200" s="2"/>
      <c r="G200" s="2">
        <f>ROUND(E200*G193,2)</f>
        <v>16.28</v>
      </c>
      <c r="H200" s="17"/>
      <c r="I200" s="17"/>
      <c r="J200" s="17"/>
      <c r="K200" s="18"/>
      <c r="L200" s="45"/>
    </row>
    <row r="201" spans="1:18" x14ac:dyDescent="0.2">
      <c r="A201" s="12"/>
      <c r="B201" s="13" t="s">
        <v>34</v>
      </c>
      <c r="C201" s="19" t="s">
        <v>38</v>
      </c>
      <c r="D201" s="15"/>
      <c r="E201" s="16"/>
      <c r="F201" s="2"/>
      <c r="G201" s="2"/>
      <c r="H201" s="20">
        <f>ROUND(H194+H195+H197,2)</f>
        <v>5872.99</v>
      </c>
      <c r="I201" s="17"/>
      <c r="J201" s="20">
        <f>ROUND(J194+J195+J197,2)</f>
        <v>4346.0200000000004</v>
      </c>
      <c r="K201" s="18"/>
      <c r="L201" s="46">
        <f>ROUND(L194+L195+L197,2)</f>
        <v>53940.85</v>
      </c>
    </row>
    <row r="202" spans="1:18" ht="22.5" x14ac:dyDescent="0.2">
      <c r="A202" s="23" t="s">
        <v>124</v>
      </c>
      <c r="B202" s="24" t="s">
        <v>119</v>
      </c>
      <c r="C202" s="25" t="s">
        <v>135</v>
      </c>
      <c r="D202" s="15" t="s">
        <v>53</v>
      </c>
      <c r="E202" s="16">
        <v>101</v>
      </c>
      <c r="F202" s="2"/>
      <c r="G202" s="2">
        <f>ROUND(E202*G193,1)</f>
        <v>74.7</v>
      </c>
      <c r="H202" s="2">
        <f>ROUND(451.06*U23,2)</f>
        <v>589.82000000000005</v>
      </c>
      <c r="I202" s="2"/>
      <c r="J202" s="2">
        <f>ROUND(G202*H202,2)</f>
        <v>44059.55</v>
      </c>
      <c r="K202" s="2">
        <v>8.61</v>
      </c>
      <c r="L202" s="47">
        <f>ROUND(J202*K202,2)</f>
        <v>379352.73</v>
      </c>
    </row>
    <row r="203" spans="1:18" x14ac:dyDescent="0.2">
      <c r="A203" s="12"/>
      <c r="B203" s="18"/>
      <c r="C203" s="18" t="str">
        <f>"Объём: "&amp;E202&amp;"*"&amp;G193</f>
        <v>Объём: 101*0,74</v>
      </c>
      <c r="D203" s="18"/>
      <c r="E203" s="18"/>
      <c r="F203" s="18"/>
      <c r="G203" s="18"/>
      <c r="H203" s="18"/>
      <c r="I203" s="18"/>
      <c r="J203" s="18"/>
      <c r="K203" s="18"/>
      <c r="L203" s="45"/>
    </row>
    <row r="204" spans="1:18" ht="22.5" x14ac:dyDescent="0.2">
      <c r="A204" s="12"/>
      <c r="B204" s="13" t="s">
        <v>39</v>
      </c>
      <c r="C204" s="14" t="str">
        <f>" Накладные расходы 147%"&amp;"     "&amp;G204&amp;"*(от "&amp;L194&amp;"+"&amp;L196&amp;")/100"</f>
        <v xml:space="preserve"> Накладные расходы 147%     147*(от 4887,02+6547,62)/100</v>
      </c>
      <c r="D204" s="15" t="s">
        <v>40</v>
      </c>
      <c r="E204" s="16">
        <v>147</v>
      </c>
      <c r="F204" s="2"/>
      <c r="G204" s="2">
        <v>147</v>
      </c>
      <c r="H204" s="17"/>
      <c r="I204" s="17"/>
      <c r="J204" s="17">
        <f>ROUND(G204*(J194+J196)/100,2)</f>
        <v>540.83000000000004</v>
      </c>
      <c r="K204" s="18"/>
      <c r="L204" s="47">
        <f>ROUND(G204*(L194+L196)/100,2)</f>
        <v>16808.919999999998</v>
      </c>
    </row>
    <row r="205" spans="1:18" ht="22.5" x14ac:dyDescent="0.2">
      <c r="A205" s="12"/>
      <c r="B205" s="13" t="s">
        <v>41</v>
      </c>
      <c r="C205" s="14" t="str">
        <f>" Сметная прибыль 134%"&amp;"     "&amp;G205&amp;"*(от "&amp;L194&amp;"+"&amp;L196&amp;")/100"</f>
        <v xml:space="preserve"> Сметная прибыль 134%     134*(от 4887,02+6547,62)/100</v>
      </c>
      <c r="D205" s="15" t="s">
        <v>40</v>
      </c>
      <c r="E205" s="16">
        <v>134</v>
      </c>
      <c r="F205" s="2"/>
      <c r="G205" s="2">
        <v>134</v>
      </c>
      <c r="H205" s="17"/>
      <c r="I205" s="17"/>
      <c r="J205" s="17">
        <f>ROUND(G205*(J194+J196)/100,2)</f>
        <v>493</v>
      </c>
      <c r="K205" s="18"/>
      <c r="L205" s="47">
        <f>ROUND(G205*(L194+L196)/100,2)</f>
        <v>15322.42</v>
      </c>
    </row>
    <row r="206" spans="1:18" x14ac:dyDescent="0.2">
      <c r="A206" s="12"/>
      <c r="B206" s="13" t="s">
        <v>34</v>
      </c>
      <c r="C206" s="19" t="s">
        <v>42</v>
      </c>
      <c r="D206" s="15"/>
      <c r="E206" s="16"/>
      <c r="F206" s="2"/>
      <c r="G206" s="2"/>
      <c r="H206" s="17"/>
      <c r="I206" s="17"/>
      <c r="J206" s="20">
        <f>ROUND(J201+J202+J204+J205,2)</f>
        <v>49439.4</v>
      </c>
      <c r="K206" s="18"/>
      <c r="L206" s="46">
        <f>ROUND(L201+L202+L204+L205,2)</f>
        <v>465424.92</v>
      </c>
      <c r="O206">
        <v>2</v>
      </c>
    </row>
    <row r="207" spans="1:18" ht="45" x14ac:dyDescent="0.2">
      <c r="A207" s="4">
        <v>4</v>
      </c>
      <c r="B207" s="5" t="s">
        <v>98</v>
      </c>
      <c r="C207" s="6" t="s">
        <v>120</v>
      </c>
      <c r="D207" s="7" t="s">
        <v>52</v>
      </c>
      <c r="E207" s="8">
        <f>G207</f>
        <v>0.52</v>
      </c>
      <c r="F207" s="9"/>
      <c r="G207" s="10">
        <v>0.52</v>
      </c>
      <c r="H207" s="10">
        <v>5721.76</v>
      </c>
      <c r="I207" s="11"/>
      <c r="J207" s="10">
        <f>ROUND(G207*H207,2)</f>
        <v>2975.32</v>
      </c>
      <c r="K207" s="9"/>
      <c r="L207" s="44"/>
      <c r="N207">
        <v>1</v>
      </c>
      <c r="P207">
        <v>4375</v>
      </c>
      <c r="Q207">
        <v>7066</v>
      </c>
      <c r="R207">
        <v>66231</v>
      </c>
    </row>
    <row r="208" spans="1:18" x14ac:dyDescent="0.2">
      <c r="A208" s="12"/>
      <c r="B208" s="13" t="s">
        <v>16</v>
      </c>
      <c r="C208" s="14" t="s">
        <v>30</v>
      </c>
      <c r="D208" s="15"/>
      <c r="E208" s="16"/>
      <c r="F208" s="2"/>
      <c r="G208" s="2"/>
      <c r="H208" s="17">
        <v>154.49</v>
      </c>
      <c r="I208" s="17"/>
      <c r="J208" s="17">
        <f>ROUND(H208*G207,2)</f>
        <v>80.33</v>
      </c>
      <c r="K208" s="18">
        <v>31.08</v>
      </c>
      <c r="L208" s="45">
        <f>ROUND(J208*K208,2)</f>
        <v>2496.66</v>
      </c>
    </row>
    <row r="209" spans="1:18" x14ac:dyDescent="0.2">
      <c r="A209" s="12"/>
      <c r="B209" s="13" t="s">
        <v>17</v>
      </c>
      <c r="C209" s="14" t="s">
        <v>31</v>
      </c>
      <c r="D209" s="15"/>
      <c r="E209" s="16"/>
      <c r="F209" s="2"/>
      <c r="G209" s="2"/>
      <c r="H209" s="17">
        <v>4510.84</v>
      </c>
      <c r="I209" s="17"/>
      <c r="J209" s="17">
        <f>ROUND(H209*G207,2)</f>
        <v>2345.64</v>
      </c>
      <c r="K209" s="18">
        <v>11.78</v>
      </c>
      <c r="L209" s="45">
        <f>ROUND(J209*K209,2)</f>
        <v>27631.64</v>
      </c>
    </row>
    <row r="210" spans="1:18" x14ac:dyDescent="0.2">
      <c r="A210" s="12"/>
      <c r="B210" s="13" t="s">
        <v>18</v>
      </c>
      <c r="C210" s="14" t="s">
        <v>32</v>
      </c>
      <c r="D210" s="15"/>
      <c r="E210" s="16"/>
      <c r="F210" s="2"/>
      <c r="G210" s="2"/>
      <c r="H210" s="17">
        <v>101.52</v>
      </c>
      <c r="I210" s="17"/>
      <c r="J210" s="17">
        <f>ROUND(H210*G207,2)</f>
        <v>52.79</v>
      </c>
      <c r="K210" s="18">
        <v>31.08</v>
      </c>
      <c r="L210" s="45">
        <f>ROUND(J210*K210,2)</f>
        <v>1640.71</v>
      </c>
    </row>
    <row r="211" spans="1:18" x14ac:dyDescent="0.2">
      <c r="A211" s="12"/>
      <c r="B211" s="13" t="s">
        <v>19</v>
      </c>
      <c r="C211" s="14" t="s">
        <v>33</v>
      </c>
      <c r="D211" s="15"/>
      <c r="E211" s="16"/>
      <c r="F211" s="2"/>
      <c r="G211" s="2"/>
      <c r="H211" s="17">
        <v>1056.43</v>
      </c>
      <c r="I211" s="17"/>
      <c r="J211" s="17">
        <f>ROUND(H211*G207,2)</f>
        <v>549.34</v>
      </c>
      <c r="K211" s="18">
        <v>8.61</v>
      </c>
      <c r="L211" s="45">
        <f>ROUND(J211*K211,2)</f>
        <v>4729.82</v>
      </c>
    </row>
    <row r="212" spans="1:18" x14ac:dyDescent="0.2">
      <c r="A212" s="12"/>
      <c r="B212" s="21" t="s">
        <v>62</v>
      </c>
      <c r="C212" s="18" t="s">
        <v>63</v>
      </c>
      <c r="D212" s="22" t="s">
        <v>53</v>
      </c>
      <c r="E212" s="22" t="s">
        <v>47</v>
      </c>
      <c r="F212" s="18"/>
      <c r="G212" s="21" t="s">
        <v>47</v>
      </c>
      <c r="H212" s="18"/>
      <c r="I212" s="18"/>
      <c r="J212" s="18"/>
      <c r="K212" s="18"/>
      <c r="L212" s="45"/>
    </row>
    <row r="213" spans="1:18" x14ac:dyDescent="0.2">
      <c r="A213" s="12"/>
      <c r="B213" s="13" t="s">
        <v>34</v>
      </c>
      <c r="C213" s="14" t="s">
        <v>35</v>
      </c>
      <c r="D213" s="15" t="s">
        <v>36</v>
      </c>
      <c r="E213" s="16">
        <v>17</v>
      </c>
      <c r="F213" s="2"/>
      <c r="G213" s="2">
        <f>ROUND(E213*G207,2)</f>
        <v>8.84</v>
      </c>
      <c r="H213" s="17"/>
      <c r="I213" s="17"/>
      <c r="J213" s="17"/>
      <c r="K213" s="18"/>
      <c r="L213" s="45"/>
    </row>
    <row r="214" spans="1:18" x14ac:dyDescent="0.2">
      <c r="A214" s="12"/>
      <c r="B214" s="13" t="s">
        <v>34</v>
      </c>
      <c r="C214" s="14" t="s">
        <v>37</v>
      </c>
      <c r="D214" s="15" t="s">
        <v>36</v>
      </c>
      <c r="E214" s="16">
        <v>8</v>
      </c>
      <c r="F214" s="2"/>
      <c r="G214" s="2">
        <f>ROUND(E214*G207,2)</f>
        <v>4.16</v>
      </c>
      <c r="H214" s="17"/>
      <c r="I214" s="17"/>
      <c r="J214" s="17"/>
      <c r="K214" s="18"/>
      <c r="L214" s="45"/>
    </row>
    <row r="215" spans="1:18" x14ac:dyDescent="0.2">
      <c r="A215" s="12"/>
      <c r="B215" s="13" t="s">
        <v>34</v>
      </c>
      <c r="C215" s="19" t="s">
        <v>38</v>
      </c>
      <c r="D215" s="15"/>
      <c r="E215" s="16"/>
      <c r="F215" s="2"/>
      <c r="G215" s="2"/>
      <c r="H215" s="20">
        <f>ROUND(H208+H209+H211,2)</f>
        <v>5721.76</v>
      </c>
      <c r="I215" s="17"/>
      <c r="J215" s="20">
        <f>ROUND(J208+J209+J211,2)</f>
        <v>2975.31</v>
      </c>
      <c r="K215" s="18"/>
      <c r="L215" s="46">
        <f>ROUND(L208+L209+L211,2)</f>
        <v>34858.120000000003</v>
      </c>
    </row>
    <row r="216" spans="1:18" ht="22.5" x14ac:dyDescent="0.2">
      <c r="A216" s="23" t="s">
        <v>112</v>
      </c>
      <c r="B216" s="24" t="s">
        <v>99</v>
      </c>
      <c r="C216" s="25" t="s">
        <v>136</v>
      </c>
      <c r="D216" s="15" t="s">
        <v>53</v>
      </c>
      <c r="E216" s="16">
        <v>96.600000000000009</v>
      </c>
      <c r="F216" s="2"/>
      <c r="G216" s="2">
        <f>ROUND(E216*G207,1)</f>
        <v>50.2</v>
      </c>
      <c r="H216" s="2">
        <f>ROUND(491.01*U23,2)</f>
        <v>642.04999999999995</v>
      </c>
      <c r="I216" s="2"/>
      <c r="J216" s="2">
        <f>ROUND(G216*H216,2)</f>
        <v>32230.91</v>
      </c>
      <c r="K216" s="2">
        <v>8.61</v>
      </c>
      <c r="L216" s="47">
        <f>ROUND(J216*K216,2)</f>
        <v>277508.14</v>
      </c>
    </row>
    <row r="217" spans="1:18" x14ac:dyDescent="0.2">
      <c r="A217" s="12"/>
      <c r="B217" s="18"/>
      <c r="C217" s="18" t="str">
        <f>"Объём: "&amp;E216&amp;"*"&amp;G207</f>
        <v>Объём: 96,6*0,52</v>
      </c>
      <c r="D217" s="18"/>
      <c r="E217" s="18"/>
      <c r="F217" s="18"/>
      <c r="G217" s="18"/>
      <c r="H217" s="18"/>
      <c r="I217" s="18"/>
      <c r="J217" s="18"/>
      <c r="K217" s="18"/>
      <c r="L217" s="45"/>
    </row>
    <row r="218" spans="1:18" ht="22.5" x14ac:dyDescent="0.2">
      <c r="A218" s="12"/>
      <c r="B218" s="13" t="s">
        <v>39</v>
      </c>
      <c r="C218" s="14" t="str">
        <f>" Накладные расходы 147%"&amp;"     "&amp;G218&amp;"*(от "&amp;L208&amp;"+"&amp;L210&amp;")/100"</f>
        <v xml:space="preserve"> Накладные расходы 147%     147*(от 2496,66+1640,71)/100</v>
      </c>
      <c r="D218" s="15" t="s">
        <v>40</v>
      </c>
      <c r="E218" s="16">
        <v>147</v>
      </c>
      <c r="F218" s="2"/>
      <c r="G218" s="2">
        <v>147</v>
      </c>
      <c r="H218" s="17"/>
      <c r="I218" s="17"/>
      <c r="J218" s="17">
        <f>ROUND(G218*(J208+J210)/100,2)</f>
        <v>195.69</v>
      </c>
      <c r="K218" s="18"/>
      <c r="L218" s="47">
        <f>ROUND(G218*(L208+L210)/100,2)</f>
        <v>6081.93</v>
      </c>
    </row>
    <row r="219" spans="1:18" ht="22.5" x14ac:dyDescent="0.2">
      <c r="A219" s="12"/>
      <c r="B219" s="13" t="s">
        <v>41</v>
      </c>
      <c r="C219" s="14" t="str">
        <f>" Сметная прибыль 134%"&amp;"     "&amp;G219&amp;"*(от "&amp;L208&amp;"+"&amp;L210&amp;")/100"</f>
        <v xml:space="preserve"> Сметная прибыль 134%     134*(от 2496,66+1640,71)/100</v>
      </c>
      <c r="D219" s="15" t="s">
        <v>40</v>
      </c>
      <c r="E219" s="16">
        <v>134</v>
      </c>
      <c r="F219" s="2"/>
      <c r="G219" s="2">
        <v>134</v>
      </c>
      <c r="H219" s="17"/>
      <c r="I219" s="17"/>
      <c r="J219" s="17">
        <f>ROUND(G219*(J208+J210)/100,2)</f>
        <v>178.38</v>
      </c>
      <c r="K219" s="18"/>
      <c r="L219" s="47">
        <f>ROUND(G219*(L208+L210)/100,2)</f>
        <v>5544.08</v>
      </c>
    </row>
    <row r="220" spans="1:18" x14ac:dyDescent="0.2">
      <c r="A220" s="12"/>
      <c r="B220" s="13" t="s">
        <v>34</v>
      </c>
      <c r="C220" s="19" t="s">
        <v>42</v>
      </c>
      <c r="D220" s="15"/>
      <c r="E220" s="16"/>
      <c r="F220" s="2"/>
      <c r="G220" s="2"/>
      <c r="H220" s="17"/>
      <c r="I220" s="17"/>
      <c r="J220" s="20">
        <f>ROUND(J215+J216+J218+J219,2)</f>
        <v>35580.29</v>
      </c>
      <c r="K220" s="18"/>
      <c r="L220" s="46">
        <f>ROUND(L215+L216+L218+L219,2)</f>
        <v>323992.27</v>
      </c>
      <c r="O220">
        <v>2</v>
      </c>
    </row>
    <row r="221" spans="1:18" ht="22.5" x14ac:dyDescent="0.2">
      <c r="A221" s="4">
        <v>5</v>
      </c>
      <c r="B221" s="5" t="s">
        <v>64</v>
      </c>
      <c r="C221" s="6" t="s">
        <v>65</v>
      </c>
      <c r="D221" s="7" t="s">
        <v>52</v>
      </c>
      <c r="E221" s="8">
        <f>G221</f>
        <v>9.6</v>
      </c>
      <c r="F221" s="9"/>
      <c r="G221" s="10">
        <v>9.6</v>
      </c>
      <c r="H221" s="10">
        <v>94.97</v>
      </c>
      <c r="I221" s="11"/>
      <c r="J221" s="10">
        <f>ROUND(G221*H221,2)</f>
        <v>911.71</v>
      </c>
      <c r="K221" s="9"/>
      <c r="L221" s="44"/>
      <c r="N221">
        <v>1</v>
      </c>
      <c r="P221">
        <v>4375</v>
      </c>
      <c r="Q221">
        <v>7066</v>
      </c>
      <c r="R221">
        <v>66233</v>
      </c>
    </row>
    <row r="222" spans="1:18" ht="12.75" hidden="1" customHeight="1" x14ac:dyDescent="0.2">
      <c r="A222" s="12"/>
      <c r="B222" s="13" t="s">
        <v>16</v>
      </c>
      <c r="C222" s="14" t="s">
        <v>30</v>
      </c>
      <c r="D222" s="15"/>
      <c r="E222" s="16"/>
      <c r="F222" s="2"/>
      <c r="G222" s="2"/>
      <c r="H222" s="17">
        <v>0</v>
      </c>
      <c r="I222" s="17"/>
      <c r="J222" s="17">
        <f>ROUND(H222*G221,2)</f>
        <v>0</v>
      </c>
      <c r="K222" s="18">
        <v>31.08</v>
      </c>
      <c r="L222" s="45">
        <f>ROUND(J222*K222,2)</f>
        <v>0</v>
      </c>
    </row>
    <row r="223" spans="1:18" x14ac:dyDescent="0.2">
      <c r="A223" s="12"/>
      <c r="B223" s="13" t="s">
        <v>17</v>
      </c>
      <c r="C223" s="14" t="s">
        <v>31</v>
      </c>
      <c r="D223" s="15"/>
      <c r="E223" s="16"/>
      <c r="F223" s="2"/>
      <c r="G223" s="2"/>
      <c r="H223" s="17">
        <v>94.97</v>
      </c>
      <c r="I223" s="17"/>
      <c r="J223" s="17">
        <f>ROUND(H223*G221,2)</f>
        <v>911.71</v>
      </c>
      <c r="K223" s="18">
        <v>11.78</v>
      </c>
      <c r="L223" s="45">
        <f>ROUND(J223*K223,2)</f>
        <v>10739.94</v>
      </c>
    </row>
    <row r="224" spans="1:18" x14ac:dyDescent="0.2">
      <c r="A224" s="12"/>
      <c r="B224" s="13" t="s">
        <v>18</v>
      </c>
      <c r="C224" s="14" t="s">
        <v>32</v>
      </c>
      <c r="D224" s="15"/>
      <c r="E224" s="16"/>
      <c r="F224" s="2"/>
      <c r="G224" s="2"/>
      <c r="H224" s="17">
        <v>13.370000000000001</v>
      </c>
      <c r="I224" s="17"/>
      <c r="J224" s="17">
        <f>ROUND(H224*G221,2)</f>
        <v>128.35</v>
      </c>
      <c r="K224" s="18">
        <v>31.08</v>
      </c>
      <c r="L224" s="45">
        <f>ROUND(J224*K224,2)</f>
        <v>3989.12</v>
      </c>
    </row>
    <row r="225" spans="1:15" ht="12.75" hidden="1" customHeight="1" x14ac:dyDescent="0.2">
      <c r="A225" s="12"/>
      <c r="B225" s="13" t="s">
        <v>19</v>
      </c>
      <c r="C225" s="14" t="s">
        <v>33</v>
      </c>
      <c r="D225" s="15"/>
      <c r="E225" s="16"/>
      <c r="F225" s="2"/>
      <c r="G225" s="2"/>
      <c r="H225" s="17">
        <v>0</v>
      </c>
      <c r="I225" s="17"/>
      <c r="J225" s="17">
        <f>ROUND(H225*G221,2)</f>
        <v>0</v>
      </c>
      <c r="K225" s="18">
        <v>8.61</v>
      </c>
      <c r="L225" s="45">
        <f>ROUND(J225*K225,2)</f>
        <v>0</v>
      </c>
    </row>
    <row r="226" spans="1:15" ht="12.75" hidden="1" customHeight="1" x14ac:dyDescent="0.2">
      <c r="A226" s="12"/>
      <c r="B226" s="13" t="s">
        <v>34</v>
      </c>
      <c r="C226" s="14" t="s">
        <v>35</v>
      </c>
      <c r="D226" s="15" t="s">
        <v>36</v>
      </c>
      <c r="E226" s="16">
        <v>0</v>
      </c>
      <c r="F226" s="2"/>
      <c r="G226" s="2">
        <f>ROUND(E226*G221,2)</f>
        <v>0</v>
      </c>
      <c r="H226" s="17"/>
      <c r="I226" s="17"/>
      <c r="J226" s="17"/>
      <c r="K226" s="18"/>
      <c r="L226" s="45"/>
    </row>
    <row r="227" spans="1:15" x14ac:dyDescent="0.2">
      <c r="A227" s="12"/>
      <c r="B227" s="13" t="s">
        <v>34</v>
      </c>
      <c r="C227" s="14" t="s">
        <v>37</v>
      </c>
      <c r="D227" s="15" t="s">
        <v>36</v>
      </c>
      <c r="E227" s="16">
        <v>1</v>
      </c>
      <c r="F227" s="2"/>
      <c r="G227" s="2">
        <f>ROUND(E227*G221,2)</f>
        <v>9.6</v>
      </c>
      <c r="H227" s="17"/>
      <c r="I227" s="17"/>
      <c r="J227" s="17"/>
      <c r="K227" s="18"/>
      <c r="L227" s="45"/>
    </row>
    <row r="228" spans="1:15" x14ac:dyDescent="0.2">
      <c r="A228" s="12"/>
      <c r="B228" s="13" t="s">
        <v>34</v>
      </c>
      <c r="C228" s="19" t="s">
        <v>38</v>
      </c>
      <c r="D228" s="15"/>
      <c r="E228" s="16"/>
      <c r="F228" s="2"/>
      <c r="G228" s="2"/>
      <c r="H228" s="20">
        <f>ROUND(H222+H223+H225,2)</f>
        <v>94.97</v>
      </c>
      <c r="I228" s="17"/>
      <c r="J228" s="20">
        <f>ROUND(J222+J223+J225,2)</f>
        <v>911.71</v>
      </c>
      <c r="K228" s="18"/>
      <c r="L228" s="46">
        <f>ROUND(L222+L223+L225,2)</f>
        <v>10739.94</v>
      </c>
    </row>
    <row r="229" spans="1:15" ht="22.5" x14ac:dyDescent="0.2">
      <c r="A229" s="12"/>
      <c r="B229" s="13" t="s">
        <v>39</v>
      </c>
      <c r="C229" s="14" t="str">
        <f>" Накладные расходы 89%"&amp;"     "&amp;G229&amp;"*(от "&amp;L222&amp;"+"&amp;L224&amp;")/100"</f>
        <v xml:space="preserve"> Накладные расходы 89%     89*(от 0+3989,12)/100</v>
      </c>
      <c r="D229" s="15" t="s">
        <v>40</v>
      </c>
      <c r="E229" s="16">
        <v>89</v>
      </c>
      <c r="F229" s="2"/>
      <c r="G229" s="2">
        <v>89</v>
      </c>
      <c r="H229" s="17"/>
      <c r="I229" s="17"/>
      <c r="J229" s="17">
        <f>ROUND(G229*(J222+J224)/100,2)</f>
        <v>114.23</v>
      </c>
      <c r="K229" s="18"/>
      <c r="L229" s="47">
        <f>ROUND(G229*(L222+L224)/100,2)</f>
        <v>3550.32</v>
      </c>
    </row>
    <row r="230" spans="1:15" ht="22.5" x14ac:dyDescent="0.2">
      <c r="A230" s="12"/>
      <c r="B230" s="13" t="s">
        <v>41</v>
      </c>
      <c r="C230" s="14" t="str">
        <f>" Сметная прибыль 41%"&amp;"     "&amp;G230&amp;"*(от "&amp;L222&amp;"+"&amp;L224&amp;")/100"</f>
        <v xml:space="preserve"> Сметная прибыль 41%     41*(от 0+3989,12)/100</v>
      </c>
      <c r="D230" s="15" t="s">
        <v>40</v>
      </c>
      <c r="E230" s="16">
        <v>41</v>
      </c>
      <c r="F230" s="2"/>
      <c r="G230" s="2">
        <v>41</v>
      </c>
      <c r="H230" s="17"/>
      <c r="I230" s="17"/>
      <c r="J230" s="17">
        <f>ROUND(G230*(J222+J224)/100,2)</f>
        <v>52.62</v>
      </c>
      <c r="K230" s="18"/>
      <c r="L230" s="47">
        <f>ROUND(G230*(L222+L224)/100,2)</f>
        <v>1635.54</v>
      </c>
    </row>
    <row r="231" spans="1:15" x14ac:dyDescent="0.2">
      <c r="A231" s="26"/>
      <c r="B231" s="27" t="s">
        <v>34</v>
      </c>
      <c r="C231" s="28" t="s">
        <v>42</v>
      </c>
      <c r="D231" s="29"/>
      <c r="E231" s="30"/>
      <c r="F231" s="31"/>
      <c r="G231" s="31"/>
      <c r="H231" s="32"/>
      <c r="I231" s="32"/>
      <c r="J231" s="33">
        <f>ROUND(J228+J229+J230,2)</f>
        <v>1078.56</v>
      </c>
      <c r="K231" s="50"/>
      <c r="L231" s="51">
        <f>ROUND(L228+L229+L230,2)</f>
        <v>15925.8</v>
      </c>
      <c r="O231">
        <v>2</v>
      </c>
    </row>
    <row r="232" spans="1:15" x14ac:dyDescent="0.2">
      <c r="A232" s="74" t="s">
        <v>66</v>
      </c>
      <c r="B232" s="75"/>
      <c r="C232" s="75"/>
      <c r="D232" s="75"/>
      <c r="E232" s="75"/>
      <c r="F232" s="75"/>
      <c r="G232" s="75"/>
      <c r="H232" s="75"/>
      <c r="I232" s="75"/>
      <c r="J232" s="78">
        <f>J178+J192+J206+J220+J231</f>
        <v>89840.23000000001</v>
      </c>
      <c r="K232" s="67"/>
      <c r="L232" s="80">
        <f>L178+L192+L206+L220+L231</f>
        <v>862836.89000000013</v>
      </c>
    </row>
    <row r="233" spans="1:15" x14ac:dyDescent="0.2">
      <c r="A233" s="76"/>
      <c r="B233" s="77"/>
      <c r="C233" s="77"/>
      <c r="D233" s="77"/>
      <c r="E233" s="77"/>
      <c r="F233" s="77"/>
      <c r="G233" s="77"/>
      <c r="H233" s="77"/>
      <c r="I233" s="77"/>
      <c r="J233" s="79"/>
      <c r="K233" s="18"/>
      <c r="L233" s="81"/>
    </row>
    <row r="234" spans="1:15" x14ac:dyDescent="0.2">
      <c r="A234" s="82" t="s">
        <v>127</v>
      </c>
      <c r="B234" s="83"/>
      <c r="C234" s="83"/>
      <c r="D234" s="83"/>
      <c r="E234" s="83"/>
      <c r="F234" s="83"/>
      <c r="G234" s="83"/>
      <c r="H234" s="18"/>
      <c r="I234" s="84"/>
      <c r="J234" s="79">
        <f>J119+J164+J232</f>
        <v>1117711.96</v>
      </c>
      <c r="K234" s="18"/>
      <c r="L234" s="81">
        <f>L119+L164+L232</f>
        <v>10570810.260000002</v>
      </c>
    </row>
    <row r="235" spans="1:15" x14ac:dyDescent="0.2">
      <c r="A235" s="82"/>
      <c r="B235" s="83"/>
      <c r="C235" s="83"/>
      <c r="D235" s="83"/>
      <c r="E235" s="83"/>
      <c r="F235" s="83"/>
      <c r="G235" s="83"/>
      <c r="H235" s="18"/>
      <c r="I235" s="84"/>
      <c r="J235" s="79"/>
      <c r="K235" s="18"/>
      <c r="L235" s="81"/>
    </row>
    <row r="236" spans="1:15" x14ac:dyDescent="0.2">
      <c r="A236" s="70" t="s">
        <v>67</v>
      </c>
      <c r="B236" s="71"/>
      <c r="C236" s="71"/>
      <c r="D236" s="71"/>
      <c r="E236" s="71"/>
      <c r="F236" s="71"/>
      <c r="G236" s="71"/>
      <c r="H236" s="71"/>
      <c r="I236" s="71"/>
      <c r="J236" s="18">
        <f>ROUND(J234-J260,2)</f>
        <v>1117711.96</v>
      </c>
      <c r="K236" s="18"/>
      <c r="L236" s="55">
        <f>ROUND(L234-L260,2)</f>
        <v>10570810.26</v>
      </c>
    </row>
    <row r="237" spans="1:15" x14ac:dyDescent="0.2">
      <c r="A237" s="72" t="s">
        <v>68</v>
      </c>
      <c r="B237" s="73"/>
      <c r="C237" s="73"/>
      <c r="D237" s="73"/>
      <c r="E237" s="73"/>
      <c r="F237" s="73"/>
      <c r="G237" s="73"/>
      <c r="H237" s="73"/>
      <c r="I237" s="73"/>
      <c r="J237" s="18">
        <f>ROUND((J27+J39+J50+J64+J78+J92+J106+J123+J137+J151+J168+J180+J194+J208+J222),2)</f>
        <v>3599.89</v>
      </c>
      <c r="K237" s="18"/>
      <c r="L237" s="56">
        <f>ROUND((L27+L39+L50+L64+L78+L92+L106+L123+L137+L151+L168+L180+L194+L208+L222),2)</f>
        <v>111884.58</v>
      </c>
    </row>
    <row r="238" spans="1:15" x14ac:dyDescent="0.2">
      <c r="A238" s="72" t="s">
        <v>69</v>
      </c>
      <c r="B238" s="73"/>
      <c r="C238" s="73"/>
      <c r="D238" s="73"/>
      <c r="E238" s="73"/>
      <c r="F238" s="73"/>
      <c r="G238" s="73"/>
      <c r="H238" s="73"/>
      <c r="I238" s="73"/>
      <c r="J238" s="18">
        <f>ROUND((J28+J40+J51+J65+J79+J93+J107+J124+J138+J152+J169+J181+J195+J209+J223),2)</f>
        <v>125328.13</v>
      </c>
      <c r="K238" s="18"/>
      <c r="L238" s="56">
        <f>ROUND((L28+L40+L51+L65+L79+L93+L107+L124+L138+L152+L169+L181+L195+L209+L223),2)</f>
        <v>1476365.37</v>
      </c>
    </row>
    <row r="239" spans="1:15" x14ac:dyDescent="0.2">
      <c r="A239" s="72" t="s">
        <v>70</v>
      </c>
      <c r="B239" s="73"/>
      <c r="C239" s="73"/>
      <c r="D239" s="73"/>
      <c r="E239" s="73"/>
      <c r="F239" s="73"/>
      <c r="G239" s="73"/>
      <c r="H239" s="73"/>
      <c r="I239" s="73"/>
      <c r="J239" s="18">
        <f>ROUND((J29+J41+J52+J66+J80+J94+J108+J125+J139+J153+J170+J182+J196+J210+J224),2)</f>
        <v>4302.16</v>
      </c>
      <c r="K239" s="18"/>
      <c r="L239" s="56">
        <f>ROUND((L29+L41+L52+L66+L80+L94+L108+L125+L139+L153+L170+L182+L196+L210+L224),2)</f>
        <v>133711.13</v>
      </c>
    </row>
    <row r="240" spans="1:15" x14ac:dyDescent="0.2">
      <c r="A240" s="72" t="s">
        <v>71</v>
      </c>
      <c r="B240" s="73"/>
      <c r="C240" s="73"/>
      <c r="D240" s="73"/>
      <c r="E240" s="73"/>
      <c r="F240" s="73"/>
      <c r="G240" s="73"/>
      <c r="H240" s="73"/>
      <c r="I240" s="73"/>
      <c r="J240" s="18">
        <f>ROUND(J236-J237-J238-J241-J242,2)</f>
        <v>966772.98</v>
      </c>
      <c r="K240" s="18"/>
      <c r="L240" s="56">
        <f>ROUND(L236-L237-L238-L241-L242,2)</f>
        <v>8298459.9199999999</v>
      </c>
    </row>
    <row r="241" spans="1:12" x14ac:dyDescent="0.2">
      <c r="A241" s="72" t="s">
        <v>72</v>
      </c>
      <c r="B241" s="73"/>
      <c r="C241" s="73"/>
      <c r="D241" s="73"/>
      <c r="E241" s="73"/>
      <c r="F241" s="73"/>
      <c r="G241" s="73"/>
      <c r="H241" s="73"/>
      <c r="I241" s="73"/>
      <c r="J241" s="18">
        <f>ROUND((J34+J46+J60+J74+J88+J102+J116+J133+J147+J161+J176+J190+J204+J218+J229),2)</f>
        <v>11541.57</v>
      </c>
      <c r="K241" s="18"/>
      <c r="L241" s="56">
        <f>ROUND((L34+L46+L60+L74+L88+L102+L116+L133+L147+L161+L176+L190+L204+L218+L229),2)</f>
        <v>358712.02</v>
      </c>
    </row>
    <row r="242" spans="1:12" x14ac:dyDescent="0.2">
      <c r="A242" s="72" t="s">
        <v>73</v>
      </c>
      <c r="B242" s="73"/>
      <c r="C242" s="73"/>
      <c r="D242" s="73"/>
      <c r="E242" s="73"/>
      <c r="F242" s="73"/>
      <c r="G242" s="73"/>
      <c r="H242" s="73"/>
      <c r="I242" s="73"/>
      <c r="J242" s="18">
        <f>ROUND((J35+J47+J61+J75+J89+J103+J117+J134+J148+J162+J177+J191+J205+J219+J230),2)</f>
        <v>10469.39</v>
      </c>
      <c r="K242" s="18"/>
      <c r="L242" s="56">
        <f>ROUND((L35+L47+L61+L75+L89+L103+L117+L134+L148+L162+L177+L191+L205+L219+L230),2)</f>
        <v>325388.37</v>
      </c>
    </row>
    <row r="243" spans="1:12" x14ac:dyDescent="0.2">
      <c r="A243" s="72" t="s">
        <v>74</v>
      </c>
      <c r="B243" s="73"/>
      <c r="C243" s="73"/>
      <c r="D243" s="73"/>
      <c r="E243" s="73"/>
      <c r="F243" s="73"/>
      <c r="G243" s="73"/>
      <c r="H243" s="73"/>
      <c r="I243" s="73"/>
      <c r="J243" s="18">
        <f>ROUND(J236-J250-J257,2)</f>
        <v>1117711.96</v>
      </c>
      <c r="K243" s="18"/>
      <c r="L243" s="56">
        <f>ROUND(L236-L250-L257,2)</f>
        <v>10570810.26</v>
      </c>
    </row>
    <row r="244" spans="1:12" x14ac:dyDescent="0.2">
      <c r="A244" s="72" t="s">
        <v>75</v>
      </c>
      <c r="B244" s="73"/>
      <c r="C244" s="73"/>
      <c r="D244" s="73"/>
      <c r="E244" s="73"/>
      <c r="F244" s="73"/>
      <c r="G244" s="73"/>
      <c r="H244" s="73"/>
      <c r="I244" s="73"/>
      <c r="J244" s="18">
        <f>ROUND(J237-J251-J257,2)</f>
        <v>3599.89</v>
      </c>
      <c r="K244" s="18"/>
      <c r="L244" s="56">
        <f>ROUND(L237-L251-L257,2)</f>
        <v>111884.58</v>
      </c>
    </row>
    <row r="245" spans="1:12" x14ac:dyDescent="0.2">
      <c r="A245" s="72" t="s">
        <v>76</v>
      </c>
      <c r="B245" s="73"/>
      <c r="C245" s="73"/>
      <c r="D245" s="73"/>
      <c r="E245" s="73"/>
      <c r="F245" s="73"/>
      <c r="G245" s="73"/>
      <c r="H245" s="73"/>
      <c r="I245" s="73"/>
      <c r="J245" s="18">
        <f>ROUND(J238-J252,2)</f>
        <v>125328.13</v>
      </c>
      <c r="K245" s="18"/>
      <c r="L245" s="56">
        <f>ROUND(L238-L252,2)</f>
        <v>1476365.37</v>
      </c>
    </row>
    <row r="246" spans="1:12" x14ac:dyDescent="0.2">
      <c r="A246" s="72" t="s">
        <v>70</v>
      </c>
      <c r="B246" s="73"/>
      <c r="C246" s="73"/>
      <c r="D246" s="73"/>
      <c r="E246" s="73"/>
      <c r="F246" s="73"/>
      <c r="G246" s="73"/>
      <c r="H246" s="73"/>
      <c r="I246" s="73"/>
      <c r="J246" s="18">
        <f>ROUND(J239-J253,2)</f>
        <v>4302.16</v>
      </c>
      <c r="K246" s="18"/>
      <c r="L246" s="56">
        <f>ROUND(L239-L253,2)</f>
        <v>133711.13</v>
      </c>
    </row>
    <row r="247" spans="1:12" x14ac:dyDescent="0.2">
      <c r="A247" s="72" t="s">
        <v>77</v>
      </c>
      <c r="B247" s="73"/>
      <c r="C247" s="73"/>
      <c r="D247" s="73"/>
      <c r="E247" s="73"/>
      <c r="F247" s="73"/>
      <c r="G247" s="73"/>
      <c r="H247" s="73"/>
      <c r="I247" s="73"/>
      <c r="J247" s="18">
        <f>ROUND(J243-J244-J245-J248-J249,2)</f>
        <v>966772.98</v>
      </c>
      <c r="K247" s="18"/>
      <c r="L247" s="56">
        <f>ROUND(L243-L244-L245-L248-L249,2)</f>
        <v>8298459.9199999999</v>
      </c>
    </row>
    <row r="248" spans="1:12" x14ac:dyDescent="0.2">
      <c r="A248" s="72" t="s">
        <v>78</v>
      </c>
      <c r="B248" s="73"/>
      <c r="C248" s="73"/>
      <c r="D248" s="73"/>
      <c r="E248" s="73"/>
      <c r="F248" s="73"/>
      <c r="G248" s="73"/>
      <c r="H248" s="73"/>
      <c r="I248" s="73"/>
      <c r="J248" s="18">
        <f>ROUND(J241-J255-J258,2)</f>
        <v>11541.57</v>
      </c>
      <c r="K248" s="18"/>
      <c r="L248" s="56">
        <f>ROUND(L241-L255-L258,2)</f>
        <v>358712.02</v>
      </c>
    </row>
    <row r="249" spans="1:12" x14ac:dyDescent="0.2">
      <c r="A249" s="72" t="s">
        <v>79</v>
      </c>
      <c r="B249" s="73"/>
      <c r="C249" s="73"/>
      <c r="D249" s="73"/>
      <c r="E249" s="73"/>
      <c r="F249" s="73"/>
      <c r="G249" s="73"/>
      <c r="H249" s="73"/>
      <c r="I249" s="73"/>
      <c r="J249" s="18">
        <f>ROUND(J242-J256-J259,2)</f>
        <v>10469.39</v>
      </c>
      <c r="K249" s="18"/>
      <c r="L249" s="56">
        <f>ROUND(L242-L256-L259,2)</f>
        <v>325388.37</v>
      </c>
    </row>
    <row r="250" spans="1:12" hidden="1" x14ac:dyDescent="0.2">
      <c r="A250" s="72" t="s">
        <v>80</v>
      </c>
      <c r="B250" s="73"/>
      <c r="C250" s="73"/>
      <c r="D250" s="73"/>
      <c r="E250" s="73"/>
      <c r="F250" s="73"/>
      <c r="G250" s="73"/>
      <c r="H250" s="73"/>
      <c r="I250" s="73"/>
      <c r="J250" s="18">
        <f>ROUND((0),2)</f>
        <v>0</v>
      </c>
      <c r="K250" s="18"/>
      <c r="L250" s="56">
        <f>ROUND((0),2)</f>
        <v>0</v>
      </c>
    </row>
    <row r="251" spans="1:12" hidden="1" x14ac:dyDescent="0.2">
      <c r="A251" s="72" t="s">
        <v>75</v>
      </c>
      <c r="B251" s="73"/>
      <c r="C251" s="73"/>
      <c r="D251" s="73"/>
      <c r="E251" s="73"/>
      <c r="F251" s="73"/>
      <c r="G251" s="73"/>
      <c r="H251" s="73"/>
      <c r="I251" s="73"/>
      <c r="J251" s="18">
        <f>ROUND((0),2)</f>
        <v>0</v>
      </c>
      <c r="K251" s="18"/>
      <c r="L251" s="56">
        <f>ROUND((0),2)</f>
        <v>0</v>
      </c>
    </row>
    <row r="252" spans="1:12" hidden="1" x14ac:dyDescent="0.2">
      <c r="A252" s="72" t="s">
        <v>76</v>
      </c>
      <c r="B252" s="73"/>
      <c r="C252" s="73"/>
      <c r="D252" s="73"/>
      <c r="E252" s="73"/>
      <c r="F252" s="73"/>
      <c r="G252" s="73"/>
      <c r="H252" s="73"/>
      <c r="I252" s="73"/>
      <c r="J252" s="18">
        <f>ROUND((0),2)</f>
        <v>0</v>
      </c>
      <c r="K252" s="18"/>
      <c r="L252" s="56">
        <f>ROUND((0),2)</f>
        <v>0</v>
      </c>
    </row>
    <row r="253" spans="1:12" hidden="1" x14ac:dyDescent="0.2">
      <c r="A253" s="72" t="s">
        <v>70</v>
      </c>
      <c r="B253" s="73"/>
      <c r="C253" s="73"/>
      <c r="D253" s="73"/>
      <c r="E253" s="73"/>
      <c r="F253" s="73"/>
      <c r="G253" s="73"/>
      <c r="H253" s="73"/>
      <c r="I253" s="73"/>
      <c r="J253" s="18">
        <f>ROUND((0),2)</f>
        <v>0</v>
      </c>
      <c r="K253" s="18"/>
      <c r="L253" s="56">
        <f>ROUND((0),2)</f>
        <v>0</v>
      </c>
    </row>
    <row r="254" spans="1:12" hidden="1" x14ac:dyDescent="0.2">
      <c r="A254" s="72" t="s">
        <v>77</v>
      </c>
      <c r="B254" s="73"/>
      <c r="C254" s="73"/>
      <c r="D254" s="73"/>
      <c r="E254" s="73"/>
      <c r="F254" s="73"/>
      <c r="G254" s="73"/>
      <c r="H254" s="73"/>
      <c r="I254" s="73"/>
      <c r="J254" s="18">
        <f>ROUND(J250-J251-J252-J255-J256,2)</f>
        <v>0</v>
      </c>
      <c r="K254" s="18"/>
      <c r="L254" s="56">
        <f>ROUND(L250-L251-L252-L255-L256,2)</f>
        <v>0</v>
      </c>
    </row>
    <row r="255" spans="1:12" hidden="1" x14ac:dyDescent="0.2">
      <c r="A255" s="72" t="s">
        <v>78</v>
      </c>
      <c r="B255" s="73"/>
      <c r="C255" s="73"/>
      <c r="D255" s="73"/>
      <c r="E255" s="73"/>
      <c r="F255" s="73"/>
      <c r="G255" s="73"/>
      <c r="H255" s="73"/>
      <c r="I255" s="73"/>
      <c r="J255" s="18">
        <f t="shared" ref="J255:J260" si="0">ROUND((0),2)</f>
        <v>0</v>
      </c>
      <c r="K255" s="18"/>
      <c r="L255" s="56">
        <f t="shared" ref="L255:L260" si="1">ROUND((0),2)</f>
        <v>0</v>
      </c>
    </row>
    <row r="256" spans="1:12" hidden="1" x14ac:dyDescent="0.2">
      <c r="A256" s="72" t="s">
        <v>79</v>
      </c>
      <c r="B256" s="73"/>
      <c r="C256" s="73"/>
      <c r="D256" s="73"/>
      <c r="E256" s="73"/>
      <c r="F256" s="73"/>
      <c r="G256" s="73"/>
      <c r="H256" s="73"/>
      <c r="I256" s="73"/>
      <c r="J256" s="18">
        <f t="shared" si="0"/>
        <v>0</v>
      </c>
      <c r="K256" s="18"/>
      <c r="L256" s="56">
        <f t="shared" si="1"/>
        <v>0</v>
      </c>
    </row>
    <row r="257" spans="1:23" hidden="1" x14ac:dyDescent="0.2">
      <c r="A257" s="72" t="s">
        <v>81</v>
      </c>
      <c r="B257" s="73"/>
      <c r="C257" s="73"/>
      <c r="D257" s="73"/>
      <c r="E257" s="73"/>
      <c r="F257" s="73"/>
      <c r="G257" s="73"/>
      <c r="H257" s="73"/>
      <c r="I257" s="73"/>
      <c r="J257" s="18">
        <f t="shared" si="0"/>
        <v>0</v>
      </c>
      <c r="K257" s="18"/>
      <c r="L257" s="56">
        <f t="shared" si="1"/>
        <v>0</v>
      </c>
    </row>
    <row r="258" spans="1:23" hidden="1" x14ac:dyDescent="0.2">
      <c r="A258" s="72" t="s">
        <v>78</v>
      </c>
      <c r="B258" s="73"/>
      <c r="C258" s="73"/>
      <c r="D258" s="73"/>
      <c r="E258" s="73"/>
      <c r="F258" s="73"/>
      <c r="G258" s="73"/>
      <c r="H258" s="73"/>
      <c r="I258" s="73"/>
      <c r="J258" s="18">
        <f t="shared" si="0"/>
        <v>0</v>
      </c>
      <c r="K258" s="18"/>
      <c r="L258" s="56">
        <f t="shared" si="1"/>
        <v>0</v>
      </c>
    </row>
    <row r="259" spans="1:23" hidden="1" x14ac:dyDescent="0.2">
      <c r="A259" s="72" t="s">
        <v>79</v>
      </c>
      <c r="B259" s="73"/>
      <c r="C259" s="73"/>
      <c r="D259" s="73"/>
      <c r="E259" s="73"/>
      <c r="F259" s="73"/>
      <c r="G259" s="73"/>
      <c r="H259" s="73"/>
      <c r="I259" s="73"/>
      <c r="J259" s="18">
        <f t="shared" si="0"/>
        <v>0</v>
      </c>
      <c r="K259" s="18"/>
      <c r="L259" s="56">
        <f t="shared" si="1"/>
        <v>0</v>
      </c>
    </row>
    <row r="260" spans="1:23" hidden="1" x14ac:dyDescent="0.2">
      <c r="A260" s="72" t="s">
        <v>82</v>
      </c>
      <c r="B260" s="73"/>
      <c r="C260" s="73"/>
      <c r="D260" s="73"/>
      <c r="E260" s="73"/>
      <c r="F260" s="73"/>
      <c r="G260" s="73"/>
      <c r="H260" s="73"/>
      <c r="I260" s="73"/>
      <c r="J260" s="18">
        <f t="shared" si="0"/>
        <v>0</v>
      </c>
      <c r="K260" s="18"/>
      <c r="L260" s="56">
        <f t="shared" si="1"/>
        <v>0</v>
      </c>
    </row>
    <row r="261" spans="1:23" x14ac:dyDescent="0.2">
      <c r="A261" s="70" t="s">
        <v>128</v>
      </c>
      <c r="B261" s="71"/>
      <c r="C261" s="71"/>
      <c r="D261" s="71"/>
      <c r="E261" s="71"/>
      <c r="F261" s="71"/>
      <c r="G261" s="71"/>
      <c r="H261" s="71"/>
      <c r="I261" s="71"/>
      <c r="J261" s="18"/>
      <c r="K261" s="18"/>
      <c r="L261" s="63">
        <f>ROUND(L236,2)</f>
        <v>10570810.26</v>
      </c>
    </row>
    <row r="262" spans="1:23" x14ac:dyDescent="0.2">
      <c r="A262" s="72" t="s">
        <v>132</v>
      </c>
      <c r="B262" s="73"/>
      <c r="C262" s="73"/>
      <c r="D262" s="73"/>
      <c r="E262" s="73"/>
      <c r="F262" s="73"/>
      <c r="G262" s="73"/>
      <c r="H262" s="73"/>
      <c r="I262" s="73"/>
      <c r="J262" s="18"/>
      <c r="K262" s="18"/>
      <c r="L262" s="64">
        <f>ROUND(20*(L234)/100,2)</f>
        <v>2114162.0499999998</v>
      </c>
    </row>
    <row r="263" spans="1:23" s="65" customFormat="1" x14ac:dyDescent="0.2">
      <c r="A263" s="104" t="s">
        <v>128</v>
      </c>
      <c r="B263" s="105"/>
      <c r="C263" s="105"/>
      <c r="D263" s="105"/>
      <c r="E263" s="105"/>
      <c r="F263" s="105"/>
      <c r="G263" s="105"/>
      <c r="H263" s="105"/>
      <c r="I263" s="105"/>
      <c r="J263" s="68"/>
      <c r="K263" s="68"/>
      <c r="L263" s="69">
        <f>ROUND(L234+L262,2)</f>
        <v>12684972.310000001</v>
      </c>
      <c r="T263" s="65">
        <f>3179*2200+2400*1930+520*2000</f>
        <v>12665800</v>
      </c>
      <c r="U263" s="66">
        <v>1</v>
      </c>
      <c r="V263" s="66">
        <f>U263*T263</f>
        <v>12665800</v>
      </c>
      <c r="W263" s="66">
        <f>V263-L263</f>
        <v>-19172.310000000522</v>
      </c>
    </row>
    <row r="264" spans="1:23" x14ac:dyDescent="0.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1"/>
      <c r="L264" s="54"/>
      <c r="M264" s="36"/>
      <c r="N264" s="36"/>
      <c r="O264" s="36"/>
      <c r="P264" s="36"/>
      <c r="Q264" s="36"/>
      <c r="R264" s="36"/>
      <c r="S264" s="36"/>
      <c r="T264" s="36"/>
      <c r="U264" s="36"/>
    </row>
    <row r="265" spans="1:23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7"/>
      <c r="L265" s="37"/>
      <c r="M265" s="36"/>
      <c r="N265" s="36"/>
      <c r="O265" s="36"/>
      <c r="P265" s="36"/>
      <c r="Q265" s="36"/>
      <c r="R265" s="36"/>
      <c r="S265" s="36"/>
      <c r="T265" s="36"/>
      <c r="U265" s="36"/>
    </row>
    <row r="266" spans="1:23" x14ac:dyDescent="0.2">
      <c r="A266" s="36"/>
      <c r="B266" s="36" t="s">
        <v>100</v>
      </c>
      <c r="C266" s="36"/>
      <c r="D266" s="36"/>
      <c r="E266" s="36"/>
      <c r="F266" s="36"/>
      <c r="G266" s="36"/>
      <c r="H266" s="36"/>
      <c r="I266" s="36"/>
      <c r="J266" s="36"/>
      <c r="K266" s="37"/>
      <c r="L266" s="37"/>
      <c r="M266" s="36"/>
      <c r="N266" s="36"/>
      <c r="O266" s="36"/>
      <c r="P266" s="36"/>
      <c r="Q266" s="36"/>
      <c r="R266" s="36"/>
      <c r="S266" s="36"/>
      <c r="T266" s="36"/>
      <c r="U266" s="36"/>
    </row>
    <row r="268" spans="1:23" x14ac:dyDescent="0.2">
      <c r="B268" t="s">
        <v>101</v>
      </c>
    </row>
  </sheetData>
  <mergeCells count="68">
    <mergeCell ref="A262:I262"/>
    <mergeCell ref="A263:I263"/>
    <mergeCell ref="D13:F13"/>
    <mergeCell ref="D14:F14"/>
    <mergeCell ref="D15:F15"/>
    <mergeCell ref="A19:B19"/>
    <mergeCell ref="A22:A23"/>
    <mergeCell ref="B22:B23"/>
    <mergeCell ref="C22:C23"/>
    <mergeCell ref="D22:D23"/>
    <mergeCell ref="E22:G22"/>
    <mergeCell ref="A121:L121"/>
    <mergeCell ref="A164:I165"/>
    <mergeCell ref="J164:J165"/>
    <mergeCell ref="L164:L165"/>
    <mergeCell ref="A166:L166"/>
    <mergeCell ref="D12:F12"/>
    <mergeCell ref="H1:L1"/>
    <mergeCell ref="A2:L2"/>
    <mergeCell ref="A3:L3"/>
    <mergeCell ref="A4:L4"/>
    <mergeCell ref="A5:L5"/>
    <mergeCell ref="A6:L6"/>
    <mergeCell ref="A7:L7"/>
    <mergeCell ref="A8:L8"/>
    <mergeCell ref="A9:L9"/>
    <mergeCell ref="A10:L10"/>
    <mergeCell ref="D11:F11"/>
    <mergeCell ref="K22:K23"/>
    <mergeCell ref="L22:L23"/>
    <mergeCell ref="A25:L25"/>
    <mergeCell ref="A119:I120"/>
    <mergeCell ref="J119:J120"/>
    <mergeCell ref="L119:L120"/>
    <mergeCell ref="H22:J22"/>
    <mergeCell ref="A232:I233"/>
    <mergeCell ref="J232:J233"/>
    <mergeCell ref="L232:L233"/>
    <mergeCell ref="A234:G235"/>
    <mergeCell ref="I234:I235"/>
    <mergeCell ref="J234:J235"/>
    <mergeCell ref="L234:L235"/>
    <mergeCell ref="A236:I236"/>
    <mergeCell ref="A237:I237"/>
    <mergeCell ref="A238:I238"/>
    <mergeCell ref="A239:I239"/>
    <mergeCell ref="A240:I240"/>
    <mergeCell ref="A241:I241"/>
    <mergeCell ref="A242:I242"/>
    <mergeCell ref="A243:I243"/>
    <mergeCell ref="A244:I244"/>
    <mergeCell ref="A245:I245"/>
    <mergeCell ref="A246:I246"/>
    <mergeCell ref="A247:I247"/>
    <mergeCell ref="A248:I248"/>
    <mergeCell ref="A249:I249"/>
    <mergeCell ref="A250:I250"/>
    <mergeCell ref="A251:I251"/>
    <mergeCell ref="A252:I252"/>
    <mergeCell ref="A253:I253"/>
    <mergeCell ref="A254:I254"/>
    <mergeCell ref="A255:I255"/>
    <mergeCell ref="A261:I261"/>
    <mergeCell ref="A256:I256"/>
    <mergeCell ref="A257:I257"/>
    <mergeCell ref="A258:I258"/>
    <mergeCell ref="A259:I259"/>
    <mergeCell ref="A260:I260"/>
  </mergeCells>
  <pageMargins left="0.23622047244094491" right="0.19685039370078741" top="0.39370078740157483" bottom="0.47" header="0.27559055118110237" footer="0.27559055118110237"/>
  <pageSetup paperSize="9" orientation="landscape" horizontalDpi="300" verticalDpi="300" r:id="rId1"/>
  <headerFooter alignWithMargins="0"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8"/>
  <sheetViews>
    <sheetView view="pageBreakPreview" topLeftCell="A16" zoomScale="130" zoomScaleSheetLayoutView="130" workbookViewId="0">
      <pane ySplit="9450" topLeftCell="A257" activePane="bottomLeft"/>
      <selection activeCell="U23" sqref="U23"/>
      <selection pane="bottomLeft" activeCell="L263" sqref="L263"/>
    </sheetView>
  </sheetViews>
  <sheetFormatPr defaultRowHeight="12.75" x14ac:dyDescent="0.2"/>
  <cols>
    <col min="1" max="1" width="2.85546875" customWidth="1"/>
    <col min="2" max="2" width="13.28515625" customWidth="1"/>
    <col min="3" max="3" width="41.140625" customWidth="1"/>
    <col min="4" max="5" width="8.28515625" customWidth="1"/>
    <col min="6" max="6" width="10.28515625" customWidth="1"/>
    <col min="8" max="8" width="10" customWidth="1"/>
    <col min="9" max="9" width="10.140625" customWidth="1"/>
    <col min="10" max="10" width="9.42578125" customWidth="1"/>
    <col min="11" max="11" width="7.85546875" style="38" customWidth="1"/>
    <col min="12" max="12" width="9.140625" style="38" customWidth="1"/>
    <col min="13" max="13" width="0.140625" customWidth="1"/>
    <col min="14" max="14" width="9.140625" hidden="1" customWidth="1"/>
    <col min="15" max="15" width="0.140625" hidden="1" customWidth="1"/>
    <col min="16" max="17" width="9.140625" hidden="1" customWidth="1"/>
    <col min="18" max="19" width="0.140625" customWidth="1"/>
    <col min="22" max="22" width="10.140625" bestFit="1" customWidth="1"/>
  </cols>
  <sheetData>
    <row r="1" spans="1:14" ht="63.75" customHeight="1" x14ac:dyDescent="0.2">
      <c r="H1" s="94" t="s">
        <v>130</v>
      </c>
      <c r="I1" s="95"/>
      <c r="J1" s="95"/>
      <c r="K1" s="95"/>
      <c r="L1" s="95"/>
    </row>
    <row r="2" spans="1:14" x14ac:dyDescent="0.2">
      <c r="A2" s="96" t="s">
        <v>83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4" x14ac:dyDescent="0.2">
      <c r="A3" s="97" t="s">
        <v>84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4" ht="25.5" customHeight="1" x14ac:dyDescent="0.2">
      <c r="A4" s="98" t="s">
        <v>129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1"/>
    </row>
    <row r="5" spans="1:14" ht="10.5" customHeight="1" x14ac:dyDescent="0.2">
      <c r="A5" s="99" t="s">
        <v>85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"/>
    </row>
    <row r="6" spans="1:14" ht="14.25" customHeight="1" x14ac:dyDescent="0.2">
      <c r="A6" s="100" t="str">
        <f>A4</f>
        <v>Ремонт подъезда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"/>
    </row>
    <row r="7" spans="1:14" ht="10.5" customHeight="1" x14ac:dyDescent="0.2">
      <c r="A7" s="101" t="s">
        <v>86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"/>
    </row>
    <row r="8" spans="1:14" ht="21" customHeight="1" x14ac:dyDescent="0.2">
      <c r="A8" s="102" t="s">
        <v>87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"/>
    </row>
    <row r="9" spans="1:14" ht="11.25" customHeight="1" x14ac:dyDescent="0.2">
      <c r="A9" s="100" t="str">
        <f>A6</f>
        <v>Ремонт подъезда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"/>
    </row>
    <row r="10" spans="1:14" ht="10.5" customHeight="1" x14ac:dyDescent="0.2">
      <c r="A10" s="101" t="s">
        <v>88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"/>
    </row>
    <row r="11" spans="1:14" x14ac:dyDescent="0.2">
      <c r="B11" s="2"/>
      <c r="C11" s="17" t="s">
        <v>89</v>
      </c>
      <c r="D11" s="103" t="s">
        <v>90</v>
      </c>
      <c r="E11" s="103"/>
      <c r="F11" s="103"/>
      <c r="G11" s="2" t="s">
        <v>91</v>
      </c>
      <c r="H11" s="2"/>
      <c r="I11" s="2"/>
      <c r="J11" s="2"/>
      <c r="K11" s="2"/>
      <c r="L11" s="2"/>
      <c r="M11" s="1"/>
    </row>
    <row r="12" spans="1:14" x14ac:dyDescent="0.2">
      <c r="B12" s="2"/>
      <c r="C12" s="17" t="s">
        <v>92</v>
      </c>
      <c r="D12" s="93" t="s">
        <v>93</v>
      </c>
      <c r="E12" s="93"/>
      <c r="F12" s="93"/>
      <c r="G12" s="2"/>
      <c r="H12" s="2"/>
      <c r="I12" s="2"/>
      <c r="J12" s="2"/>
      <c r="K12" s="2"/>
      <c r="L12" s="2"/>
      <c r="M12" s="1"/>
    </row>
    <row r="13" spans="1:14" ht="12" customHeight="1" x14ac:dyDescent="0.2">
      <c r="A13" s="2"/>
      <c r="B13" s="2"/>
      <c r="D13" s="106" t="s">
        <v>94</v>
      </c>
      <c r="E13" s="106"/>
      <c r="F13" s="106"/>
      <c r="G13" s="34"/>
      <c r="H13" s="34"/>
      <c r="I13" s="34"/>
      <c r="J13" s="34"/>
      <c r="K13" s="34"/>
      <c r="L13" s="34"/>
      <c r="M13" s="34"/>
      <c r="N13" s="34"/>
    </row>
    <row r="14" spans="1:14" x14ac:dyDescent="0.2">
      <c r="B14" s="2"/>
      <c r="C14" s="17" t="s">
        <v>95</v>
      </c>
      <c r="D14" s="107" t="s">
        <v>131</v>
      </c>
      <c r="E14" s="107"/>
      <c r="F14" s="107"/>
      <c r="G14" s="2"/>
      <c r="H14" s="2"/>
      <c r="I14" s="2"/>
      <c r="J14" s="2"/>
      <c r="K14" s="2"/>
      <c r="L14" s="2"/>
      <c r="M14" s="1"/>
    </row>
    <row r="15" spans="1:14" x14ac:dyDescent="0.2">
      <c r="B15" s="2"/>
      <c r="C15" s="17" t="s">
        <v>6</v>
      </c>
      <c r="D15" s="108" t="s">
        <v>96</v>
      </c>
      <c r="E15" s="108"/>
      <c r="F15" s="108"/>
      <c r="G15" s="2"/>
      <c r="H15" s="2"/>
      <c r="I15" s="2"/>
      <c r="J15" s="2"/>
      <c r="K15" s="2"/>
      <c r="L15" s="2"/>
      <c r="M15" s="1"/>
    </row>
    <row r="16" spans="1:14" x14ac:dyDescent="0.2">
      <c r="B16" s="2"/>
      <c r="C16" s="17"/>
      <c r="D16" s="16"/>
      <c r="E16" s="16"/>
      <c r="F16" s="16"/>
      <c r="G16" s="2"/>
      <c r="H16" s="2"/>
      <c r="I16" s="2"/>
      <c r="J16" s="2"/>
      <c r="K16" s="2"/>
      <c r="L16" s="2"/>
      <c r="M16" s="1"/>
    </row>
    <row r="17" spans="1:21" x14ac:dyDescent="0.2">
      <c r="A17" s="2" t="s">
        <v>2</v>
      </c>
      <c r="B17" s="2"/>
      <c r="C17" s="17" t="e">
        <f>#REF!/1000&amp;" ("&amp;J234/1000&amp;")"</f>
        <v>#REF!</v>
      </c>
      <c r="D17" s="2" t="s">
        <v>7</v>
      </c>
      <c r="E17" s="2"/>
      <c r="F17" s="2"/>
      <c r="G17" s="2"/>
      <c r="H17" s="2"/>
      <c r="I17" s="2"/>
      <c r="J17" s="2"/>
      <c r="K17" s="2"/>
      <c r="L17" s="2"/>
      <c r="M17" s="1"/>
    </row>
    <row r="18" spans="1:21" ht="3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</row>
    <row r="19" spans="1:21" x14ac:dyDescent="0.2">
      <c r="A19" s="109" t="s">
        <v>8</v>
      </c>
      <c r="B19" s="109"/>
      <c r="C19" s="2"/>
      <c r="D19" s="2"/>
      <c r="E19" s="2" t="s">
        <v>9</v>
      </c>
      <c r="F19" s="2"/>
      <c r="G19" s="2"/>
      <c r="H19" s="2"/>
      <c r="I19" s="35"/>
      <c r="J19" s="32" t="str">
        <f>SUMIF(C21:C263,"ОТ",L21:L263)/1000&amp;" ("&amp;SUMIF(C21:C263,"ОТ",J21:J263)/1000&amp;")"</f>
        <v>111,88458 (3,59989)</v>
      </c>
      <c r="K19" s="31" t="s">
        <v>7</v>
      </c>
      <c r="L19" s="2"/>
      <c r="M19" s="1"/>
    </row>
    <row r="20" spans="1:21" x14ac:dyDescent="0.2">
      <c r="A20" s="2" t="s">
        <v>28</v>
      </c>
      <c r="B20" s="2"/>
      <c r="C20" s="32" t="e">
        <f>C17</f>
        <v>#REF!</v>
      </c>
      <c r="D20" s="31" t="s">
        <v>7</v>
      </c>
      <c r="E20" s="2" t="s">
        <v>10</v>
      </c>
      <c r="F20" s="2"/>
      <c r="G20" s="2"/>
      <c r="H20" s="2"/>
      <c r="I20" s="35"/>
      <c r="J20" s="31">
        <f>SUMIF(C21:C263,"ЗТ",G21:G263)</f>
        <v>384.39999999999992</v>
      </c>
      <c r="K20" s="31" t="s">
        <v>11</v>
      </c>
      <c r="L20" s="2"/>
      <c r="M20" s="1"/>
    </row>
    <row r="21" spans="1:2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</row>
    <row r="22" spans="1:21" x14ac:dyDescent="0.2">
      <c r="A22" s="110" t="s">
        <v>102</v>
      </c>
      <c r="B22" s="112" t="s">
        <v>0</v>
      </c>
      <c r="C22" s="112" t="s">
        <v>1</v>
      </c>
      <c r="D22" s="110" t="s">
        <v>5</v>
      </c>
      <c r="E22" s="114" t="s">
        <v>3</v>
      </c>
      <c r="F22" s="115"/>
      <c r="G22" s="116"/>
      <c r="H22" s="90" t="s">
        <v>12</v>
      </c>
      <c r="I22" s="91"/>
      <c r="J22" s="92"/>
      <c r="K22" s="85" t="s">
        <v>103</v>
      </c>
      <c r="L22" s="87" t="s">
        <v>13</v>
      </c>
      <c r="M22" s="1"/>
    </row>
    <row r="23" spans="1:21" ht="51" x14ac:dyDescent="0.2">
      <c r="A23" s="111"/>
      <c r="B23" s="113"/>
      <c r="C23" s="113"/>
      <c r="D23" s="111"/>
      <c r="E23" s="42" t="s">
        <v>14</v>
      </c>
      <c r="F23" s="42" t="s">
        <v>104</v>
      </c>
      <c r="G23" s="42" t="s">
        <v>15</v>
      </c>
      <c r="H23" s="42" t="s">
        <v>14</v>
      </c>
      <c r="I23" s="42" t="s">
        <v>104</v>
      </c>
      <c r="J23" s="43" t="s">
        <v>4</v>
      </c>
      <c r="K23" s="86"/>
      <c r="L23" s="88"/>
      <c r="M23" s="1"/>
      <c r="U23">
        <v>1.3076208291345717</v>
      </c>
    </row>
    <row r="24" spans="1:21" x14ac:dyDescent="0.2">
      <c r="A24" s="3" t="s">
        <v>16</v>
      </c>
      <c r="B24" s="3" t="s">
        <v>17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9" t="s">
        <v>27</v>
      </c>
      <c r="M24" s="1"/>
    </row>
    <row r="25" spans="1:21" x14ac:dyDescent="0.2">
      <c r="A25" s="89" t="s">
        <v>105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1"/>
      <c r="N25" s="1"/>
      <c r="O25" s="1"/>
    </row>
    <row r="26" spans="1:21" ht="33.75" x14ac:dyDescent="0.2">
      <c r="A26" s="4">
        <v>1</v>
      </c>
      <c r="B26" s="5" t="s">
        <v>106</v>
      </c>
      <c r="C26" s="6" t="s">
        <v>107</v>
      </c>
      <c r="D26" s="7" t="s">
        <v>29</v>
      </c>
      <c r="E26" s="8">
        <f>G26</f>
        <v>26.29</v>
      </c>
      <c r="F26" s="9"/>
      <c r="G26" s="10">
        <v>26.29</v>
      </c>
      <c r="H26" s="10">
        <v>1266.9100000000001</v>
      </c>
      <c r="I26" s="11"/>
      <c r="J26" s="10">
        <f>ROUND(G26*H26,2)</f>
        <v>33307.06</v>
      </c>
      <c r="K26" s="9"/>
      <c r="L26" s="44"/>
      <c r="M26" s="1"/>
      <c r="N26" s="1">
        <v>1</v>
      </c>
      <c r="O26" s="1"/>
      <c r="P26">
        <v>4373</v>
      </c>
      <c r="Q26">
        <v>7064</v>
      </c>
      <c r="R26">
        <v>66210</v>
      </c>
    </row>
    <row r="27" spans="1:21" x14ac:dyDescent="0.2">
      <c r="A27" s="12"/>
      <c r="B27" s="13" t="s">
        <v>16</v>
      </c>
      <c r="C27" s="14" t="s">
        <v>30</v>
      </c>
      <c r="D27" s="15"/>
      <c r="E27" s="16"/>
      <c r="F27" s="2"/>
      <c r="G27" s="2"/>
      <c r="H27" s="17">
        <v>3.9</v>
      </c>
      <c r="I27" s="17"/>
      <c r="J27" s="17">
        <f>ROUND(H27*G26,2)</f>
        <v>102.53</v>
      </c>
      <c r="K27" s="18">
        <v>31.08</v>
      </c>
      <c r="L27" s="45">
        <f>ROUND(J27*K27,2)</f>
        <v>3186.63</v>
      </c>
      <c r="M27" s="1"/>
      <c r="N27" s="1"/>
      <c r="O27" s="1"/>
    </row>
    <row r="28" spans="1:21" x14ac:dyDescent="0.2">
      <c r="A28" s="12"/>
      <c r="B28" s="13" t="s">
        <v>17</v>
      </c>
      <c r="C28" s="14" t="s">
        <v>31</v>
      </c>
      <c r="D28" s="15"/>
      <c r="E28" s="16"/>
      <c r="F28" s="2"/>
      <c r="G28" s="2"/>
      <c r="H28" s="17">
        <v>1262.76</v>
      </c>
      <c r="I28" s="17"/>
      <c r="J28" s="17">
        <f>ROUND(H28*G26,2)</f>
        <v>33197.96</v>
      </c>
      <c r="K28" s="18">
        <v>11.78</v>
      </c>
      <c r="L28" s="45">
        <f>ROUND(J28*K28,2)</f>
        <v>391071.97</v>
      </c>
      <c r="M28" s="1"/>
      <c r="N28" s="1"/>
      <c r="O28" s="1"/>
    </row>
    <row r="29" spans="1:21" x14ac:dyDescent="0.2">
      <c r="A29" s="12"/>
      <c r="B29" s="13" t="s">
        <v>18</v>
      </c>
      <c r="C29" s="14" t="s">
        <v>32</v>
      </c>
      <c r="D29" s="15"/>
      <c r="E29" s="16"/>
      <c r="F29" s="2"/>
      <c r="G29" s="2"/>
      <c r="H29" s="17">
        <v>8.06</v>
      </c>
      <c r="I29" s="17"/>
      <c r="J29" s="17">
        <f>ROUND(H29*G26,2)</f>
        <v>211.9</v>
      </c>
      <c r="K29" s="18">
        <v>31.08</v>
      </c>
      <c r="L29" s="45">
        <f>ROUND(J29*K29,2)</f>
        <v>6585.85</v>
      </c>
      <c r="M29" s="1"/>
      <c r="N29" s="1"/>
      <c r="O29" s="1"/>
    </row>
    <row r="30" spans="1:21" x14ac:dyDescent="0.2">
      <c r="A30" s="12"/>
      <c r="B30" s="13" t="s">
        <v>19</v>
      </c>
      <c r="C30" s="14" t="s">
        <v>33</v>
      </c>
      <c r="D30" s="15"/>
      <c r="E30" s="16"/>
      <c r="F30" s="2"/>
      <c r="G30" s="2"/>
      <c r="H30" s="17">
        <v>0.25</v>
      </c>
      <c r="I30" s="17"/>
      <c r="J30" s="17">
        <f>ROUND(H30*G26,2)</f>
        <v>6.57</v>
      </c>
      <c r="K30" s="18">
        <v>8.61</v>
      </c>
      <c r="L30" s="45">
        <f>ROUND(J30*K30,2)</f>
        <v>56.57</v>
      </c>
      <c r="M30" s="1"/>
      <c r="N30" s="1"/>
      <c r="O30" s="1"/>
    </row>
    <row r="31" spans="1:21" x14ac:dyDescent="0.2">
      <c r="A31" s="12"/>
      <c r="B31" s="13" t="s">
        <v>34</v>
      </c>
      <c r="C31" s="14" t="s">
        <v>35</v>
      </c>
      <c r="D31" s="15" t="s">
        <v>36</v>
      </c>
      <c r="E31" s="16">
        <v>0</v>
      </c>
      <c r="F31" s="2"/>
      <c r="G31" s="2">
        <f>ROUND(E31*G26,2)</f>
        <v>0</v>
      </c>
      <c r="H31" s="17"/>
      <c r="I31" s="17"/>
      <c r="J31" s="17"/>
      <c r="K31" s="18"/>
      <c r="L31" s="45"/>
      <c r="M31" s="1"/>
      <c r="N31" s="1"/>
      <c r="O31" s="1"/>
    </row>
    <row r="32" spans="1:21" x14ac:dyDescent="0.2">
      <c r="A32" s="12"/>
      <c r="B32" s="13" t="s">
        <v>34</v>
      </c>
      <c r="C32" s="14" t="s">
        <v>37</v>
      </c>
      <c r="D32" s="15" t="s">
        <v>36</v>
      </c>
      <c r="E32" s="16">
        <v>1</v>
      </c>
      <c r="F32" s="2"/>
      <c r="G32" s="2">
        <f>ROUND(E32*G26,2)</f>
        <v>26.29</v>
      </c>
      <c r="H32" s="17"/>
      <c r="I32" s="17"/>
      <c r="J32" s="17"/>
      <c r="K32" s="18"/>
      <c r="L32" s="45"/>
      <c r="M32" s="1"/>
      <c r="N32" s="1"/>
      <c r="O32" s="1"/>
    </row>
    <row r="33" spans="1:18" x14ac:dyDescent="0.2">
      <c r="A33" s="12"/>
      <c r="B33" s="13" t="s">
        <v>34</v>
      </c>
      <c r="C33" s="19" t="s">
        <v>38</v>
      </c>
      <c r="D33" s="15"/>
      <c r="E33" s="16"/>
      <c r="F33" s="2"/>
      <c r="G33" s="2"/>
      <c r="H33" s="20">
        <f>ROUND(H27+H28+H30,2)</f>
        <v>1266.9100000000001</v>
      </c>
      <c r="I33" s="17"/>
      <c r="J33" s="20">
        <f>ROUND(J27+J28+J30,2)</f>
        <v>33307.06</v>
      </c>
      <c r="K33" s="18"/>
      <c r="L33" s="46">
        <f>ROUND(L27+L28+L30,2)</f>
        <v>394315.17</v>
      </c>
      <c r="M33" s="1"/>
      <c r="N33" s="1"/>
      <c r="O33" s="1"/>
    </row>
    <row r="34" spans="1:18" ht="22.5" x14ac:dyDescent="0.2">
      <c r="A34" s="12"/>
      <c r="B34" s="13" t="s">
        <v>39</v>
      </c>
      <c r="C34" s="14" t="str">
        <f>" Накладные расходы 147%"&amp;"     "&amp;G34&amp;"*(от "&amp;L27&amp;"+"&amp;L29&amp;")/100"</f>
        <v xml:space="preserve"> Накладные расходы 147%     147*(от 3186,63+6585,85)/100</v>
      </c>
      <c r="D34" s="15" t="s">
        <v>40</v>
      </c>
      <c r="E34" s="16">
        <v>147</v>
      </c>
      <c r="F34" s="2"/>
      <c r="G34" s="2">
        <v>147</v>
      </c>
      <c r="H34" s="17"/>
      <c r="I34" s="17"/>
      <c r="J34" s="17">
        <f>ROUND(G34*(J27+J29)/100,2)</f>
        <v>462.21</v>
      </c>
      <c r="K34" s="18"/>
      <c r="L34" s="47">
        <f>ROUND(G34*(L27+L29)/100,2)</f>
        <v>14365.55</v>
      </c>
      <c r="M34" s="1"/>
      <c r="N34" s="1"/>
      <c r="O34" s="1"/>
    </row>
    <row r="35" spans="1:18" ht="22.5" x14ac:dyDescent="0.2">
      <c r="A35" s="12"/>
      <c r="B35" s="13" t="s">
        <v>41</v>
      </c>
      <c r="C35" s="14" t="str">
        <f>" Сметная прибыль 134%"&amp;"     "&amp;G35&amp;"*(от "&amp;L27&amp;"+"&amp;L29&amp;")/100"</f>
        <v xml:space="preserve"> Сметная прибыль 134%     134*(от 3186,63+6585,85)/100</v>
      </c>
      <c r="D35" s="15" t="s">
        <v>40</v>
      </c>
      <c r="E35" s="16">
        <v>134</v>
      </c>
      <c r="F35" s="2"/>
      <c r="G35" s="2">
        <v>134</v>
      </c>
      <c r="H35" s="17"/>
      <c r="I35" s="17"/>
      <c r="J35" s="17">
        <f>ROUND(G35*(J27+J29)/100,2)</f>
        <v>421.34</v>
      </c>
      <c r="K35" s="18"/>
      <c r="L35" s="47">
        <f>ROUND(G35*(L27+L29)/100,2)</f>
        <v>13095.12</v>
      </c>
      <c r="M35" s="1"/>
      <c r="N35" s="1"/>
      <c r="O35" s="1"/>
    </row>
    <row r="36" spans="1:18" x14ac:dyDescent="0.2">
      <c r="A36" s="12"/>
      <c r="B36" s="13" t="s">
        <v>34</v>
      </c>
      <c r="C36" s="19" t="s">
        <v>42</v>
      </c>
      <c r="D36" s="15"/>
      <c r="E36" s="16"/>
      <c r="F36" s="2"/>
      <c r="G36" s="2"/>
      <c r="H36" s="17"/>
      <c r="I36" s="17"/>
      <c r="J36" s="20">
        <f>ROUND(J33+J34+J35,2)</f>
        <v>34190.61</v>
      </c>
      <c r="K36" s="18"/>
      <c r="L36" s="46">
        <f>ROUND(L33+L34+L35,2)</f>
        <v>421775.84</v>
      </c>
      <c r="N36" s="1"/>
      <c r="O36" s="1">
        <v>2</v>
      </c>
    </row>
    <row r="37" spans="1:18" ht="33.75" x14ac:dyDescent="0.2">
      <c r="A37" s="4">
        <v>2</v>
      </c>
      <c r="B37" s="5" t="s">
        <v>108</v>
      </c>
      <c r="C37" s="6" t="s">
        <v>109</v>
      </c>
      <c r="D37" s="7" t="s">
        <v>43</v>
      </c>
      <c r="E37" s="8">
        <v>500</v>
      </c>
      <c r="F37" s="9"/>
      <c r="G37" s="10">
        <v>500</v>
      </c>
      <c r="H37" s="10">
        <v>6.69</v>
      </c>
      <c r="I37" s="11"/>
      <c r="J37" s="48">
        <f>ROUND(G37*H37,2)</f>
        <v>3345</v>
      </c>
      <c r="K37" s="9">
        <v>1</v>
      </c>
      <c r="L37" s="49">
        <f>ROUND(J37*K37,2)</f>
        <v>3345</v>
      </c>
      <c r="N37">
        <v>1</v>
      </c>
      <c r="O37">
        <v>2</v>
      </c>
      <c r="P37">
        <v>4373</v>
      </c>
      <c r="Q37">
        <v>7064</v>
      </c>
      <c r="R37">
        <v>66211</v>
      </c>
    </row>
    <row r="38" spans="1:18" ht="22.5" x14ac:dyDescent="0.2">
      <c r="A38" s="4">
        <v>3</v>
      </c>
      <c r="B38" s="5" t="s">
        <v>110</v>
      </c>
      <c r="C38" s="6" t="s">
        <v>111</v>
      </c>
      <c r="D38" s="7" t="s">
        <v>46</v>
      </c>
      <c r="E38" s="8">
        <f>G38</f>
        <v>2.2000000000000002</v>
      </c>
      <c r="F38" s="9"/>
      <c r="G38" s="10">
        <v>2.2000000000000002</v>
      </c>
      <c r="H38" s="10">
        <v>510.77</v>
      </c>
      <c r="I38" s="11"/>
      <c r="J38" s="10">
        <f>ROUND(G38*H38,2)</f>
        <v>1123.69</v>
      </c>
      <c r="K38" s="9"/>
      <c r="L38" s="44"/>
      <c r="N38">
        <v>1</v>
      </c>
      <c r="P38">
        <v>4373</v>
      </c>
      <c r="Q38">
        <v>7064</v>
      </c>
      <c r="R38">
        <v>66201</v>
      </c>
    </row>
    <row r="39" spans="1:18" x14ac:dyDescent="0.2">
      <c r="A39" s="12"/>
      <c r="B39" s="13" t="s">
        <v>16</v>
      </c>
      <c r="C39" s="14" t="s">
        <v>30</v>
      </c>
      <c r="D39" s="15"/>
      <c r="E39" s="16"/>
      <c r="F39" s="2"/>
      <c r="G39" s="2"/>
      <c r="H39" s="17">
        <v>103.12</v>
      </c>
      <c r="I39" s="17"/>
      <c r="J39" s="17">
        <f>ROUND(H39*G38,2)</f>
        <v>226.86</v>
      </c>
      <c r="K39" s="18">
        <v>31.08</v>
      </c>
      <c r="L39" s="45">
        <f>ROUND(J39*K39,2)</f>
        <v>7050.81</v>
      </c>
    </row>
    <row r="40" spans="1:18" x14ac:dyDescent="0.2">
      <c r="A40" s="12"/>
      <c r="B40" s="13" t="s">
        <v>17</v>
      </c>
      <c r="C40" s="14" t="s">
        <v>31</v>
      </c>
      <c r="D40" s="15"/>
      <c r="E40" s="16"/>
      <c r="F40" s="2"/>
      <c r="G40" s="2"/>
      <c r="H40" s="17">
        <v>407.65000000000003</v>
      </c>
      <c r="I40" s="17"/>
      <c r="J40" s="17">
        <f>ROUND(H40*G38,2)</f>
        <v>896.83</v>
      </c>
      <c r="K40" s="18">
        <v>11.78</v>
      </c>
      <c r="L40" s="45">
        <f>ROUND(J40*K40,2)</f>
        <v>10564.66</v>
      </c>
    </row>
    <row r="41" spans="1:18" x14ac:dyDescent="0.2">
      <c r="A41" s="12"/>
      <c r="B41" s="13" t="s">
        <v>18</v>
      </c>
      <c r="C41" s="14" t="s">
        <v>32</v>
      </c>
      <c r="D41" s="15"/>
      <c r="E41" s="16"/>
      <c r="F41" s="2"/>
      <c r="G41" s="2"/>
      <c r="H41" s="17">
        <v>50.300000000000004</v>
      </c>
      <c r="I41" s="17"/>
      <c r="J41" s="17">
        <f>ROUND(H41*G38,2)</f>
        <v>110.66</v>
      </c>
      <c r="K41" s="18">
        <v>31.08</v>
      </c>
      <c r="L41" s="45">
        <f>ROUND(J41*K41,2)</f>
        <v>3439.31</v>
      </c>
    </row>
    <row r="42" spans="1:18" ht="12.75" hidden="1" customHeight="1" x14ac:dyDescent="0.2">
      <c r="A42" s="12"/>
      <c r="B42" s="13" t="s">
        <v>19</v>
      </c>
      <c r="C42" s="14" t="s">
        <v>33</v>
      </c>
      <c r="D42" s="15"/>
      <c r="E42" s="16"/>
      <c r="F42" s="2"/>
      <c r="G42" s="2"/>
      <c r="H42" s="17">
        <v>0</v>
      </c>
      <c r="I42" s="17"/>
      <c r="J42" s="17">
        <f>ROUND(H42*G38,2)</f>
        <v>0</v>
      </c>
      <c r="K42" s="18">
        <v>8.61</v>
      </c>
      <c r="L42" s="45">
        <f>ROUND(J42*K42,2)</f>
        <v>0</v>
      </c>
    </row>
    <row r="43" spans="1:18" x14ac:dyDescent="0.2">
      <c r="A43" s="12"/>
      <c r="B43" s="13" t="s">
        <v>34</v>
      </c>
      <c r="C43" s="14" t="s">
        <v>35</v>
      </c>
      <c r="D43" s="15" t="s">
        <v>36</v>
      </c>
      <c r="E43" s="16">
        <v>13</v>
      </c>
      <c r="F43" s="2"/>
      <c r="G43" s="2">
        <f>ROUND(E43*G38,2)</f>
        <v>28.6</v>
      </c>
      <c r="H43" s="17"/>
      <c r="I43" s="17"/>
      <c r="J43" s="17"/>
      <c r="K43" s="18"/>
      <c r="L43" s="45"/>
    </row>
    <row r="44" spans="1:18" x14ac:dyDescent="0.2">
      <c r="A44" s="12"/>
      <c r="B44" s="13" t="s">
        <v>34</v>
      </c>
      <c r="C44" s="14" t="s">
        <v>37</v>
      </c>
      <c r="D44" s="15" t="s">
        <v>36</v>
      </c>
      <c r="E44" s="16">
        <v>4</v>
      </c>
      <c r="F44" s="2"/>
      <c r="G44" s="2">
        <f>ROUND(E44*G38,2)</f>
        <v>8.8000000000000007</v>
      </c>
      <c r="H44" s="17"/>
      <c r="I44" s="17"/>
      <c r="J44" s="17"/>
      <c r="K44" s="18"/>
      <c r="L44" s="45"/>
    </row>
    <row r="45" spans="1:18" x14ac:dyDescent="0.2">
      <c r="A45" s="12"/>
      <c r="B45" s="13" t="s">
        <v>34</v>
      </c>
      <c r="C45" s="19" t="s">
        <v>38</v>
      </c>
      <c r="D45" s="15"/>
      <c r="E45" s="16"/>
      <c r="F45" s="2"/>
      <c r="G45" s="2"/>
      <c r="H45" s="20">
        <f>ROUND(H39+H40+H42,2)</f>
        <v>510.77</v>
      </c>
      <c r="I45" s="17"/>
      <c r="J45" s="20">
        <f>ROUND(J39+J40+J42,2)</f>
        <v>1123.69</v>
      </c>
      <c r="K45" s="18"/>
      <c r="L45" s="46">
        <f>ROUND(L39+L40+L42,2)</f>
        <v>17615.47</v>
      </c>
    </row>
    <row r="46" spans="1:18" ht="22.5" x14ac:dyDescent="0.2">
      <c r="A46" s="12"/>
      <c r="B46" s="13" t="s">
        <v>39</v>
      </c>
      <c r="C46" s="14" t="str">
        <f>" Накладные расходы 147%"&amp;"     "&amp;G46&amp;"*(от "&amp;L39&amp;"+"&amp;L41&amp;")/100"</f>
        <v xml:space="preserve"> Накладные расходы 147%     147*(от 7050,81+3439,31)/100</v>
      </c>
      <c r="D46" s="15" t="s">
        <v>40</v>
      </c>
      <c r="E46" s="16">
        <v>147</v>
      </c>
      <c r="F46" s="2"/>
      <c r="G46" s="2">
        <v>147</v>
      </c>
      <c r="H46" s="17"/>
      <c r="I46" s="17"/>
      <c r="J46" s="17">
        <f>ROUND(G46*(J39+J41)/100,2)</f>
        <v>496.15</v>
      </c>
      <c r="K46" s="18"/>
      <c r="L46" s="47">
        <f>ROUND(G46*(L39+L41)/100,2)</f>
        <v>15420.48</v>
      </c>
    </row>
    <row r="47" spans="1:18" ht="22.5" x14ac:dyDescent="0.2">
      <c r="A47" s="12"/>
      <c r="B47" s="13" t="s">
        <v>41</v>
      </c>
      <c r="C47" s="14" t="str">
        <f>" Сметная прибыль 134%"&amp;"     "&amp;G47&amp;"*(от "&amp;L39&amp;"+"&amp;L41&amp;")/100"</f>
        <v xml:space="preserve"> Сметная прибыль 134%     134*(от 7050,81+3439,31)/100</v>
      </c>
      <c r="D47" s="15" t="s">
        <v>40</v>
      </c>
      <c r="E47" s="16">
        <v>134</v>
      </c>
      <c r="F47" s="2"/>
      <c r="G47" s="2">
        <v>134</v>
      </c>
      <c r="H47" s="17"/>
      <c r="I47" s="17"/>
      <c r="J47" s="17">
        <f>ROUND(G47*(J39+J41)/100,2)</f>
        <v>452.28</v>
      </c>
      <c r="K47" s="18"/>
      <c r="L47" s="47">
        <f>ROUND(G47*(L39+L41)/100,2)</f>
        <v>14056.76</v>
      </c>
    </row>
    <row r="48" spans="1:18" x14ac:dyDescent="0.2">
      <c r="A48" s="12"/>
      <c r="B48" s="13" t="s">
        <v>34</v>
      </c>
      <c r="C48" s="19" t="s">
        <v>42</v>
      </c>
      <c r="D48" s="15"/>
      <c r="E48" s="16"/>
      <c r="F48" s="2"/>
      <c r="G48" s="2"/>
      <c r="H48" s="17"/>
      <c r="I48" s="17"/>
      <c r="J48" s="20">
        <f>ROUND(J45+J46+J47,2)</f>
        <v>2072.12</v>
      </c>
      <c r="K48" s="18"/>
      <c r="L48" s="46">
        <f>ROUND(L45+L46+L47,2)</f>
        <v>47092.71</v>
      </c>
      <c r="O48">
        <v>2</v>
      </c>
    </row>
    <row r="49" spans="1:18" ht="22.5" x14ac:dyDescent="0.2">
      <c r="A49" s="4">
        <v>4</v>
      </c>
      <c r="B49" s="5" t="s">
        <v>44</v>
      </c>
      <c r="C49" s="6" t="s">
        <v>45</v>
      </c>
      <c r="D49" s="7" t="s">
        <v>46</v>
      </c>
      <c r="E49" s="8">
        <f>G49</f>
        <v>2.2000000000000002</v>
      </c>
      <c r="F49" s="9"/>
      <c r="G49" s="10">
        <v>2.2000000000000002</v>
      </c>
      <c r="H49" s="10">
        <v>5459.07</v>
      </c>
      <c r="I49" s="11"/>
      <c r="J49" s="10">
        <f>ROUND(G49*H49,2)</f>
        <v>12009.95</v>
      </c>
      <c r="K49" s="9"/>
      <c r="L49" s="44"/>
      <c r="N49">
        <v>1</v>
      </c>
      <c r="P49">
        <v>4373</v>
      </c>
      <c r="Q49">
        <v>7064</v>
      </c>
      <c r="R49">
        <v>66207</v>
      </c>
    </row>
    <row r="50" spans="1:18" x14ac:dyDescent="0.2">
      <c r="A50" s="12"/>
      <c r="B50" s="13" t="s">
        <v>16</v>
      </c>
      <c r="C50" s="14" t="s">
        <v>30</v>
      </c>
      <c r="D50" s="15"/>
      <c r="E50" s="16"/>
      <c r="F50" s="2"/>
      <c r="G50" s="2"/>
      <c r="H50" s="17">
        <v>173.23</v>
      </c>
      <c r="I50" s="17"/>
      <c r="J50" s="17">
        <f>ROUND(H50*G49,2)</f>
        <v>381.11</v>
      </c>
      <c r="K50" s="18">
        <v>31.08</v>
      </c>
      <c r="L50" s="45">
        <f>ROUND(J50*K50,2)</f>
        <v>11844.9</v>
      </c>
    </row>
    <row r="51" spans="1:18" x14ac:dyDescent="0.2">
      <c r="A51" s="12"/>
      <c r="B51" s="13" t="s">
        <v>17</v>
      </c>
      <c r="C51" s="14" t="s">
        <v>31</v>
      </c>
      <c r="D51" s="15"/>
      <c r="E51" s="16"/>
      <c r="F51" s="2"/>
      <c r="G51" s="2"/>
      <c r="H51" s="17">
        <v>5268.76</v>
      </c>
      <c r="I51" s="17"/>
      <c r="J51" s="17">
        <f>ROUND(H51*G49,2)</f>
        <v>11591.27</v>
      </c>
      <c r="K51" s="18">
        <v>11.78</v>
      </c>
      <c r="L51" s="45">
        <f>ROUND(J51*K51,2)</f>
        <v>136545.16</v>
      </c>
    </row>
    <row r="52" spans="1:18" x14ac:dyDescent="0.2">
      <c r="A52" s="12"/>
      <c r="B52" s="13" t="s">
        <v>18</v>
      </c>
      <c r="C52" s="14" t="s">
        <v>32</v>
      </c>
      <c r="D52" s="15"/>
      <c r="E52" s="16"/>
      <c r="F52" s="2"/>
      <c r="G52" s="2"/>
      <c r="H52" s="17">
        <v>267.67</v>
      </c>
      <c r="I52" s="17"/>
      <c r="J52" s="17">
        <f>ROUND(H52*G49,2)</f>
        <v>588.87</v>
      </c>
      <c r="K52" s="18">
        <v>31.08</v>
      </c>
      <c r="L52" s="45">
        <f>ROUND(J52*K52,2)</f>
        <v>18302.080000000002</v>
      </c>
    </row>
    <row r="53" spans="1:18" x14ac:dyDescent="0.2">
      <c r="A53" s="12"/>
      <c r="B53" s="13" t="s">
        <v>19</v>
      </c>
      <c r="C53" s="14" t="s">
        <v>33</v>
      </c>
      <c r="D53" s="15"/>
      <c r="E53" s="16"/>
      <c r="F53" s="2"/>
      <c r="G53" s="2"/>
      <c r="H53" s="17">
        <v>17.080000000000002</v>
      </c>
      <c r="I53" s="17"/>
      <c r="J53" s="17">
        <f>ROUND(H53*G49,2)</f>
        <v>37.58</v>
      </c>
      <c r="K53" s="18">
        <v>8.61</v>
      </c>
      <c r="L53" s="45">
        <f>ROUND(J53*K53,2)</f>
        <v>323.56</v>
      </c>
    </row>
    <row r="54" spans="1:18" x14ac:dyDescent="0.2">
      <c r="A54" s="12"/>
      <c r="B54" s="21" t="s">
        <v>48</v>
      </c>
      <c r="C54" s="18" t="s">
        <v>49</v>
      </c>
      <c r="D54" s="22" t="s">
        <v>50</v>
      </c>
      <c r="E54" s="22" t="s">
        <v>47</v>
      </c>
      <c r="F54" s="18"/>
      <c r="G54" s="21" t="s">
        <v>47</v>
      </c>
      <c r="H54" s="18"/>
      <c r="I54" s="18"/>
      <c r="J54" s="18"/>
      <c r="K54" s="18"/>
      <c r="L54" s="45"/>
    </row>
    <row r="55" spans="1:18" x14ac:dyDescent="0.2">
      <c r="A55" s="12"/>
      <c r="B55" s="13" t="s">
        <v>34</v>
      </c>
      <c r="C55" s="14" t="s">
        <v>35</v>
      </c>
      <c r="D55" s="15" t="s">
        <v>36</v>
      </c>
      <c r="E55" s="16">
        <v>22</v>
      </c>
      <c r="F55" s="2"/>
      <c r="G55" s="2">
        <f>ROUND(E55*G49,2)</f>
        <v>48.4</v>
      </c>
      <c r="H55" s="17"/>
      <c r="I55" s="17"/>
      <c r="J55" s="17"/>
      <c r="K55" s="18"/>
      <c r="L55" s="45"/>
    </row>
    <row r="56" spans="1:18" x14ac:dyDescent="0.2">
      <c r="A56" s="12"/>
      <c r="B56" s="13" t="s">
        <v>34</v>
      </c>
      <c r="C56" s="14" t="s">
        <v>37</v>
      </c>
      <c r="D56" s="15" t="s">
        <v>36</v>
      </c>
      <c r="E56" s="16">
        <v>21</v>
      </c>
      <c r="F56" s="2"/>
      <c r="G56" s="2">
        <f>ROUND(E56*G49,2)</f>
        <v>46.2</v>
      </c>
      <c r="H56" s="17"/>
      <c r="I56" s="17"/>
      <c r="J56" s="17"/>
      <c r="K56" s="18"/>
      <c r="L56" s="45"/>
    </row>
    <row r="57" spans="1:18" x14ac:dyDescent="0.2">
      <c r="A57" s="12"/>
      <c r="B57" s="13" t="s">
        <v>34</v>
      </c>
      <c r="C57" s="19" t="s">
        <v>38</v>
      </c>
      <c r="D57" s="15"/>
      <c r="E57" s="16"/>
      <c r="F57" s="2"/>
      <c r="G57" s="2"/>
      <c r="H57" s="20">
        <f>ROUND(H50+H51+H53,2)</f>
        <v>5459.07</v>
      </c>
      <c r="I57" s="17"/>
      <c r="J57" s="20">
        <f>ROUND(J50+J51+J53,2)</f>
        <v>12009.96</v>
      </c>
      <c r="K57" s="18"/>
      <c r="L57" s="46">
        <f>ROUND(L50+L51+L53,2)</f>
        <v>148713.62</v>
      </c>
    </row>
    <row r="58" spans="1:18" ht="33.75" x14ac:dyDescent="0.2">
      <c r="A58" s="23" t="s">
        <v>112</v>
      </c>
      <c r="B58" s="24" t="s">
        <v>113</v>
      </c>
      <c r="C58" s="25" t="s">
        <v>114</v>
      </c>
      <c r="D58" s="15" t="s">
        <v>50</v>
      </c>
      <c r="E58" s="16">
        <v>126</v>
      </c>
      <c r="F58" s="2"/>
      <c r="G58" s="2">
        <f>ROUND(E58*G49,4)</f>
        <v>277.2</v>
      </c>
      <c r="H58" s="2">
        <v>192.79</v>
      </c>
      <c r="I58" s="2"/>
      <c r="J58" s="2">
        <f>ROUND(G58*H58,2)</f>
        <v>53441.39</v>
      </c>
      <c r="K58" s="2">
        <v>8.61</v>
      </c>
      <c r="L58" s="47">
        <f>ROUND(J58*K58,2)</f>
        <v>460130.37</v>
      </c>
    </row>
    <row r="59" spans="1:18" x14ac:dyDescent="0.2">
      <c r="A59" s="12"/>
      <c r="B59" s="18"/>
      <c r="C59" s="18" t="str">
        <f>"Объём: "&amp;E58&amp;"*"&amp;G49</f>
        <v>Объём: 126*2,2</v>
      </c>
      <c r="D59" s="18"/>
      <c r="E59" s="18"/>
      <c r="F59" s="18"/>
      <c r="G59" s="18"/>
      <c r="H59" s="18"/>
      <c r="I59" s="18"/>
      <c r="J59" s="18"/>
      <c r="K59" s="18"/>
      <c r="L59" s="45"/>
    </row>
    <row r="60" spans="1:18" ht="22.5" x14ac:dyDescent="0.2">
      <c r="A60" s="12"/>
      <c r="B60" s="13" t="s">
        <v>39</v>
      </c>
      <c r="C60" s="14" t="str">
        <f>" Накладные расходы 147%"&amp;"     "&amp;G60&amp;"*(от "&amp;L50&amp;"+"&amp;L52&amp;")/100"</f>
        <v xml:space="preserve"> Накладные расходы 147%     147*(от 11844,9+18302,08)/100</v>
      </c>
      <c r="D60" s="15" t="s">
        <v>40</v>
      </c>
      <c r="E60" s="16">
        <v>147</v>
      </c>
      <c r="F60" s="2"/>
      <c r="G60" s="2">
        <v>147</v>
      </c>
      <c r="H60" s="17"/>
      <c r="I60" s="17"/>
      <c r="J60" s="17">
        <f>ROUND(G60*(J50+J52)/100,2)</f>
        <v>1425.87</v>
      </c>
      <c r="K60" s="18"/>
      <c r="L60" s="47">
        <f>ROUND(G60*(L50+L52)/100,2)</f>
        <v>44316.06</v>
      </c>
    </row>
    <row r="61" spans="1:18" ht="22.5" x14ac:dyDescent="0.2">
      <c r="A61" s="12"/>
      <c r="B61" s="13" t="s">
        <v>41</v>
      </c>
      <c r="C61" s="14" t="str">
        <f>" Сметная прибыль 134%"&amp;"     "&amp;G61&amp;"*(от "&amp;L50&amp;"+"&amp;L52&amp;")/100"</f>
        <v xml:space="preserve"> Сметная прибыль 134%     134*(от 11844,9+18302,08)/100</v>
      </c>
      <c r="D61" s="15" t="s">
        <v>40</v>
      </c>
      <c r="E61" s="16">
        <v>134</v>
      </c>
      <c r="F61" s="2"/>
      <c r="G61" s="2">
        <v>134</v>
      </c>
      <c r="H61" s="17"/>
      <c r="I61" s="17"/>
      <c r="J61" s="17">
        <f>ROUND(G61*(J50+J52)/100,2)</f>
        <v>1299.77</v>
      </c>
      <c r="K61" s="18"/>
      <c r="L61" s="47">
        <f>ROUND(G61*(L50+L52)/100,2)</f>
        <v>40396.949999999997</v>
      </c>
    </row>
    <row r="62" spans="1:18" x14ac:dyDescent="0.2">
      <c r="A62" s="12"/>
      <c r="B62" s="13" t="s">
        <v>34</v>
      </c>
      <c r="C62" s="19" t="s">
        <v>42</v>
      </c>
      <c r="D62" s="15"/>
      <c r="E62" s="16"/>
      <c r="F62" s="2"/>
      <c r="G62" s="2"/>
      <c r="H62" s="17"/>
      <c r="I62" s="17"/>
      <c r="J62" s="20">
        <f>ROUND(J57+J58+J60+J61,2)</f>
        <v>68176.990000000005</v>
      </c>
      <c r="K62" s="18"/>
      <c r="L62" s="46">
        <f>ROUND(L57+L58+L60+L61,2)</f>
        <v>693557</v>
      </c>
      <c r="O62">
        <v>2</v>
      </c>
    </row>
    <row r="63" spans="1:18" ht="22.5" x14ac:dyDescent="0.2">
      <c r="A63" s="4">
        <v>5</v>
      </c>
      <c r="B63" s="5" t="s">
        <v>54</v>
      </c>
      <c r="C63" s="6" t="s">
        <v>115</v>
      </c>
      <c r="D63" s="7" t="s">
        <v>53</v>
      </c>
      <c r="E63" s="8">
        <f>G63</f>
        <v>0.38500000000000001</v>
      </c>
      <c r="F63" s="9"/>
      <c r="G63" s="10">
        <v>0.38500000000000001</v>
      </c>
      <c r="H63" s="10">
        <v>39.1</v>
      </c>
      <c r="I63" s="11"/>
      <c r="J63" s="10">
        <f>ROUND(G63*H63,2)</f>
        <v>15.05</v>
      </c>
      <c r="K63" s="9"/>
      <c r="L63" s="44"/>
      <c r="N63">
        <v>1</v>
      </c>
      <c r="P63">
        <v>4373</v>
      </c>
      <c r="Q63">
        <v>7064</v>
      </c>
      <c r="R63">
        <v>66209</v>
      </c>
    </row>
    <row r="64" spans="1:18" ht="12.75" hidden="1" customHeight="1" x14ac:dyDescent="0.2">
      <c r="A64" s="12"/>
      <c r="B64" s="13" t="s">
        <v>16</v>
      </c>
      <c r="C64" s="14" t="s">
        <v>30</v>
      </c>
      <c r="D64" s="15"/>
      <c r="E64" s="16"/>
      <c r="F64" s="2"/>
      <c r="G64" s="2"/>
      <c r="H64" s="17">
        <v>0</v>
      </c>
      <c r="I64" s="17"/>
      <c r="J64" s="17">
        <f>ROUND(H64*G63,2)</f>
        <v>0</v>
      </c>
      <c r="K64" s="18">
        <v>31.08</v>
      </c>
      <c r="L64" s="45">
        <f>ROUND(J64*K64,2)</f>
        <v>0</v>
      </c>
    </row>
    <row r="65" spans="1:18" x14ac:dyDescent="0.2">
      <c r="A65" s="12"/>
      <c r="B65" s="13" t="s">
        <v>17</v>
      </c>
      <c r="C65" s="14" t="s">
        <v>31</v>
      </c>
      <c r="D65" s="15"/>
      <c r="E65" s="16"/>
      <c r="F65" s="2"/>
      <c r="G65" s="2"/>
      <c r="H65" s="17">
        <v>39.1</v>
      </c>
      <c r="I65" s="17"/>
      <c r="J65" s="17">
        <f>ROUND(H65*G63,2)</f>
        <v>15.05</v>
      </c>
      <c r="K65" s="18">
        <v>11.78</v>
      </c>
      <c r="L65" s="45">
        <f>ROUND(J65*K65,2)</f>
        <v>177.29</v>
      </c>
    </row>
    <row r="66" spans="1:18" x14ac:dyDescent="0.2">
      <c r="A66" s="12"/>
      <c r="B66" s="13" t="s">
        <v>18</v>
      </c>
      <c r="C66" s="14" t="s">
        <v>32</v>
      </c>
      <c r="D66" s="15"/>
      <c r="E66" s="16"/>
      <c r="F66" s="2"/>
      <c r="G66" s="2"/>
      <c r="H66" s="17">
        <v>7.15</v>
      </c>
      <c r="I66" s="17"/>
      <c r="J66" s="17">
        <f>ROUND(H66*G63,2)</f>
        <v>2.75</v>
      </c>
      <c r="K66" s="18">
        <v>31.08</v>
      </c>
      <c r="L66" s="45">
        <f>ROUND(J66*K66,2)</f>
        <v>85.47</v>
      </c>
    </row>
    <row r="67" spans="1:18" ht="12.75" hidden="1" customHeight="1" x14ac:dyDescent="0.2">
      <c r="A67" s="12"/>
      <c r="B67" s="13" t="s">
        <v>19</v>
      </c>
      <c r="C67" s="14" t="s">
        <v>33</v>
      </c>
      <c r="D67" s="15"/>
      <c r="E67" s="16"/>
      <c r="F67" s="2"/>
      <c r="G67" s="2"/>
      <c r="H67" s="17">
        <v>0</v>
      </c>
      <c r="I67" s="17"/>
      <c r="J67" s="17">
        <f>ROUND(H67*G63,2)</f>
        <v>0</v>
      </c>
      <c r="K67" s="18">
        <v>8.61</v>
      </c>
      <c r="L67" s="45">
        <f>ROUND(J67*K67,2)</f>
        <v>0</v>
      </c>
    </row>
    <row r="68" spans="1:18" x14ac:dyDescent="0.2">
      <c r="A68" s="12"/>
      <c r="B68" s="21" t="s">
        <v>55</v>
      </c>
      <c r="C68" s="18" t="s">
        <v>56</v>
      </c>
      <c r="D68" s="22" t="s">
        <v>53</v>
      </c>
      <c r="E68" s="22">
        <v>1.03</v>
      </c>
      <c r="F68" s="18"/>
      <c r="G68" s="21">
        <f>ROUND(E68*G63,2)</f>
        <v>0.4</v>
      </c>
      <c r="H68" s="18"/>
      <c r="I68" s="18"/>
      <c r="J68" s="18"/>
      <c r="K68" s="18"/>
      <c r="L68" s="45"/>
    </row>
    <row r="69" spans="1:18" ht="12.75" hidden="1" customHeight="1" x14ac:dyDescent="0.2">
      <c r="A69" s="12"/>
      <c r="B69" s="13" t="s">
        <v>34</v>
      </c>
      <c r="C69" s="14" t="s">
        <v>35</v>
      </c>
      <c r="D69" s="15" t="s">
        <v>36</v>
      </c>
      <c r="E69" s="16">
        <v>0</v>
      </c>
      <c r="F69" s="2"/>
      <c r="G69" s="2">
        <f>ROUND(E69*G63,2)</f>
        <v>0</v>
      </c>
      <c r="H69" s="17"/>
      <c r="I69" s="17"/>
      <c r="J69" s="17"/>
      <c r="K69" s="18"/>
      <c r="L69" s="45"/>
    </row>
    <row r="70" spans="1:18" x14ac:dyDescent="0.2">
      <c r="A70" s="12"/>
      <c r="B70" s="13" t="s">
        <v>34</v>
      </c>
      <c r="C70" s="14" t="s">
        <v>37</v>
      </c>
      <c r="D70" s="15" t="s">
        <v>36</v>
      </c>
      <c r="E70" s="16">
        <v>1</v>
      </c>
      <c r="F70" s="2"/>
      <c r="G70" s="2">
        <f>ROUND(E70*G63,2)</f>
        <v>0.39</v>
      </c>
      <c r="H70" s="17"/>
      <c r="I70" s="17"/>
      <c r="J70" s="17"/>
      <c r="K70" s="18"/>
      <c r="L70" s="45"/>
    </row>
    <row r="71" spans="1:18" x14ac:dyDescent="0.2">
      <c r="A71" s="12"/>
      <c r="B71" s="13" t="s">
        <v>34</v>
      </c>
      <c r="C71" s="19" t="s">
        <v>38</v>
      </c>
      <c r="D71" s="15"/>
      <c r="E71" s="16"/>
      <c r="F71" s="2"/>
      <c r="G71" s="2"/>
      <c r="H71" s="20">
        <f>ROUND(H64+H65+H67,2)</f>
        <v>39.1</v>
      </c>
      <c r="I71" s="17"/>
      <c r="J71" s="20">
        <f>ROUND(J64+J65+J67,2)</f>
        <v>15.05</v>
      </c>
      <c r="K71" s="18"/>
      <c r="L71" s="46">
        <f>ROUND(L64+L65+L67,2)</f>
        <v>177.29</v>
      </c>
    </row>
    <row r="72" spans="1:18" ht="22.5" x14ac:dyDescent="0.2">
      <c r="A72" s="23" t="s">
        <v>51</v>
      </c>
      <c r="B72" s="24" t="s">
        <v>57</v>
      </c>
      <c r="C72" s="25" t="s">
        <v>58</v>
      </c>
      <c r="D72" s="15" t="s">
        <v>53</v>
      </c>
      <c r="E72" s="16">
        <v>1.0299</v>
      </c>
      <c r="F72" s="2"/>
      <c r="G72" s="2">
        <f>ROUND(E72*G63,4)</f>
        <v>0.39650000000000002</v>
      </c>
      <c r="H72" s="2">
        <v>1554.2</v>
      </c>
      <c r="I72" s="2"/>
      <c r="J72" s="2">
        <f>ROUND(G72*H72,2)</f>
        <v>616.24</v>
      </c>
      <c r="K72" s="2">
        <v>8.61</v>
      </c>
      <c r="L72" s="47">
        <f>ROUND(J72*K72,2)</f>
        <v>5305.83</v>
      </c>
    </row>
    <row r="73" spans="1:18" x14ac:dyDescent="0.2">
      <c r="A73" s="12"/>
      <c r="B73" s="18"/>
      <c r="C73" s="18" t="str">
        <f>"Объём: "&amp;E72&amp;"*"&amp;G63</f>
        <v>Объём: 1,0299*0,385</v>
      </c>
      <c r="D73" s="18"/>
      <c r="E73" s="18"/>
      <c r="F73" s="18"/>
      <c r="G73" s="18"/>
      <c r="H73" s="18"/>
      <c r="I73" s="18"/>
      <c r="J73" s="18"/>
      <c r="K73" s="18"/>
      <c r="L73" s="45"/>
    </row>
    <row r="74" spans="1:18" ht="22.5" x14ac:dyDescent="0.2">
      <c r="A74" s="12"/>
      <c r="B74" s="13" t="s">
        <v>39</v>
      </c>
      <c r="C74" s="14" t="str">
        <f>" Накладные расходы 147%"&amp;"     "&amp;G74&amp;"*(от "&amp;L64&amp;"+"&amp;L66&amp;")/100"</f>
        <v xml:space="preserve"> Накладные расходы 147%     147*(от 0+85,47)/100</v>
      </c>
      <c r="D74" s="15" t="s">
        <v>40</v>
      </c>
      <c r="E74" s="16">
        <v>147</v>
      </c>
      <c r="F74" s="2"/>
      <c r="G74" s="2">
        <v>147</v>
      </c>
      <c r="H74" s="17"/>
      <c r="I74" s="17"/>
      <c r="J74" s="17">
        <f>ROUND(G74*(J64+J66)/100,2)</f>
        <v>4.04</v>
      </c>
      <c r="K74" s="18"/>
      <c r="L74" s="47">
        <f>ROUND(G74*(L64+L66)/100,2)</f>
        <v>125.64</v>
      </c>
    </row>
    <row r="75" spans="1:18" ht="22.5" x14ac:dyDescent="0.2">
      <c r="A75" s="12"/>
      <c r="B75" s="13" t="s">
        <v>41</v>
      </c>
      <c r="C75" s="14" t="str">
        <f>" Сметная прибыль 134%"&amp;"     "&amp;G75&amp;"*(от "&amp;L64&amp;"+"&amp;L66&amp;")/100"</f>
        <v xml:space="preserve"> Сметная прибыль 134%     134*(от 0+85,47)/100</v>
      </c>
      <c r="D75" s="15" t="s">
        <v>40</v>
      </c>
      <c r="E75" s="16">
        <v>134</v>
      </c>
      <c r="F75" s="2"/>
      <c r="G75" s="2">
        <v>134</v>
      </c>
      <c r="H75" s="17"/>
      <c r="I75" s="17"/>
      <c r="J75" s="17">
        <f>ROUND(G75*(J64+J66)/100,2)</f>
        <v>3.69</v>
      </c>
      <c r="K75" s="18"/>
      <c r="L75" s="47">
        <f>ROUND(G75*(L64+L66)/100,2)</f>
        <v>114.53</v>
      </c>
    </row>
    <row r="76" spans="1:18" x14ac:dyDescent="0.2">
      <c r="A76" s="12"/>
      <c r="B76" s="13" t="s">
        <v>34</v>
      </c>
      <c r="C76" s="19" t="s">
        <v>42</v>
      </c>
      <c r="D76" s="15"/>
      <c r="E76" s="16"/>
      <c r="F76" s="2"/>
      <c r="G76" s="2"/>
      <c r="H76" s="17"/>
      <c r="I76" s="17"/>
      <c r="J76" s="20">
        <f>ROUND(J71+J72+J74+J75,2)</f>
        <v>639.02</v>
      </c>
      <c r="K76" s="18"/>
      <c r="L76" s="46">
        <f>ROUND(L71+L72+L74+L75,2)</f>
        <v>5723.29</v>
      </c>
      <c r="O76">
        <v>2</v>
      </c>
    </row>
    <row r="77" spans="1:18" ht="22.5" x14ac:dyDescent="0.2">
      <c r="A77" s="4">
        <v>6</v>
      </c>
      <c r="B77" s="5" t="s">
        <v>54</v>
      </c>
      <c r="C77" s="6" t="s">
        <v>116</v>
      </c>
      <c r="D77" s="7" t="s">
        <v>53</v>
      </c>
      <c r="E77" s="8">
        <f>G77</f>
        <v>0.95299999999999996</v>
      </c>
      <c r="F77" s="9"/>
      <c r="G77" s="10">
        <v>0.95299999999999996</v>
      </c>
      <c r="H77" s="10">
        <v>39.1</v>
      </c>
      <c r="I77" s="11"/>
      <c r="J77" s="10">
        <f>ROUND(G77*H77,2)</f>
        <v>37.26</v>
      </c>
      <c r="K77" s="9"/>
      <c r="L77" s="44"/>
      <c r="N77">
        <v>1</v>
      </c>
      <c r="P77">
        <v>4373</v>
      </c>
      <c r="Q77">
        <v>7064</v>
      </c>
      <c r="R77">
        <v>66213</v>
      </c>
    </row>
    <row r="78" spans="1:18" ht="12.75" hidden="1" customHeight="1" x14ac:dyDescent="0.2">
      <c r="A78" s="12"/>
      <c r="B78" s="13" t="s">
        <v>16</v>
      </c>
      <c r="C78" s="14" t="s">
        <v>30</v>
      </c>
      <c r="D78" s="15"/>
      <c r="E78" s="16"/>
      <c r="F78" s="2"/>
      <c r="G78" s="2"/>
      <c r="H78" s="17">
        <v>0</v>
      </c>
      <c r="I78" s="17"/>
      <c r="J78" s="17">
        <f>ROUND(H78*G77,2)</f>
        <v>0</v>
      </c>
      <c r="K78" s="18">
        <v>31.08</v>
      </c>
      <c r="L78" s="45">
        <f>ROUND(J78*K78,2)</f>
        <v>0</v>
      </c>
    </row>
    <row r="79" spans="1:18" x14ac:dyDescent="0.2">
      <c r="A79" s="12"/>
      <c r="B79" s="13" t="s">
        <v>17</v>
      </c>
      <c r="C79" s="14" t="s">
        <v>31</v>
      </c>
      <c r="D79" s="15"/>
      <c r="E79" s="16"/>
      <c r="F79" s="2"/>
      <c r="G79" s="2"/>
      <c r="H79" s="17">
        <v>39.1</v>
      </c>
      <c r="I79" s="17"/>
      <c r="J79" s="17">
        <f>ROUND(H79*G77,2)</f>
        <v>37.26</v>
      </c>
      <c r="K79" s="18">
        <v>11.78</v>
      </c>
      <c r="L79" s="45">
        <f>ROUND(J79*K79,2)</f>
        <v>438.92</v>
      </c>
    </row>
    <row r="80" spans="1:18" x14ac:dyDescent="0.2">
      <c r="A80" s="12"/>
      <c r="B80" s="13" t="s">
        <v>18</v>
      </c>
      <c r="C80" s="14" t="s">
        <v>32</v>
      </c>
      <c r="D80" s="15"/>
      <c r="E80" s="16"/>
      <c r="F80" s="2"/>
      <c r="G80" s="2"/>
      <c r="H80" s="17">
        <v>7.15</v>
      </c>
      <c r="I80" s="17"/>
      <c r="J80" s="17">
        <f>ROUND(H80*G77,2)</f>
        <v>6.81</v>
      </c>
      <c r="K80" s="18">
        <v>31.08</v>
      </c>
      <c r="L80" s="45">
        <f>ROUND(J80*K80,2)</f>
        <v>211.65</v>
      </c>
    </row>
    <row r="81" spans="1:18" ht="12.75" hidden="1" customHeight="1" x14ac:dyDescent="0.2">
      <c r="A81" s="12"/>
      <c r="B81" s="13" t="s">
        <v>19</v>
      </c>
      <c r="C81" s="14" t="s">
        <v>33</v>
      </c>
      <c r="D81" s="15"/>
      <c r="E81" s="16"/>
      <c r="F81" s="2"/>
      <c r="G81" s="2"/>
      <c r="H81" s="17">
        <v>0</v>
      </c>
      <c r="I81" s="17"/>
      <c r="J81" s="17">
        <f>ROUND(H81*G77,2)</f>
        <v>0</v>
      </c>
      <c r="K81" s="18">
        <v>8.61</v>
      </c>
      <c r="L81" s="45">
        <f>ROUND(J81*K81,2)</f>
        <v>0</v>
      </c>
    </row>
    <row r="82" spans="1:18" x14ac:dyDescent="0.2">
      <c r="A82" s="12"/>
      <c r="B82" s="21" t="s">
        <v>55</v>
      </c>
      <c r="C82" s="18" t="s">
        <v>56</v>
      </c>
      <c r="D82" s="22" t="s">
        <v>53</v>
      </c>
      <c r="E82" s="22">
        <v>1.03</v>
      </c>
      <c r="F82" s="18"/>
      <c r="G82" s="21">
        <f>ROUND(E82*G77,2)</f>
        <v>0.98</v>
      </c>
      <c r="H82" s="18"/>
      <c r="I82" s="18"/>
      <c r="J82" s="18"/>
      <c r="K82" s="18"/>
      <c r="L82" s="45"/>
    </row>
    <row r="83" spans="1:18" ht="12.75" hidden="1" customHeight="1" x14ac:dyDescent="0.2">
      <c r="A83" s="12"/>
      <c r="B83" s="13" t="s">
        <v>34</v>
      </c>
      <c r="C83" s="14" t="s">
        <v>35</v>
      </c>
      <c r="D83" s="15" t="s">
        <v>36</v>
      </c>
      <c r="E83" s="16">
        <v>0</v>
      </c>
      <c r="F83" s="2"/>
      <c r="G83" s="2">
        <f>ROUND(E83*G77,2)</f>
        <v>0</v>
      </c>
      <c r="H83" s="17"/>
      <c r="I83" s="17"/>
      <c r="J83" s="17"/>
      <c r="K83" s="18"/>
      <c r="L83" s="45"/>
    </row>
    <row r="84" spans="1:18" x14ac:dyDescent="0.2">
      <c r="A84" s="12"/>
      <c r="B84" s="13" t="s">
        <v>34</v>
      </c>
      <c r="C84" s="14" t="s">
        <v>37</v>
      </c>
      <c r="D84" s="15" t="s">
        <v>36</v>
      </c>
      <c r="E84" s="16">
        <v>1</v>
      </c>
      <c r="F84" s="2"/>
      <c r="G84" s="2">
        <f>ROUND(E84*G77,2)</f>
        <v>0.95</v>
      </c>
      <c r="H84" s="17"/>
      <c r="I84" s="17"/>
      <c r="J84" s="17"/>
      <c r="K84" s="18"/>
      <c r="L84" s="45"/>
    </row>
    <row r="85" spans="1:18" x14ac:dyDescent="0.2">
      <c r="A85" s="12"/>
      <c r="B85" s="13" t="s">
        <v>34</v>
      </c>
      <c r="C85" s="19" t="s">
        <v>38</v>
      </c>
      <c r="D85" s="15"/>
      <c r="E85" s="16"/>
      <c r="F85" s="2"/>
      <c r="G85" s="2"/>
      <c r="H85" s="20">
        <f>ROUND(H78+H79+H81,2)</f>
        <v>39.1</v>
      </c>
      <c r="I85" s="17"/>
      <c r="J85" s="20">
        <f>ROUND(J78+J79+J81,2)</f>
        <v>37.26</v>
      </c>
      <c r="K85" s="18"/>
      <c r="L85" s="46">
        <f>ROUND(L78+L79+L81,2)</f>
        <v>438.92</v>
      </c>
    </row>
    <row r="86" spans="1:18" ht="22.5" x14ac:dyDescent="0.2">
      <c r="A86" s="23" t="s">
        <v>117</v>
      </c>
      <c r="B86" s="24" t="s">
        <v>57</v>
      </c>
      <c r="C86" s="25" t="s">
        <v>58</v>
      </c>
      <c r="D86" s="15" t="s">
        <v>53</v>
      </c>
      <c r="E86" s="16">
        <v>1.03</v>
      </c>
      <c r="F86" s="2"/>
      <c r="G86" s="2">
        <f>ROUND(E86*G77,4)</f>
        <v>0.98160000000000003</v>
      </c>
      <c r="H86" s="2">
        <v>1554.2</v>
      </c>
      <c r="I86" s="2"/>
      <c r="J86" s="2">
        <f>ROUND(G86*H86,2)</f>
        <v>1525.6</v>
      </c>
      <c r="K86" s="2">
        <v>8.61</v>
      </c>
      <c r="L86" s="47">
        <f>ROUND(J86*K86,2)</f>
        <v>13135.42</v>
      </c>
    </row>
    <row r="87" spans="1:18" x14ac:dyDescent="0.2">
      <c r="A87" s="12"/>
      <c r="B87" s="18"/>
      <c r="C87" s="18" t="str">
        <f>"Объём: "&amp;E86&amp;"*"&amp;G77</f>
        <v>Объём: 1,03*0,953</v>
      </c>
      <c r="D87" s="18"/>
      <c r="E87" s="18"/>
      <c r="F87" s="18"/>
      <c r="G87" s="18"/>
      <c r="H87" s="18"/>
      <c r="I87" s="18"/>
      <c r="J87" s="18"/>
      <c r="K87" s="18"/>
      <c r="L87" s="45"/>
    </row>
    <row r="88" spans="1:18" ht="22.5" x14ac:dyDescent="0.2">
      <c r="A88" s="12"/>
      <c r="B88" s="13" t="s">
        <v>39</v>
      </c>
      <c r="C88" s="14" t="str">
        <f>" Накладные расходы 147%"&amp;"     "&amp;G88&amp;"*(от "&amp;L78&amp;"+"&amp;L80&amp;")/100"</f>
        <v xml:space="preserve"> Накладные расходы 147%     147*(от 0+211,65)/100</v>
      </c>
      <c r="D88" s="15" t="s">
        <v>40</v>
      </c>
      <c r="E88" s="16">
        <v>147</v>
      </c>
      <c r="F88" s="2"/>
      <c r="G88" s="2">
        <v>147</v>
      </c>
      <c r="H88" s="17"/>
      <c r="I88" s="17"/>
      <c r="J88" s="17">
        <f>ROUND(G88*(J78+J80)/100,2)</f>
        <v>10.01</v>
      </c>
      <c r="K88" s="18"/>
      <c r="L88" s="47">
        <f>ROUND(G88*(L78+L80)/100,2)</f>
        <v>311.13</v>
      </c>
    </row>
    <row r="89" spans="1:18" ht="22.5" x14ac:dyDescent="0.2">
      <c r="A89" s="12"/>
      <c r="B89" s="13" t="s">
        <v>41</v>
      </c>
      <c r="C89" s="14" t="str">
        <f>" Сметная прибыль 134%"&amp;"     "&amp;G89&amp;"*(от "&amp;L78&amp;"+"&amp;L80&amp;")/100"</f>
        <v xml:space="preserve"> Сметная прибыль 134%     134*(от 0+211,65)/100</v>
      </c>
      <c r="D89" s="15" t="s">
        <v>40</v>
      </c>
      <c r="E89" s="16">
        <v>134</v>
      </c>
      <c r="F89" s="2"/>
      <c r="G89" s="2">
        <v>134</v>
      </c>
      <c r="H89" s="17"/>
      <c r="I89" s="17"/>
      <c r="J89" s="17">
        <f>ROUND(G89*(J78+J80)/100,2)</f>
        <v>9.1300000000000008</v>
      </c>
      <c r="K89" s="18"/>
      <c r="L89" s="47">
        <f>ROUND(G89*(L78+L80)/100,2)</f>
        <v>283.61</v>
      </c>
    </row>
    <row r="90" spans="1:18" x14ac:dyDescent="0.2">
      <c r="A90" s="12"/>
      <c r="B90" s="13" t="s">
        <v>34</v>
      </c>
      <c r="C90" s="19" t="s">
        <v>42</v>
      </c>
      <c r="D90" s="15"/>
      <c r="E90" s="16"/>
      <c r="F90" s="2"/>
      <c r="G90" s="2"/>
      <c r="H90" s="17"/>
      <c r="I90" s="17"/>
      <c r="J90" s="20">
        <f>ROUND(J85+J86+J88+J89,2)</f>
        <v>1582</v>
      </c>
      <c r="K90" s="18"/>
      <c r="L90" s="46">
        <f>ROUND(L85+L86+L88+L89,2)</f>
        <v>14169.08</v>
      </c>
      <c r="O90">
        <v>2</v>
      </c>
    </row>
    <row r="91" spans="1:18" ht="33.75" x14ac:dyDescent="0.2">
      <c r="A91" s="4">
        <v>7</v>
      </c>
      <c r="B91" s="5" t="s">
        <v>59</v>
      </c>
      <c r="C91" s="6" t="s">
        <v>60</v>
      </c>
      <c r="D91" s="7" t="s">
        <v>61</v>
      </c>
      <c r="E91" s="8">
        <f>G91</f>
        <v>4.5599999999999996</v>
      </c>
      <c r="F91" s="9"/>
      <c r="G91" s="10">
        <v>4.5599999999999996</v>
      </c>
      <c r="H91" s="10">
        <v>5872.99</v>
      </c>
      <c r="I91" s="11"/>
      <c r="J91" s="10">
        <f>ROUND(G91*H91,2)</f>
        <v>26780.83</v>
      </c>
      <c r="K91" s="9"/>
      <c r="L91" s="44"/>
      <c r="N91">
        <v>1</v>
      </c>
      <c r="P91">
        <v>4373</v>
      </c>
      <c r="Q91">
        <v>7064</v>
      </c>
      <c r="R91">
        <v>66215</v>
      </c>
    </row>
    <row r="92" spans="1:18" x14ac:dyDescent="0.2">
      <c r="A92" s="12"/>
      <c r="B92" s="13" t="s">
        <v>16</v>
      </c>
      <c r="C92" s="14" t="s">
        <v>30</v>
      </c>
      <c r="D92" s="15"/>
      <c r="E92" s="16"/>
      <c r="F92" s="2"/>
      <c r="G92" s="2"/>
      <c r="H92" s="17">
        <v>212.48000000000002</v>
      </c>
      <c r="I92" s="17"/>
      <c r="J92" s="17">
        <f>ROUND(H92*G91,2)</f>
        <v>968.91</v>
      </c>
      <c r="K92" s="18">
        <v>31.08</v>
      </c>
      <c r="L92" s="45">
        <f>ROUND(J92*K92,2)</f>
        <v>30113.72</v>
      </c>
    </row>
    <row r="93" spans="1:18" x14ac:dyDescent="0.2">
      <c r="A93" s="12"/>
      <c r="B93" s="13" t="s">
        <v>17</v>
      </c>
      <c r="C93" s="14" t="s">
        <v>31</v>
      </c>
      <c r="D93" s="15"/>
      <c r="E93" s="16"/>
      <c r="F93" s="2"/>
      <c r="G93" s="2"/>
      <c r="H93" s="17">
        <v>5536.89</v>
      </c>
      <c r="I93" s="17"/>
      <c r="J93" s="17">
        <f>ROUND(H93*G91,2)</f>
        <v>25248.22</v>
      </c>
      <c r="K93" s="18">
        <v>11.78</v>
      </c>
      <c r="L93" s="45">
        <f>ROUND(J93*K93,2)</f>
        <v>297424.03000000003</v>
      </c>
    </row>
    <row r="94" spans="1:18" x14ac:dyDescent="0.2">
      <c r="A94" s="12"/>
      <c r="B94" s="13" t="s">
        <v>18</v>
      </c>
      <c r="C94" s="14" t="s">
        <v>32</v>
      </c>
      <c r="D94" s="15"/>
      <c r="E94" s="16"/>
      <c r="F94" s="2"/>
      <c r="G94" s="2"/>
      <c r="H94" s="17">
        <v>284.69</v>
      </c>
      <c r="I94" s="17"/>
      <c r="J94" s="17">
        <f>ROUND(H94*G91,2)</f>
        <v>1298.19</v>
      </c>
      <c r="K94" s="18">
        <v>31.08</v>
      </c>
      <c r="L94" s="45">
        <f>ROUND(J94*K94,2)</f>
        <v>40347.75</v>
      </c>
    </row>
    <row r="95" spans="1:18" x14ac:dyDescent="0.2">
      <c r="A95" s="12"/>
      <c r="B95" s="13" t="s">
        <v>19</v>
      </c>
      <c r="C95" s="14" t="s">
        <v>33</v>
      </c>
      <c r="D95" s="15"/>
      <c r="E95" s="16"/>
      <c r="F95" s="2"/>
      <c r="G95" s="2"/>
      <c r="H95" s="17">
        <v>123.62</v>
      </c>
      <c r="I95" s="17"/>
      <c r="J95" s="17">
        <f>ROUND(H95*G91,2)</f>
        <v>563.71</v>
      </c>
      <c r="K95" s="18">
        <v>8.61</v>
      </c>
      <c r="L95" s="45">
        <f>ROUND(J95*K95,2)</f>
        <v>4853.54</v>
      </c>
    </row>
    <row r="96" spans="1:18" x14ac:dyDescent="0.2">
      <c r="A96" s="12"/>
      <c r="B96" s="21" t="s">
        <v>62</v>
      </c>
      <c r="C96" s="18" t="s">
        <v>63</v>
      </c>
      <c r="D96" s="22" t="s">
        <v>53</v>
      </c>
      <c r="E96" s="22">
        <v>101</v>
      </c>
      <c r="F96" s="18"/>
      <c r="G96" s="21">
        <f>ROUND(E96*G91,2)</f>
        <v>460.56</v>
      </c>
      <c r="H96" s="18"/>
      <c r="I96" s="18"/>
      <c r="J96" s="18"/>
      <c r="K96" s="18"/>
      <c r="L96" s="45"/>
    </row>
    <row r="97" spans="1:18" x14ac:dyDescent="0.2">
      <c r="A97" s="12"/>
      <c r="B97" s="13" t="s">
        <v>34</v>
      </c>
      <c r="C97" s="14" t="s">
        <v>35</v>
      </c>
      <c r="D97" s="15" t="s">
        <v>36</v>
      </c>
      <c r="E97" s="16">
        <v>22</v>
      </c>
      <c r="F97" s="2"/>
      <c r="G97" s="2">
        <f>ROUND(E97*G91,2)</f>
        <v>100.32</v>
      </c>
      <c r="H97" s="17"/>
      <c r="I97" s="17"/>
      <c r="J97" s="17"/>
      <c r="K97" s="18"/>
      <c r="L97" s="45"/>
    </row>
    <row r="98" spans="1:18" x14ac:dyDescent="0.2">
      <c r="A98" s="12"/>
      <c r="B98" s="13" t="s">
        <v>34</v>
      </c>
      <c r="C98" s="14" t="s">
        <v>37</v>
      </c>
      <c r="D98" s="15" t="s">
        <v>36</v>
      </c>
      <c r="E98" s="16">
        <v>22</v>
      </c>
      <c r="F98" s="2"/>
      <c r="G98" s="2">
        <f>ROUND(E98*G91,2)</f>
        <v>100.32</v>
      </c>
      <c r="H98" s="17"/>
      <c r="I98" s="17"/>
      <c r="J98" s="17"/>
      <c r="K98" s="18"/>
      <c r="L98" s="45"/>
    </row>
    <row r="99" spans="1:18" x14ac:dyDescent="0.2">
      <c r="A99" s="12"/>
      <c r="B99" s="13" t="s">
        <v>34</v>
      </c>
      <c r="C99" s="19" t="s">
        <v>38</v>
      </c>
      <c r="D99" s="15"/>
      <c r="E99" s="16"/>
      <c r="F99" s="2"/>
      <c r="G99" s="2"/>
      <c r="H99" s="20">
        <f>ROUND(H92+H93+H95,2)</f>
        <v>5872.99</v>
      </c>
      <c r="I99" s="17"/>
      <c r="J99" s="20">
        <f>ROUND(J92+J93+J95,2)</f>
        <v>26780.84</v>
      </c>
      <c r="K99" s="18"/>
      <c r="L99" s="46">
        <f>ROUND(L92+L93+L95,2)</f>
        <v>332391.28999999998</v>
      </c>
    </row>
    <row r="100" spans="1:18" ht="22.5" x14ac:dyDescent="0.2">
      <c r="A100" s="23" t="s">
        <v>118</v>
      </c>
      <c r="B100" s="24" t="s">
        <v>119</v>
      </c>
      <c r="C100" s="25" t="s">
        <v>133</v>
      </c>
      <c r="D100" s="15" t="s">
        <v>53</v>
      </c>
      <c r="E100" s="16">
        <v>101</v>
      </c>
      <c r="F100" s="2"/>
      <c r="G100" s="2">
        <f>ROUND(E100*G91,1)</f>
        <v>460.6</v>
      </c>
      <c r="H100" s="2">
        <f>ROUND(451.06*U23,2)</f>
        <v>589.82000000000005</v>
      </c>
      <c r="I100" s="2"/>
      <c r="J100" s="2">
        <f>ROUND(G100*H100,2)</f>
        <v>271671.09000000003</v>
      </c>
      <c r="K100" s="2">
        <v>8.61</v>
      </c>
      <c r="L100" s="47">
        <f>ROUND(J100*K100,2)</f>
        <v>2339088.08</v>
      </c>
    </row>
    <row r="101" spans="1:18" x14ac:dyDescent="0.2">
      <c r="A101" s="12"/>
      <c r="B101" s="18"/>
      <c r="C101" s="18" t="str">
        <f>"Объём: "&amp;E100&amp;"*"&amp;G91</f>
        <v>Объём: 101*4,56</v>
      </c>
      <c r="D101" s="18"/>
      <c r="E101" s="18"/>
      <c r="F101" s="18"/>
      <c r="G101" s="18"/>
      <c r="H101" s="18"/>
      <c r="I101" s="18"/>
      <c r="J101" s="18"/>
      <c r="K101" s="18"/>
      <c r="L101" s="45"/>
    </row>
    <row r="102" spans="1:18" ht="22.5" x14ac:dyDescent="0.2">
      <c r="A102" s="12"/>
      <c r="B102" s="13" t="s">
        <v>39</v>
      </c>
      <c r="C102" s="14" t="str">
        <f>" Накладные расходы 147%"&amp;"     "&amp;G102&amp;"*(от "&amp;L92&amp;"+"&amp;L94&amp;")/100"</f>
        <v xml:space="preserve"> Накладные расходы 147%     147*(от 30113,72+40347,75)/100</v>
      </c>
      <c r="D102" s="15" t="s">
        <v>40</v>
      </c>
      <c r="E102" s="16">
        <v>147</v>
      </c>
      <c r="F102" s="2"/>
      <c r="G102" s="2">
        <v>147</v>
      </c>
      <c r="H102" s="17"/>
      <c r="I102" s="17"/>
      <c r="J102" s="17">
        <f>ROUND(G102*(J92+J94)/100,2)</f>
        <v>3332.64</v>
      </c>
      <c r="K102" s="18"/>
      <c r="L102" s="47">
        <f>ROUND(G102*(L92+L94)/100,2)</f>
        <v>103578.36</v>
      </c>
    </row>
    <row r="103" spans="1:18" ht="22.5" x14ac:dyDescent="0.2">
      <c r="A103" s="12"/>
      <c r="B103" s="13" t="s">
        <v>41</v>
      </c>
      <c r="C103" s="14" t="str">
        <f>" Сметная прибыль 134%"&amp;"     "&amp;G103&amp;"*(от "&amp;L92&amp;"+"&amp;L94&amp;")/100"</f>
        <v xml:space="preserve"> Сметная прибыль 134%     134*(от 30113,72+40347,75)/100</v>
      </c>
      <c r="D103" s="15" t="s">
        <v>40</v>
      </c>
      <c r="E103" s="16">
        <v>134</v>
      </c>
      <c r="F103" s="2"/>
      <c r="G103" s="2">
        <v>134</v>
      </c>
      <c r="H103" s="17"/>
      <c r="I103" s="17"/>
      <c r="J103" s="17">
        <f>ROUND(G103*(J92+J94)/100,2)</f>
        <v>3037.91</v>
      </c>
      <c r="K103" s="18"/>
      <c r="L103" s="47">
        <f>ROUND(G103*(L92+L94)/100,2)</f>
        <v>94418.37</v>
      </c>
    </row>
    <row r="104" spans="1:18" x14ac:dyDescent="0.2">
      <c r="A104" s="12"/>
      <c r="B104" s="13" t="s">
        <v>34</v>
      </c>
      <c r="C104" s="19" t="s">
        <v>42</v>
      </c>
      <c r="D104" s="15"/>
      <c r="E104" s="16"/>
      <c r="F104" s="2"/>
      <c r="G104" s="2"/>
      <c r="H104" s="17"/>
      <c r="I104" s="17"/>
      <c r="J104" s="20">
        <f>ROUND(J99+J100+J102+J103,2)</f>
        <v>304822.48</v>
      </c>
      <c r="K104" s="18"/>
      <c r="L104" s="46">
        <f>ROUND(L99+L100+L102+L103,2)</f>
        <v>2869476.1</v>
      </c>
      <c r="O104">
        <v>2</v>
      </c>
    </row>
    <row r="105" spans="1:18" ht="45" x14ac:dyDescent="0.2">
      <c r="A105" s="4">
        <v>8</v>
      </c>
      <c r="B105" s="5" t="s">
        <v>98</v>
      </c>
      <c r="C105" s="6" t="s">
        <v>120</v>
      </c>
      <c r="D105" s="7" t="s">
        <v>52</v>
      </c>
      <c r="E105" s="8">
        <f>G105</f>
        <v>3.1789999999999998</v>
      </c>
      <c r="F105" s="9"/>
      <c r="G105" s="10">
        <v>3.1789999999999998</v>
      </c>
      <c r="H105" s="10">
        <v>5721.76</v>
      </c>
      <c r="I105" s="11"/>
      <c r="J105" s="10">
        <f>ROUND(G105*H105,2)</f>
        <v>18189.48</v>
      </c>
      <c r="K105" s="9"/>
      <c r="L105" s="44"/>
      <c r="N105">
        <v>1</v>
      </c>
      <c r="P105">
        <v>4373</v>
      </c>
      <c r="Q105">
        <v>7064</v>
      </c>
      <c r="R105">
        <v>66217</v>
      </c>
    </row>
    <row r="106" spans="1:18" x14ac:dyDescent="0.2">
      <c r="A106" s="12"/>
      <c r="B106" s="13" t="s">
        <v>16</v>
      </c>
      <c r="C106" s="14" t="s">
        <v>30</v>
      </c>
      <c r="D106" s="15"/>
      <c r="E106" s="16"/>
      <c r="F106" s="2"/>
      <c r="G106" s="2"/>
      <c r="H106" s="17">
        <v>154.49</v>
      </c>
      <c r="I106" s="17"/>
      <c r="J106" s="17">
        <f>ROUND(H106*G105,2)</f>
        <v>491.12</v>
      </c>
      <c r="K106" s="18">
        <v>31.08</v>
      </c>
      <c r="L106" s="45">
        <f>ROUND(J106*K106,2)</f>
        <v>15264.01</v>
      </c>
    </row>
    <row r="107" spans="1:18" x14ac:dyDescent="0.2">
      <c r="A107" s="12"/>
      <c r="B107" s="13" t="s">
        <v>17</v>
      </c>
      <c r="C107" s="14" t="s">
        <v>31</v>
      </c>
      <c r="D107" s="15"/>
      <c r="E107" s="16"/>
      <c r="F107" s="2"/>
      <c r="G107" s="2"/>
      <c r="H107" s="17">
        <v>4510.84</v>
      </c>
      <c r="I107" s="17"/>
      <c r="J107" s="17">
        <f>ROUND(H107*G105,2)</f>
        <v>14339.96</v>
      </c>
      <c r="K107" s="18">
        <v>11.78</v>
      </c>
      <c r="L107" s="45">
        <f>ROUND(J107*K107,2)</f>
        <v>168924.73</v>
      </c>
    </row>
    <row r="108" spans="1:18" x14ac:dyDescent="0.2">
      <c r="A108" s="12"/>
      <c r="B108" s="13" t="s">
        <v>18</v>
      </c>
      <c r="C108" s="14" t="s">
        <v>32</v>
      </c>
      <c r="D108" s="15"/>
      <c r="E108" s="16"/>
      <c r="F108" s="2"/>
      <c r="G108" s="2"/>
      <c r="H108" s="17">
        <v>101.52</v>
      </c>
      <c r="I108" s="17"/>
      <c r="J108" s="17">
        <f>ROUND(H108*G105,2)</f>
        <v>322.73</v>
      </c>
      <c r="K108" s="18">
        <v>31.08</v>
      </c>
      <c r="L108" s="45">
        <f>ROUND(J108*K108,2)</f>
        <v>10030.450000000001</v>
      </c>
    </row>
    <row r="109" spans="1:18" x14ac:dyDescent="0.2">
      <c r="A109" s="12"/>
      <c r="B109" s="13" t="s">
        <v>19</v>
      </c>
      <c r="C109" s="14" t="s">
        <v>33</v>
      </c>
      <c r="D109" s="15"/>
      <c r="E109" s="16"/>
      <c r="F109" s="2"/>
      <c r="G109" s="2"/>
      <c r="H109" s="17">
        <v>1056.43</v>
      </c>
      <c r="I109" s="17"/>
      <c r="J109" s="17">
        <f>ROUND(H109*G105,2)</f>
        <v>3358.39</v>
      </c>
      <c r="K109" s="18">
        <v>8.61</v>
      </c>
      <c r="L109" s="45">
        <f>ROUND(J109*K109,2)</f>
        <v>28915.74</v>
      </c>
    </row>
    <row r="110" spans="1:18" x14ac:dyDescent="0.2">
      <c r="A110" s="12"/>
      <c r="B110" s="21" t="s">
        <v>62</v>
      </c>
      <c r="C110" s="18" t="s">
        <v>63</v>
      </c>
      <c r="D110" s="22" t="s">
        <v>53</v>
      </c>
      <c r="E110" s="22" t="s">
        <v>47</v>
      </c>
      <c r="F110" s="18"/>
      <c r="G110" s="21" t="s">
        <v>47</v>
      </c>
      <c r="H110" s="18"/>
      <c r="I110" s="18"/>
      <c r="J110" s="18"/>
      <c r="K110" s="18"/>
      <c r="L110" s="45"/>
    </row>
    <row r="111" spans="1:18" x14ac:dyDescent="0.2">
      <c r="A111" s="12"/>
      <c r="B111" s="13" t="s">
        <v>34</v>
      </c>
      <c r="C111" s="14" t="s">
        <v>35</v>
      </c>
      <c r="D111" s="15" t="s">
        <v>36</v>
      </c>
      <c r="E111" s="16">
        <v>17</v>
      </c>
      <c r="F111" s="2"/>
      <c r="G111" s="2">
        <f>ROUND(E111*G105,2)</f>
        <v>54.04</v>
      </c>
      <c r="H111" s="17"/>
      <c r="I111" s="17"/>
      <c r="J111" s="17"/>
      <c r="K111" s="18"/>
      <c r="L111" s="45"/>
    </row>
    <row r="112" spans="1:18" x14ac:dyDescent="0.2">
      <c r="A112" s="12"/>
      <c r="B112" s="13" t="s">
        <v>34</v>
      </c>
      <c r="C112" s="14" t="s">
        <v>37</v>
      </c>
      <c r="D112" s="15" t="s">
        <v>36</v>
      </c>
      <c r="E112" s="16">
        <v>8</v>
      </c>
      <c r="F112" s="2"/>
      <c r="G112" s="2">
        <f>ROUND(E112*G105,2)</f>
        <v>25.43</v>
      </c>
      <c r="H112" s="17"/>
      <c r="I112" s="17"/>
      <c r="J112" s="17"/>
      <c r="K112" s="18"/>
      <c r="L112" s="45"/>
    </row>
    <row r="113" spans="1:18" x14ac:dyDescent="0.2">
      <c r="A113" s="12"/>
      <c r="B113" s="13" t="s">
        <v>34</v>
      </c>
      <c r="C113" s="19" t="s">
        <v>38</v>
      </c>
      <c r="D113" s="15"/>
      <c r="E113" s="16"/>
      <c r="F113" s="2"/>
      <c r="G113" s="2"/>
      <c r="H113" s="20">
        <f>ROUND(H106+H107+H109,2)</f>
        <v>5721.76</v>
      </c>
      <c r="I113" s="17"/>
      <c r="J113" s="20">
        <f>ROUND(J106+J107+J109,2)</f>
        <v>18189.47</v>
      </c>
      <c r="K113" s="18"/>
      <c r="L113" s="46">
        <f>ROUND(L106+L107+L109,2)</f>
        <v>213104.48</v>
      </c>
    </row>
    <row r="114" spans="1:18" ht="22.5" x14ac:dyDescent="0.2">
      <c r="A114" s="23" t="s">
        <v>121</v>
      </c>
      <c r="B114" s="24" t="s">
        <v>99</v>
      </c>
      <c r="C114" s="25" t="s">
        <v>134</v>
      </c>
      <c r="D114" s="15" t="s">
        <v>53</v>
      </c>
      <c r="E114" s="16">
        <v>96.599600000000009</v>
      </c>
      <c r="F114" s="2"/>
      <c r="G114" s="2">
        <f>ROUND(E114*G105,1)</f>
        <v>307.10000000000002</v>
      </c>
      <c r="H114" s="2">
        <f>ROUND(491.01*U23,2)</f>
        <v>642.04999999999995</v>
      </c>
      <c r="I114" s="2"/>
      <c r="J114" s="2">
        <f>ROUND(G114*H114,2)</f>
        <v>197173.56</v>
      </c>
      <c r="K114" s="2">
        <v>8.61</v>
      </c>
      <c r="L114" s="47">
        <f>ROUND(J114*K114,2)</f>
        <v>1697664.35</v>
      </c>
    </row>
    <row r="115" spans="1:18" x14ac:dyDescent="0.2">
      <c r="A115" s="12"/>
      <c r="B115" s="18"/>
      <c r="C115" s="18" t="str">
        <f>"Объём: "&amp;E114&amp;"*"&amp;G105</f>
        <v>Объём: 96,5996*3,179</v>
      </c>
      <c r="D115" s="18"/>
      <c r="E115" s="18"/>
      <c r="F115" s="18"/>
      <c r="G115" s="18"/>
      <c r="H115" s="18"/>
      <c r="I115" s="18"/>
      <c r="J115" s="18"/>
      <c r="K115" s="18"/>
      <c r="L115" s="45"/>
    </row>
    <row r="116" spans="1:18" ht="22.5" x14ac:dyDescent="0.2">
      <c r="A116" s="12"/>
      <c r="B116" s="13" t="s">
        <v>39</v>
      </c>
      <c r="C116" s="14" t="str">
        <f>" Накладные расходы 147%"&amp;"     "&amp;G116&amp;"*(от "&amp;L106&amp;"+"&amp;L108&amp;")/100"</f>
        <v xml:space="preserve"> Накладные расходы 147%     147*(от 15264,01+10030,45)/100</v>
      </c>
      <c r="D116" s="15" t="s">
        <v>40</v>
      </c>
      <c r="E116" s="16">
        <v>147</v>
      </c>
      <c r="F116" s="2"/>
      <c r="G116" s="2">
        <v>147</v>
      </c>
      <c r="H116" s="17"/>
      <c r="I116" s="17"/>
      <c r="J116" s="17">
        <f>ROUND(G116*(J106+J108)/100,2)</f>
        <v>1196.3599999999999</v>
      </c>
      <c r="K116" s="18"/>
      <c r="L116" s="47">
        <f>ROUND(G116*(L106+L108)/100,2)</f>
        <v>37182.86</v>
      </c>
    </row>
    <row r="117" spans="1:18" ht="22.5" x14ac:dyDescent="0.2">
      <c r="A117" s="12"/>
      <c r="B117" s="13" t="s">
        <v>41</v>
      </c>
      <c r="C117" s="14" t="str">
        <f>" Сметная прибыль 134%"&amp;"     "&amp;G117&amp;"*(от "&amp;L106&amp;"+"&amp;L108&amp;")/100"</f>
        <v xml:space="preserve"> Сметная прибыль 134%     134*(от 15264,01+10030,45)/100</v>
      </c>
      <c r="D117" s="15" t="s">
        <v>40</v>
      </c>
      <c r="E117" s="16">
        <v>134</v>
      </c>
      <c r="F117" s="2"/>
      <c r="G117" s="2">
        <v>134</v>
      </c>
      <c r="H117" s="17"/>
      <c r="I117" s="17"/>
      <c r="J117" s="17">
        <f>ROUND(G117*(J106+J108)/100,2)</f>
        <v>1090.56</v>
      </c>
      <c r="K117" s="18"/>
      <c r="L117" s="47">
        <f>ROUND(G117*(L106+L108)/100,2)</f>
        <v>33894.58</v>
      </c>
    </row>
    <row r="118" spans="1:18" x14ac:dyDescent="0.2">
      <c r="A118" s="26"/>
      <c r="B118" s="27" t="s">
        <v>34</v>
      </c>
      <c r="C118" s="28" t="s">
        <v>42</v>
      </c>
      <c r="D118" s="29"/>
      <c r="E118" s="30"/>
      <c r="F118" s="31"/>
      <c r="G118" s="31"/>
      <c r="H118" s="32"/>
      <c r="I118" s="32"/>
      <c r="J118" s="33">
        <f>ROUND(J113+J114+J116+J117,2)</f>
        <v>217649.95</v>
      </c>
      <c r="K118" s="50"/>
      <c r="L118" s="51">
        <f>ROUND(L113+L114+L116+L117,2)</f>
        <v>1981846.27</v>
      </c>
      <c r="O118">
        <v>2</v>
      </c>
    </row>
    <row r="119" spans="1:18" x14ac:dyDescent="0.2">
      <c r="A119" s="76" t="s">
        <v>66</v>
      </c>
      <c r="B119" s="77"/>
      <c r="C119" s="77"/>
      <c r="D119" s="77"/>
      <c r="E119" s="77"/>
      <c r="F119" s="77"/>
      <c r="G119" s="77"/>
      <c r="H119" s="77"/>
      <c r="I119" s="77"/>
      <c r="J119" s="79">
        <f>J36+J37+J48+J62+J76+J90+J104+J118</f>
        <v>632478.16999999993</v>
      </c>
      <c r="K119" s="18"/>
      <c r="L119" s="81">
        <f>L36+L37+L48+L62+L76+L90+L104+L118</f>
        <v>6036985.290000001</v>
      </c>
    </row>
    <row r="120" spans="1:18" x14ac:dyDescent="0.2">
      <c r="A120" s="76"/>
      <c r="B120" s="77"/>
      <c r="C120" s="77"/>
      <c r="D120" s="77"/>
      <c r="E120" s="77"/>
      <c r="F120" s="77"/>
      <c r="G120" s="77"/>
      <c r="H120" s="77"/>
      <c r="I120" s="77"/>
      <c r="J120" s="79"/>
      <c r="K120" s="18"/>
      <c r="L120" s="81"/>
    </row>
    <row r="121" spans="1:18" x14ac:dyDescent="0.2">
      <c r="A121" s="117" t="s">
        <v>122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9"/>
    </row>
    <row r="122" spans="1:18" ht="22.5" x14ac:dyDescent="0.2">
      <c r="A122" s="4">
        <v>1</v>
      </c>
      <c r="B122" s="5" t="s">
        <v>54</v>
      </c>
      <c r="C122" s="6" t="s">
        <v>116</v>
      </c>
      <c r="D122" s="7" t="s">
        <v>53</v>
      </c>
      <c r="E122" s="8">
        <f>G122</f>
        <v>0.72</v>
      </c>
      <c r="F122" s="9"/>
      <c r="G122" s="10">
        <v>0.72</v>
      </c>
      <c r="H122" s="10">
        <v>39.1</v>
      </c>
      <c r="I122" s="11"/>
      <c r="J122" s="10">
        <f>ROUND(G122*H122,2)</f>
        <v>28.15</v>
      </c>
      <c r="K122" s="9"/>
      <c r="L122" s="44"/>
      <c r="N122">
        <v>1</v>
      </c>
      <c r="P122">
        <v>4374</v>
      </c>
      <c r="Q122">
        <v>7065</v>
      </c>
      <c r="R122">
        <v>66219</v>
      </c>
    </row>
    <row r="123" spans="1:18" ht="12.75" hidden="1" customHeight="1" x14ac:dyDescent="0.2">
      <c r="A123" s="12"/>
      <c r="B123" s="13" t="s">
        <v>16</v>
      </c>
      <c r="C123" s="14" t="s">
        <v>30</v>
      </c>
      <c r="D123" s="15"/>
      <c r="E123" s="16"/>
      <c r="F123" s="2"/>
      <c r="G123" s="2"/>
      <c r="H123" s="17">
        <v>0</v>
      </c>
      <c r="I123" s="17"/>
      <c r="J123" s="17">
        <f>ROUND(H123*G122,2)</f>
        <v>0</v>
      </c>
      <c r="K123" s="18">
        <v>31.08</v>
      </c>
      <c r="L123" s="45">
        <f>ROUND(J123*K123,2)</f>
        <v>0</v>
      </c>
    </row>
    <row r="124" spans="1:18" x14ac:dyDescent="0.2">
      <c r="A124" s="12"/>
      <c r="B124" s="13" t="s">
        <v>17</v>
      </c>
      <c r="C124" s="14" t="s">
        <v>31</v>
      </c>
      <c r="D124" s="15"/>
      <c r="E124" s="16"/>
      <c r="F124" s="2"/>
      <c r="G124" s="2"/>
      <c r="H124" s="17">
        <v>39.1</v>
      </c>
      <c r="I124" s="17"/>
      <c r="J124" s="17">
        <f>ROUND(H124*G122,2)</f>
        <v>28.15</v>
      </c>
      <c r="K124" s="18">
        <v>11.78</v>
      </c>
      <c r="L124" s="45">
        <f>ROUND(J124*K124,2)</f>
        <v>331.61</v>
      </c>
    </row>
    <row r="125" spans="1:18" x14ac:dyDescent="0.2">
      <c r="A125" s="12"/>
      <c r="B125" s="13" t="s">
        <v>18</v>
      </c>
      <c r="C125" s="14" t="s">
        <v>32</v>
      </c>
      <c r="D125" s="15"/>
      <c r="E125" s="16"/>
      <c r="F125" s="2"/>
      <c r="G125" s="2"/>
      <c r="H125" s="17">
        <v>7.15</v>
      </c>
      <c r="I125" s="17"/>
      <c r="J125" s="17">
        <f>ROUND(H125*G122,2)</f>
        <v>5.15</v>
      </c>
      <c r="K125" s="18">
        <v>31.08</v>
      </c>
      <c r="L125" s="45">
        <f>ROUND(J125*K125,2)</f>
        <v>160.06</v>
      </c>
    </row>
    <row r="126" spans="1:18" ht="12.75" hidden="1" customHeight="1" x14ac:dyDescent="0.2">
      <c r="A126" s="12"/>
      <c r="B126" s="13" t="s">
        <v>19</v>
      </c>
      <c r="C126" s="14" t="s">
        <v>33</v>
      </c>
      <c r="D126" s="15"/>
      <c r="E126" s="16"/>
      <c r="F126" s="2"/>
      <c r="G126" s="2"/>
      <c r="H126" s="17">
        <v>0</v>
      </c>
      <c r="I126" s="17"/>
      <c r="J126" s="17">
        <f>ROUND(H126*G122,2)</f>
        <v>0</v>
      </c>
      <c r="K126" s="18">
        <v>8.61</v>
      </c>
      <c r="L126" s="45">
        <f>ROUND(J126*K126,2)</f>
        <v>0</v>
      </c>
    </row>
    <row r="127" spans="1:18" x14ac:dyDescent="0.2">
      <c r="A127" s="12"/>
      <c r="B127" s="21" t="s">
        <v>55</v>
      </c>
      <c r="C127" s="18" t="s">
        <v>56</v>
      </c>
      <c r="D127" s="22" t="s">
        <v>53</v>
      </c>
      <c r="E127" s="22">
        <v>1.03</v>
      </c>
      <c r="F127" s="18"/>
      <c r="G127" s="21">
        <f>ROUND(E127*G122,2)</f>
        <v>0.74</v>
      </c>
      <c r="H127" s="18"/>
      <c r="I127" s="18"/>
      <c r="J127" s="18"/>
      <c r="K127" s="18"/>
      <c r="L127" s="45"/>
    </row>
    <row r="128" spans="1:18" ht="12.75" hidden="1" customHeight="1" x14ac:dyDescent="0.2">
      <c r="A128" s="12"/>
      <c r="B128" s="13" t="s">
        <v>34</v>
      </c>
      <c r="C128" s="14" t="s">
        <v>35</v>
      </c>
      <c r="D128" s="15" t="s">
        <v>36</v>
      </c>
      <c r="E128" s="16">
        <v>0</v>
      </c>
      <c r="F128" s="2"/>
      <c r="G128" s="2">
        <f>ROUND(E128*G122,2)</f>
        <v>0</v>
      </c>
      <c r="H128" s="17"/>
      <c r="I128" s="17"/>
      <c r="J128" s="17"/>
      <c r="K128" s="18"/>
      <c r="L128" s="45"/>
    </row>
    <row r="129" spans="1:18" x14ac:dyDescent="0.2">
      <c r="A129" s="12"/>
      <c r="B129" s="13" t="s">
        <v>34</v>
      </c>
      <c r="C129" s="14" t="s">
        <v>37</v>
      </c>
      <c r="D129" s="15" t="s">
        <v>36</v>
      </c>
      <c r="E129" s="16">
        <v>1</v>
      </c>
      <c r="F129" s="2"/>
      <c r="G129" s="2">
        <f>ROUND(E129*G122,2)</f>
        <v>0.72</v>
      </c>
      <c r="H129" s="17"/>
      <c r="I129" s="17"/>
      <c r="J129" s="17"/>
      <c r="K129" s="18"/>
      <c r="L129" s="45"/>
    </row>
    <row r="130" spans="1:18" x14ac:dyDescent="0.2">
      <c r="A130" s="12"/>
      <c r="B130" s="13" t="s">
        <v>34</v>
      </c>
      <c r="C130" s="19" t="s">
        <v>38</v>
      </c>
      <c r="D130" s="15"/>
      <c r="E130" s="16"/>
      <c r="F130" s="2"/>
      <c r="G130" s="2"/>
      <c r="H130" s="20">
        <f>ROUND(H123+H124+H126,2)</f>
        <v>39.1</v>
      </c>
      <c r="I130" s="17"/>
      <c r="J130" s="20">
        <f>ROUND(J123+J124+J126,2)</f>
        <v>28.15</v>
      </c>
      <c r="K130" s="18"/>
      <c r="L130" s="46">
        <f>ROUND(L123+L124+L126,2)</f>
        <v>331.61</v>
      </c>
    </row>
    <row r="131" spans="1:18" ht="22.5" x14ac:dyDescent="0.2">
      <c r="A131" s="23" t="s">
        <v>97</v>
      </c>
      <c r="B131" s="24" t="s">
        <v>57</v>
      </c>
      <c r="C131" s="25" t="s">
        <v>58</v>
      </c>
      <c r="D131" s="15" t="s">
        <v>53</v>
      </c>
      <c r="E131" s="16">
        <v>1.03</v>
      </c>
      <c r="F131" s="2"/>
      <c r="G131" s="2">
        <f>ROUND(E131*G122,4)</f>
        <v>0.74160000000000004</v>
      </c>
      <c r="H131" s="2">
        <v>1554.2</v>
      </c>
      <c r="I131" s="2"/>
      <c r="J131" s="2">
        <f>ROUND(G131*H131,2)</f>
        <v>1152.5899999999999</v>
      </c>
      <c r="K131" s="2">
        <v>8.61</v>
      </c>
      <c r="L131" s="47">
        <f>ROUND(J131*K131,2)</f>
        <v>9923.7999999999993</v>
      </c>
    </row>
    <row r="132" spans="1:18" x14ac:dyDescent="0.2">
      <c r="A132" s="12"/>
      <c r="B132" s="18"/>
      <c r="C132" s="18" t="str">
        <f>"Объём: "&amp;E131&amp;"*"&amp;G122</f>
        <v>Объём: 1,03*0,72</v>
      </c>
      <c r="D132" s="18"/>
      <c r="E132" s="18"/>
      <c r="F132" s="18"/>
      <c r="G132" s="18"/>
      <c r="H132" s="18"/>
      <c r="I132" s="18"/>
      <c r="J132" s="18"/>
      <c r="K132" s="18"/>
      <c r="L132" s="45"/>
    </row>
    <row r="133" spans="1:18" ht="22.5" x14ac:dyDescent="0.2">
      <c r="A133" s="12"/>
      <c r="B133" s="13" t="s">
        <v>39</v>
      </c>
      <c r="C133" s="14" t="str">
        <f>" Накладные расходы 147%"&amp;"     "&amp;G133&amp;"*(от "&amp;L123&amp;"+"&amp;L125&amp;")/100"</f>
        <v xml:space="preserve"> Накладные расходы 147%     147*(от 0+160,06)/100</v>
      </c>
      <c r="D133" s="15" t="s">
        <v>40</v>
      </c>
      <c r="E133" s="16">
        <v>147</v>
      </c>
      <c r="F133" s="2"/>
      <c r="G133" s="2">
        <v>147</v>
      </c>
      <c r="H133" s="17"/>
      <c r="I133" s="17"/>
      <c r="J133" s="17">
        <f>ROUND(G133*(J123+J125)/100,2)</f>
        <v>7.57</v>
      </c>
      <c r="K133" s="18"/>
      <c r="L133" s="47">
        <f>ROUND(G133*(L123+L125)/100,2)</f>
        <v>235.29</v>
      </c>
    </row>
    <row r="134" spans="1:18" ht="22.5" x14ac:dyDescent="0.2">
      <c r="A134" s="12"/>
      <c r="B134" s="13" t="s">
        <v>41</v>
      </c>
      <c r="C134" s="14" t="str">
        <f>" Сметная прибыль 134%"&amp;"     "&amp;G134&amp;"*(от "&amp;L123&amp;"+"&amp;L125&amp;")/100"</f>
        <v xml:space="preserve"> Сметная прибыль 134%     134*(от 0+160,06)/100</v>
      </c>
      <c r="D134" s="15" t="s">
        <v>40</v>
      </c>
      <c r="E134" s="16">
        <v>134</v>
      </c>
      <c r="F134" s="2"/>
      <c r="G134" s="2">
        <v>134</v>
      </c>
      <c r="H134" s="17"/>
      <c r="I134" s="17"/>
      <c r="J134" s="17">
        <f>ROUND(G134*(J123+J125)/100,2)</f>
        <v>6.9</v>
      </c>
      <c r="K134" s="18"/>
      <c r="L134" s="47">
        <f>ROUND(G134*(L123+L125)/100,2)</f>
        <v>214.48</v>
      </c>
    </row>
    <row r="135" spans="1:18" x14ac:dyDescent="0.2">
      <c r="A135" s="12"/>
      <c r="B135" s="13" t="s">
        <v>34</v>
      </c>
      <c r="C135" s="19" t="s">
        <v>42</v>
      </c>
      <c r="D135" s="15"/>
      <c r="E135" s="16"/>
      <c r="F135" s="2"/>
      <c r="G135" s="2"/>
      <c r="H135" s="17"/>
      <c r="I135" s="17"/>
      <c r="J135" s="20">
        <f>ROUND(J130+J131+J133+J134,2)</f>
        <v>1195.21</v>
      </c>
      <c r="K135" s="18"/>
      <c r="L135" s="46">
        <f>ROUND(L130+L131+L133+L134,2)</f>
        <v>10705.18</v>
      </c>
      <c r="O135">
        <v>2</v>
      </c>
    </row>
    <row r="136" spans="1:18" ht="33.75" x14ac:dyDescent="0.2">
      <c r="A136" s="4">
        <v>2</v>
      </c>
      <c r="B136" s="5" t="s">
        <v>59</v>
      </c>
      <c r="C136" s="6" t="s">
        <v>60</v>
      </c>
      <c r="D136" s="7" t="s">
        <v>61</v>
      </c>
      <c r="E136" s="8">
        <f>G136</f>
        <v>3.44</v>
      </c>
      <c r="F136" s="9"/>
      <c r="G136" s="10">
        <v>3.44</v>
      </c>
      <c r="H136" s="10">
        <v>5872.99</v>
      </c>
      <c r="I136" s="11"/>
      <c r="J136" s="10">
        <f>ROUND(G136*H136,2)</f>
        <v>20203.09</v>
      </c>
      <c r="K136" s="9"/>
      <c r="L136" s="44"/>
      <c r="N136">
        <v>1</v>
      </c>
      <c r="P136">
        <v>4374</v>
      </c>
      <c r="Q136">
        <v>7065</v>
      </c>
      <c r="R136">
        <v>66221</v>
      </c>
    </row>
    <row r="137" spans="1:18" x14ac:dyDescent="0.2">
      <c r="A137" s="12"/>
      <c r="B137" s="13" t="s">
        <v>16</v>
      </c>
      <c r="C137" s="14" t="s">
        <v>30</v>
      </c>
      <c r="D137" s="15"/>
      <c r="E137" s="16"/>
      <c r="F137" s="2"/>
      <c r="G137" s="2"/>
      <c r="H137" s="17">
        <v>212.48000000000002</v>
      </c>
      <c r="I137" s="17"/>
      <c r="J137" s="17">
        <f>ROUND(H137*G136,2)</f>
        <v>730.93</v>
      </c>
      <c r="K137" s="18">
        <v>31.08</v>
      </c>
      <c r="L137" s="45">
        <f>ROUND(J137*K137,2)</f>
        <v>22717.3</v>
      </c>
    </row>
    <row r="138" spans="1:18" x14ac:dyDescent="0.2">
      <c r="A138" s="12"/>
      <c r="B138" s="13" t="s">
        <v>17</v>
      </c>
      <c r="C138" s="14" t="s">
        <v>31</v>
      </c>
      <c r="D138" s="15"/>
      <c r="E138" s="16"/>
      <c r="F138" s="2"/>
      <c r="G138" s="2"/>
      <c r="H138" s="17">
        <v>5536.89</v>
      </c>
      <c r="I138" s="17"/>
      <c r="J138" s="17">
        <f>ROUND(H138*G136,2)</f>
        <v>19046.900000000001</v>
      </c>
      <c r="K138" s="18">
        <v>11.78</v>
      </c>
      <c r="L138" s="45">
        <f>ROUND(J138*K138,2)</f>
        <v>224372.48000000001</v>
      </c>
    </row>
    <row r="139" spans="1:18" x14ac:dyDescent="0.2">
      <c r="A139" s="12"/>
      <c r="B139" s="13" t="s">
        <v>18</v>
      </c>
      <c r="C139" s="14" t="s">
        <v>32</v>
      </c>
      <c r="D139" s="15"/>
      <c r="E139" s="16"/>
      <c r="F139" s="2"/>
      <c r="G139" s="2"/>
      <c r="H139" s="17">
        <v>284.69</v>
      </c>
      <c r="I139" s="17"/>
      <c r="J139" s="17">
        <f>ROUND(H139*G136,2)</f>
        <v>979.33</v>
      </c>
      <c r="K139" s="18">
        <v>31.08</v>
      </c>
      <c r="L139" s="45">
        <f>ROUND(J139*K139,2)</f>
        <v>30437.58</v>
      </c>
    </row>
    <row r="140" spans="1:18" x14ac:dyDescent="0.2">
      <c r="A140" s="12"/>
      <c r="B140" s="13" t="s">
        <v>19</v>
      </c>
      <c r="C140" s="14" t="s">
        <v>33</v>
      </c>
      <c r="D140" s="15"/>
      <c r="E140" s="16"/>
      <c r="F140" s="2"/>
      <c r="G140" s="2"/>
      <c r="H140" s="17">
        <v>123.62</v>
      </c>
      <c r="I140" s="17"/>
      <c r="J140" s="17">
        <f>ROUND(H140*G136,2)</f>
        <v>425.25</v>
      </c>
      <c r="K140" s="18">
        <v>8.61</v>
      </c>
      <c r="L140" s="45">
        <f>ROUND(J140*K140,2)</f>
        <v>3661.4</v>
      </c>
    </row>
    <row r="141" spans="1:18" x14ac:dyDescent="0.2">
      <c r="A141" s="12"/>
      <c r="B141" s="21" t="s">
        <v>62</v>
      </c>
      <c r="C141" s="18" t="s">
        <v>63</v>
      </c>
      <c r="D141" s="22" t="s">
        <v>53</v>
      </c>
      <c r="E141" s="22">
        <v>101</v>
      </c>
      <c r="F141" s="18"/>
      <c r="G141" s="21">
        <f>ROUND(E141*G136,2)</f>
        <v>347.44</v>
      </c>
      <c r="H141" s="18"/>
      <c r="I141" s="18"/>
      <c r="J141" s="18"/>
      <c r="K141" s="18"/>
      <c r="L141" s="45"/>
    </row>
    <row r="142" spans="1:18" x14ac:dyDescent="0.2">
      <c r="A142" s="12"/>
      <c r="B142" s="13" t="s">
        <v>34</v>
      </c>
      <c r="C142" s="14" t="s">
        <v>35</v>
      </c>
      <c r="D142" s="15" t="s">
        <v>36</v>
      </c>
      <c r="E142" s="16">
        <v>22</v>
      </c>
      <c r="F142" s="2"/>
      <c r="G142" s="2">
        <f>ROUND(E142*G136,2)</f>
        <v>75.680000000000007</v>
      </c>
      <c r="H142" s="17"/>
      <c r="I142" s="17"/>
      <c r="J142" s="17"/>
      <c r="K142" s="18"/>
      <c r="L142" s="45"/>
    </row>
    <row r="143" spans="1:18" x14ac:dyDescent="0.2">
      <c r="A143" s="12"/>
      <c r="B143" s="13" t="s">
        <v>34</v>
      </c>
      <c r="C143" s="14" t="s">
        <v>37</v>
      </c>
      <c r="D143" s="15" t="s">
        <v>36</v>
      </c>
      <c r="E143" s="16">
        <v>22</v>
      </c>
      <c r="F143" s="2"/>
      <c r="G143" s="2">
        <f>ROUND(E143*G136,2)</f>
        <v>75.680000000000007</v>
      </c>
      <c r="H143" s="17"/>
      <c r="I143" s="17"/>
      <c r="J143" s="17"/>
      <c r="K143" s="18"/>
      <c r="L143" s="45"/>
    </row>
    <row r="144" spans="1:18" x14ac:dyDescent="0.2">
      <c r="A144" s="12"/>
      <c r="B144" s="13" t="s">
        <v>34</v>
      </c>
      <c r="C144" s="19" t="s">
        <v>38</v>
      </c>
      <c r="D144" s="15"/>
      <c r="E144" s="16"/>
      <c r="F144" s="2"/>
      <c r="G144" s="2"/>
      <c r="H144" s="20">
        <f>ROUND(H137+H138+H140,2)</f>
        <v>5872.99</v>
      </c>
      <c r="I144" s="17"/>
      <c r="J144" s="20">
        <f>ROUND(J137+J138+J140,2)</f>
        <v>20203.080000000002</v>
      </c>
      <c r="K144" s="18"/>
      <c r="L144" s="46">
        <f>ROUND(L137+L138+L140,2)</f>
        <v>250751.18</v>
      </c>
    </row>
    <row r="145" spans="1:18" ht="22.5" x14ac:dyDescent="0.2">
      <c r="A145" s="23" t="s">
        <v>123</v>
      </c>
      <c r="B145" s="24" t="s">
        <v>119</v>
      </c>
      <c r="C145" s="25" t="s">
        <v>135</v>
      </c>
      <c r="D145" s="15" t="s">
        <v>53</v>
      </c>
      <c r="E145" s="16">
        <v>101</v>
      </c>
      <c r="F145" s="2"/>
      <c r="G145" s="2">
        <f>ROUND(E145*G136,1)</f>
        <v>347.4</v>
      </c>
      <c r="H145" s="2">
        <f>ROUND(451.06*U23,2)</f>
        <v>589.82000000000005</v>
      </c>
      <c r="I145" s="2"/>
      <c r="J145" s="2">
        <f>ROUND(G145*H145,2)</f>
        <v>204903.47</v>
      </c>
      <c r="K145" s="2">
        <v>8.61</v>
      </c>
      <c r="L145" s="47">
        <f>ROUND(J145*K145,2)</f>
        <v>1764218.8799999999</v>
      </c>
    </row>
    <row r="146" spans="1:18" x14ac:dyDescent="0.2">
      <c r="A146" s="12"/>
      <c r="B146" s="18"/>
      <c r="C146" s="18" t="str">
        <f>"Объём: "&amp;E145&amp;"*"&amp;G136</f>
        <v>Объём: 101*3,44</v>
      </c>
      <c r="D146" s="18"/>
      <c r="E146" s="18"/>
      <c r="F146" s="18"/>
      <c r="G146" s="18"/>
      <c r="H146" s="18"/>
      <c r="I146" s="18"/>
      <c r="J146" s="18"/>
      <c r="K146" s="18"/>
      <c r="L146" s="45"/>
    </row>
    <row r="147" spans="1:18" ht="22.5" x14ac:dyDescent="0.2">
      <c r="A147" s="12"/>
      <c r="B147" s="13" t="s">
        <v>39</v>
      </c>
      <c r="C147" s="14" t="str">
        <f>" Накладные расходы 147%"&amp;"     "&amp;G147&amp;"*(от "&amp;L137&amp;"+"&amp;L139&amp;")/100"</f>
        <v xml:space="preserve"> Накладные расходы 147%     147*(от 22717,3+30437,58)/100</v>
      </c>
      <c r="D147" s="15" t="s">
        <v>40</v>
      </c>
      <c r="E147" s="16">
        <v>147</v>
      </c>
      <c r="F147" s="2"/>
      <c r="G147" s="2">
        <v>147</v>
      </c>
      <c r="H147" s="17"/>
      <c r="I147" s="17"/>
      <c r="J147" s="17">
        <f>ROUND(G147*(J137+J139)/100,2)</f>
        <v>2514.08</v>
      </c>
      <c r="K147" s="18"/>
      <c r="L147" s="47">
        <f>ROUND(G147*(L137+L139)/100,2)</f>
        <v>78137.67</v>
      </c>
    </row>
    <row r="148" spans="1:18" ht="22.5" x14ac:dyDescent="0.2">
      <c r="A148" s="12"/>
      <c r="B148" s="13" t="s">
        <v>41</v>
      </c>
      <c r="C148" s="14" t="str">
        <f>" Сметная прибыль 134%"&amp;"     "&amp;G148&amp;"*(от "&amp;L137&amp;"+"&amp;L139&amp;")/100"</f>
        <v xml:space="preserve"> Сметная прибыль 134%     134*(от 22717,3+30437,58)/100</v>
      </c>
      <c r="D148" s="15" t="s">
        <v>40</v>
      </c>
      <c r="E148" s="16">
        <v>134</v>
      </c>
      <c r="F148" s="2"/>
      <c r="G148" s="2">
        <v>134</v>
      </c>
      <c r="H148" s="17"/>
      <c r="I148" s="17"/>
      <c r="J148" s="17">
        <f>ROUND(G148*(J137+J139)/100,2)</f>
        <v>2291.75</v>
      </c>
      <c r="K148" s="18"/>
      <c r="L148" s="47">
        <f>ROUND(G148*(L137+L139)/100,2)</f>
        <v>71227.539999999994</v>
      </c>
    </row>
    <row r="149" spans="1:18" x14ac:dyDescent="0.2">
      <c r="A149" s="12"/>
      <c r="B149" s="13" t="s">
        <v>34</v>
      </c>
      <c r="C149" s="19" t="s">
        <v>42</v>
      </c>
      <c r="D149" s="15"/>
      <c r="E149" s="16"/>
      <c r="F149" s="2"/>
      <c r="G149" s="2"/>
      <c r="H149" s="17"/>
      <c r="I149" s="17"/>
      <c r="J149" s="20">
        <f>ROUND(J144+J145+J147+J148,2)</f>
        <v>229912.38</v>
      </c>
      <c r="K149" s="18"/>
      <c r="L149" s="46">
        <f>ROUND(L144+L145+L147+L148,2)</f>
        <v>2164335.27</v>
      </c>
      <c r="O149">
        <v>2</v>
      </c>
    </row>
    <row r="150" spans="1:18" ht="45" x14ac:dyDescent="0.2">
      <c r="A150" s="4">
        <v>3</v>
      </c>
      <c r="B150" s="5" t="s">
        <v>98</v>
      </c>
      <c r="C150" s="6" t="s">
        <v>120</v>
      </c>
      <c r="D150" s="7" t="s">
        <v>52</v>
      </c>
      <c r="E150" s="8">
        <f>G150</f>
        <v>2.4</v>
      </c>
      <c r="F150" s="9"/>
      <c r="G150" s="10">
        <v>2.4</v>
      </c>
      <c r="H150" s="10">
        <v>5721.76</v>
      </c>
      <c r="I150" s="11"/>
      <c r="J150" s="10">
        <f>ROUND(G150*H150,2)</f>
        <v>13732.22</v>
      </c>
      <c r="K150" s="9"/>
      <c r="L150" s="44"/>
      <c r="N150">
        <v>1</v>
      </c>
      <c r="P150">
        <v>4374</v>
      </c>
      <c r="Q150">
        <v>7065</v>
      </c>
      <c r="R150">
        <v>66223</v>
      </c>
    </row>
    <row r="151" spans="1:18" x14ac:dyDescent="0.2">
      <c r="A151" s="12"/>
      <c r="B151" s="13" t="s">
        <v>16</v>
      </c>
      <c r="C151" s="14" t="s">
        <v>30</v>
      </c>
      <c r="D151" s="15"/>
      <c r="E151" s="16"/>
      <c r="F151" s="2"/>
      <c r="G151" s="2"/>
      <c r="H151" s="17">
        <v>154.49</v>
      </c>
      <c r="I151" s="17"/>
      <c r="J151" s="17">
        <f>ROUND(H151*G150,2)</f>
        <v>370.78</v>
      </c>
      <c r="K151" s="18">
        <v>31.08</v>
      </c>
      <c r="L151" s="45">
        <f>ROUND(J151*K151,2)</f>
        <v>11523.84</v>
      </c>
    </row>
    <row r="152" spans="1:18" x14ac:dyDescent="0.2">
      <c r="A152" s="12"/>
      <c r="B152" s="13" t="s">
        <v>17</v>
      </c>
      <c r="C152" s="14" t="s">
        <v>31</v>
      </c>
      <c r="D152" s="15"/>
      <c r="E152" s="16"/>
      <c r="F152" s="2"/>
      <c r="G152" s="2"/>
      <c r="H152" s="17">
        <v>4510.84</v>
      </c>
      <c r="I152" s="17"/>
      <c r="J152" s="17">
        <f>ROUND(H152*G150,2)</f>
        <v>10826.02</v>
      </c>
      <c r="K152" s="18">
        <v>11.78</v>
      </c>
      <c r="L152" s="45">
        <f>ROUND(J152*K152,2)</f>
        <v>127530.52</v>
      </c>
    </row>
    <row r="153" spans="1:18" x14ac:dyDescent="0.2">
      <c r="A153" s="12"/>
      <c r="B153" s="13" t="s">
        <v>18</v>
      </c>
      <c r="C153" s="14" t="s">
        <v>32</v>
      </c>
      <c r="D153" s="15"/>
      <c r="E153" s="16"/>
      <c r="F153" s="2"/>
      <c r="G153" s="2"/>
      <c r="H153" s="17">
        <v>101.52</v>
      </c>
      <c r="I153" s="17"/>
      <c r="J153" s="17">
        <f>ROUND(H153*G150,2)</f>
        <v>243.65</v>
      </c>
      <c r="K153" s="18">
        <v>31.08</v>
      </c>
      <c r="L153" s="45">
        <f>ROUND(J153*K153,2)</f>
        <v>7572.64</v>
      </c>
    </row>
    <row r="154" spans="1:18" x14ac:dyDescent="0.2">
      <c r="A154" s="12"/>
      <c r="B154" s="13" t="s">
        <v>19</v>
      </c>
      <c r="C154" s="14" t="s">
        <v>33</v>
      </c>
      <c r="D154" s="15"/>
      <c r="E154" s="16"/>
      <c r="F154" s="2"/>
      <c r="G154" s="2"/>
      <c r="H154" s="17">
        <v>1056.43</v>
      </c>
      <c r="I154" s="17"/>
      <c r="J154" s="17">
        <f>ROUND(H154*G150,2)</f>
        <v>2535.4299999999998</v>
      </c>
      <c r="K154" s="18">
        <v>8.61</v>
      </c>
      <c r="L154" s="45">
        <f>ROUND(J154*K154,2)</f>
        <v>21830.05</v>
      </c>
    </row>
    <row r="155" spans="1:18" x14ac:dyDescent="0.2">
      <c r="A155" s="12"/>
      <c r="B155" s="21" t="s">
        <v>62</v>
      </c>
      <c r="C155" s="18" t="s">
        <v>63</v>
      </c>
      <c r="D155" s="22" t="s">
        <v>53</v>
      </c>
      <c r="E155" s="22" t="s">
        <v>47</v>
      </c>
      <c r="F155" s="18"/>
      <c r="G155" s="21" t="s">
        <v>47</v>
      </c>
      <c r="H155" s="18"/>
      <c r="I155" s="18"/>
      <c r="J155" s="18"/>
      <c r="K155" s="18"/>
      <c r="L155" s="45"/>
    </row>
    <row r="156" spans="1:18" x14ac:dyDescent="0.2">
      <c r="A156" s="12"/>
      <c r="B156" s="13" t="s">
        <v>34</v>
      </c>
      <c r="C156" s="14" t="s">
        <v>35</v>
      </c>
      <c r="D156" s="15" t="s">
        <v>36</v>
      </c>
      <c r="E156" s="16">
        <v>17</v>
      </c>
      <c r="F156" s="2"/>
      <c r="G156" s="2">
        <f>ROUND(E156*G150,2)</f>
        <v>40.799999999999997</v>
      </c>
      <c r="H156" s="17"/>
      <c r="I156" s="17"/>
      <c r="J156" s="17"/>
      <c r="K156" s="18"/>
      <c r="L156" s="45"/>
    </row>
    <row r="157" spans="1:18" x14ac:dyDescent="0.2">
      <c r="A157" s="12"/>
      <c r="B157" s="13" t="s">
        <v>34</v>
      </c>
      <c r="C157" s="14" t="s">
        <v>37</v>
      </c>
      <c r="D157" s="15" t="s">
        <v>36</v>
      </c>
      <c r="E157" s="16">
        <v>8</v>
      </c>
      <c r="F157" s="2"/>
      <c r="G157" s="2">
        <f>ROUND(E157*G150,2)</f>
        <v>19.2</v>
      </c>
      <c r="H157" s="17"/>
      <c r="I157" s="17"/>
      <c r="J157" s="17"/>
      <c r="K157" s="18"/>
      <c r="L157" s="45"/>
    </row>
    <row r="158" spans="1:18" x14ac:dyDescent="0.2">
      <c r="A158" s="12"/>
      <c r="B158" s="13" t="s">
        <v>34</v>
      </c>
      <c r="C158" s="19" t="s">
        <v>38</v>
      </c>
      <c r="D158" s="15"/>
      <c r="E158" s="16"/>
      <c r="F158" s="2"/>
      <c r="G158" s="2"/>
      <c r="H158" s="20">
        <f>ROUND(H151+H152+H154,2)</f>
        <v>5721.76</v>
      </c>
      <c r="I158" s="17"/>
      <c r="J158" s="20">
        <f>ROUND(J151+J152+J154,2)</f>
        <v>13732.23</v>
      </c>
      <c r="K158" s="18"/>
      <c r="L158" s="46">
        <f>ROUND(L151+L152+L154,2)</f>
        <v>160884.41</v>
      </c>
    </row>
    <row r="159" spans="1:18" ht="22.5" x14ac:dyDescent="0.2">
      <c r="A159" s="23" t="s">
        <v>124</v>
      </c>
      <c r="B159" s="24" t="s">
        <v>99</v>
      </c>
      <c r="C159" s="25" t="s">
        <v>136</v>
      </c>
      <c r="D159" s="15" t="s">
        <v>53</v>
      </c>
      <c r="E159" s="16">
        <v>96.600000000000009</v>
      </c>
      <c r="F159" s="2"/>
      <c r="G159" s="2">
        <f>ROUND(E159*G150,1)</f>
        <v>231.8</v>
      </c>
      <c r="H159" s="2">
        <f>ROUND(491.01*U23,2)</f>
        <v>642.04999999999995</v>
      </c>
      <c r="I159" s="2"/>
      <c r="J159" s="2">
        <f>ROUND(G159*H159,2)</f>
        <v>148827.19</v>
      </c>
      <c r="K159" s="2">
        <v>8.61</v>
      </c>
      <c r="L159" s="47">
        <f>ROUND(J159*K159,2)</f>
        <v>1281402.1100000001</v>
      </c>
    </row>
    <row r="160" spans="1:18" x14ac:dyDescent="0.2">
      <c r="A160" s="12"/>
      <c r="B160" s="18"/>
      <c r="C160" s="18" t="str">
        <f>"Объём: "&amp;E159&amp;"*"&amp;G150</f>
        <v>Объём: 96,6*2,4</v>
      </c>
      <c r="D160" s="18"/>
      <c r="E160" s="18"/>
      <c r="F160" s="18"/>
      <c r="G160" s="18"/>
      <c r="H160" s="18"/>
      <c r="I160" s="18"/>
      <c r="J160" s="18"/>
      <c r="K160" s="18"/>
      <c r="L160" s="45"/>
    </row>
    <row r="161" spans="1:18" ht="22.5" x14ac:dyDescent="0.2">
      <c r="A161" s="12"/>
      <c r="B161" s="13" t="s">
        <v>39</v>
      </c>
      <c r="C161" s="14" t="str">
        <f>" Накладные расходы 147%"&amp;"     "&amp;G161&amp;"*(от "&amp;L151&amp;"+"&amp;L153&amp;")/100"</f>
        <v xml:space="preserve"> Накладные расходы 147%     147*(от 11523,84+7572,64)/100</v>
      </c>
      <c r="D161" s="15" t="s">
        <v>40</v>
      </c>
      <c r="E161" s="16">
        <v>147</v>
      </c>
      <c r="F161" s="2"/>
      <c r="G161" s="2">
        <v>147</v>
      </c>
      <c r="H161" s="17"/>
      <c r="I161" s="17"/>
      <c r="J161" s="17">
        <f>ROUND(G161*(J151+J153)/100,2)</f>
        <v>903.21</v>
      </c>
      <c r="K161" s="18"/>
      <c r="L161" s="47">
        <f>ROUND(G161*(L151+L153)/100,2)</f>
        <v>28071.83</v>
      </c>
    </row>
    <row r="162" spans="1:18" ht="22.5" x14ac:dyDescent="0.2">
      <c r="A162" s="12"/>
      <c r="B162" s="13" t="s">
        <v>41</v>
      </c>
      <c r="C162" s="14" t="str">
        <f>" Сметная прибыль 134%"&amp;"     "&amp;G162&amp;"*(от "&amp;L151&amp;"+"&amp;L153&amp;")/100"</f>
        <v xml:space="preserve"> Сметная прибыль 134%     134*(от 11523,84+7572,64)/100</v>
      </c>
      <c r="D162" s="15" t="s">
        <v>40</v>
      </c>
      <c r="E162" s="16">
        <v>134</v>
      </c>
      <c r="F162" s="2"/>
      <c r="G162" s="2">
        <v>134</v>
      </c>
      <c r="H162" s="17"/>
      <c r="I162" s="17"/>
      <c r="J162" s="17">
        <f>ROUND(G162*(J151+J153)/100,2)</f>
        <v>823.34</v>
      </c>
      <c r="K162" s="18"/>
      <c r="L162" s="47">
        <f>ROUND(G162*(L151+L153)/100,2)</f>
        <v>25589.279999999999</v>
      </c>
    </row>
    <row r="163" spans="1:18" x14ac:dyDescent="0.2">
      <c r="A163" s="26"/>
      <c r="B163" s="27" t="s">
        <v>34</v>
      </c>
      <c r="C163" s="28" t="s">
        <v>42</v>
      </c>
      <c r="D163" s="29"/>
      <c r="E163" s="30"/>
      <c r="F163" s="31"/>
      <c r="G163" s="31"/>
      <c r="H163" s="32"/>
      <c r="I163" s="32"/>
      <c r="J163" s="33">
        <f>ROUND(J158+J159+J161+J162,2)</f>
        <v>164285.97</v>
      </c>
      <c r="K163" s="50"/>
      <c r="L163" s="51">
        <f>ROUND(L158+L159+L161+L162,2)</f>
        <v>1495947.63</v>
      </c>
      <c r="O163">
        <v>2</v>
      </c>
    </row>
    <row r="164" spans="1:18" x14ac:dyDescent="0.2">
      <c r="A164" s="76" t="s">
        <v>66</v>
      </c>
      <c r="B164" s="77"/>
      <c r="C164" s="77"/>
      <c r="D164" s="77"/>
      <c r="E164" s="77"/>
      <c r="F164" s="77"/>
      <c r="G164" s="77"/>
      <c r="H164" s="77"/>
      <c r="I164" s="77"/>
      <c r="J164" s="79">
        <f>J135+J149+J163</f>
        <v>395393.56</v>
      </c>
      <c r="K164" s="18"/>
      <c r="L164" s="81">
        <f>L135+L149+L163</f>
        <v>3670988.08</v>
      </c>
    </row>
    <row r="165" spans="1:18" x14ac:dyDescent="0.2">
      <c r="A165" s="76"/>
      <c r="B165" s="77"/>
      <c r="C165" s="77"/>
      <c r="D165" s="77"/>
      <c r="E165" s="77"/>
      <c r="F165" s="77"/>
      <c r="G165" s="77"/>
      <c r="H165" s="77"/>
      <c r="I165" s="77"/>
      <c r="J165" s="79"/>
      <c r="K165" s="18"/>
      <c r="L165" s="81"/>
    </row>
    <row r="166" spans="1:18" x14ac:dyDescent="0.2">
      <c r="A166" s="117" t="s">
        <v>125</v>
      </c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9"/>
    </row>
    <row r="167" spans="1:18" ht="33.75" x14ac:dyDescent="0.2">
      <c r="A167" s="4">
        <v>1</v>
      </c>
      <c r="B167" s="5" t="s">
        <v>44</v>
      </c>
      <c r="C167" s="6" t="s">
        <v>126</v>
      </c>
      <c r="D167" s="7" t="s">
        <v>46</v>
      </c>
      <c r="E167" s="8">
        <f>G167</f>
        <v>0.52</v>
      </c>
      <c r="F167" s="9"/>
      <c r="G167" s="10">
        <v>0.52</v>
      </c>
      <c r="H167" s="10">
        <v>5459.07</v>
      </c>
      <c r="I167" s="11"/>
      <c r="J167" s="10">
        <f>ROUND(G167*H167,2)</f>
        <v>2838.72</v>
      </c>
      <c r="K167" s="9"/>
      <c r="L167" s="44"/>
      <c r="N167">
        <v>1</v>
      </c>
      <c r="P167">
        <v>4375</v>
      </c>
      <c r="Q167">
        <v>7066</v>
      </c>
      <c r="R167">
        <v>66225</v>
      </c>
    </row>
    <row r="168" spans="1:18" x14ac:dyDescent="0.2">
      <c r="A168" s="12"/>
      <c r="B168" s="13" t="s">
        <v>16</v>
      </c>
      <c r="C168" s="14" t="s">
        <v>30</v>
      </c>
      <c r="D168" s="15"/>
      <c r="E168" s="16"/>
      <c r="F168" s="2"/>
      <c r="G168" s="2"/>
      <c r="H168" s="17">
        <v>173.23</v>
      </c>
      <c r="I168" s="17"/>
      <c r="J168" s="17">
        <f>ROUND(H168*G167,2)</f>
        <v>90.08</v>
      </c>
      <c r="K168" s="18">
        <v>31.08</v>
      </c>
      <c r="L168" s="45">
        <f>ROUND(J168*K168,2)</f>
        <v>2799.69</v>
      </c>
    </row>
    <row r="169" spans="1:18" x14ac:dyDescent="0.2">
      <c r="A169" s="12"/>
      <c r="B169" s="13" t="s">
        <v>17</v>
      </c>
      <c r="C169" s="14" t="s">
        <v>31</v>
      </c>
      <c r="D169" s="15"/>
      <c r="E169" s="16"/>
      <c r="F169" s="2"/>
      <c r="G169" s="2"/>
      <c r="H169" s="17">
        <v>5268.76</v>
      </c>
      <c r="I169" s="17"/>
      <c r="J169" s="17">
        <f>ROUND(H169*G167,2)</f>
        <v>2739.76</v>
      </c>
      <c r="K169" s="18">
        <v>11.78</v>
      </c>
      <c r="L169" s="45">
        <f>ROUND(J169*K169,2)</f>
        <v>32274.37</v>
      </c>
    </row>
    <row r="170" spans="1:18" x14ac:dyDescent="0.2">
      <c r="A170" s="12"/>
      <c r="B170" s="13" t="s">
        <v>18</v>
      </c>
      <c r="C170" s="14" t="s">
        <v>32</v>
      </c>
      <c r="D170" s="15"/>
      <c r="E170" s="16"/>
      <c r="F170" s="2"/>
      <c r="G170" s="2"/>
      <c r="H170" s="17">
        <v>267.67</v>
      </c>
      <c r="I170" s="17"/>
      <c r="J170" s="17">
        <f>ROUND(H170*G167,2)</f>
        <v>139.19</v>
      </c>
      <c r="K170" s="18">
        <v>31.08</v>
      </c>
      <c r="L170" s="45">
        <f>ROUND(J170*K170,2)</f>
        <v>4326.03</v>
      </c>
    </row>
    <row r="171" spans="1:18" x14ac:dyDescent="0.2">
      <c r="A171" s="12"/>
      <c r="B171" s="13" t="s">
        <v>19</v>
      </c>
      <c r="C171" s="14" t="s">
        <v>33</v>
      </c>
      <c r="D171" s="15"/>
      <c r="E171" s="16"/>
      <c r="F171" s="2"/>
      <c r="G171" s="2"/>
      <c r="H171" s="17">
        <v>17.080000000000002</v>
      </c>
      <c r="I171" s="17"/>
      <c r="J171" s="17">
        <f>ROUND(H171*G167,2)</f>
        <v>8.8800000000000008</v>
      </c>
      <c r="K171" s="18">
        <v>8.61</v>
      </c>
      <c r="L171" s="45">
        <f>ROUND(J171*K171,2)</f>
        <v>76.459999999999994</v>
      </c>
    </row>
    <row r="172" spans="1:18" x14ac:dyDescent="0.2">
      <c r="A172" s="12"/>
      <c r="B172" s="21" t="s">
        <v>48</v>
      </c>
      <c r="C172" s="18" t="s">
        <v>49</v>
      </c>
      <c r="D172" s="22" t="s">
        <v>50</v>
      </c>
      <c r="E172" s="22" t="s">
        <v>47</v>
      </c>
      <c r="F172" s="18"/>
      <c r="G172" s="21" t="s">
        <v>47</v>
      </c>
      <c r="H172" s="18"/>
      <c r="I172" s="18"/>
      <c r="J172" s="18"/>
      <c r="K172" s="18"/>
      <c r="L172" s="45"/>
    </row>
    <row r="173" spans="1:18" x14ac:dyDescent="0.2">
      <c r="A173" s="12"/>
      <c r="B173" s="13" t="s">
        <v>34</v>
      </c>
      <c r="C173" s="14" t="s">
        <v>35</v>
      </c>
      <c r="D173" s="15" t="s">
        <v>36</v>
      </c>
      <c r="E173" s="16">
        <v>22</v>
      </c>
      <c r="F173" s="2"/>
      <c r="G173" s="2">
        <f>ROUND(E173*G167,2)</f>
        <v>11.44</v>
      </c>
      <c r="H173" s="17"/>
      <c r="I173" s="17"/>
      <c r="J173" s="17"/>
      <c r="K173" s="18"/>
      <c r="L173" s="45"/>
    </row>
    <row r="174" spans="1:18" x14ac:dyDescent="0.2">
      <c r="A174" s="12"/>
      <c r="B174" s="13" t="s">
        <v>34</v>
      </c>
      <c r="C174" s="14" t="s">
        <v>37</v>
      </c>
      <c r="D174" s="15" t="s">
        <v>36</v>
      </c>
      <c r="E174" s="16">
        <v>21</v>
      </c>
      <c r="F174" s="2"/>
      <c r="G174" s="2">
        <f>ROUND(E174*G167,2)</f>
        <v>10.92</v>
      </c>
      <c r="H174" s="17"/>
      <c r="I174" s="17"/>
      <c r="J174" s="17"/>
      <c r="K174" s="18"/>
      <c r="L174" s="45"/>
    </row>
    <row r="175" spans="1:18" x14ac:dyDescent="0.2">
      <c r="A175" s="12"/>
      <c r="B175" s="13" t="s">
        <v>34</v>
      </c>
      <c r="C175" s="19" t="s">
        <v>38</v>
      </c>
      <c r="D175" s="15"/>
      <c r="E175" s="16"/>
      <c r="F175" s="2"/>
      <c r="G175" s="2"/>
      <c r="H175" s="20">
        <f>ROUND(H168+H169+H171,2)</f>
        <v>5459.07</v>
      </c>
      <c r="I175" s="17"/>
      <c r="J175" s="20">
        <f>ROUND(J168+J169+J171,2)</f>
        <v>2838.72</v>
      </c>
      <c r="K175" s="18"/>
      <c r="L175" s="46">
        <f>ROUND(L168+L169+L171,2)</f>
        <v>35150.519999999997</v>
      </c>
    </row>
    <row r="176" spans="1:18" ht="22.5" x14ac:dyDescent="0.2">
      <c r="A176" s="12"/>
      <c r="B176" s="13" t="s">
        <v>39</v>
      </c>
      <c r="C176" s="14" t="str">
        <f>" Накладные расходы 147%"&amp;"     "&amp;G176&amp;"*(от "&amp;L168&amp;"+"&amp;L170&amp;")/100"</f>
        <v xml:space="preserve"> Накладные расходы 147%     147*(от 2799,69+4326,03)/100</v>
      </c>
      <c r="D176" s="15" t="s">
        <v>40</v>
      </c>
      <c r="E176" s="16">
        <v>147</v>
      </c>
      <c r="F176" s="2"/>
      <c r="G176" s="2">
        <v>147</v>
      </c>
      <c r="H176" s="17"/>
      <c r="I176" s="17"/>
      <c r="J176" s="17">
        <f>ROUND(G176*(J168+J170)/100,2)</f>
        <v>337.03</v>
      </c>
      <c r="K176" s="18"/>
      <c r="L176" s="47">
        <f>ROUND(G176*(L168+L170)/100,2)</f>
        <v>10474.81</v>
      </c>
    </row>
    <row r="177" spans="1:18" ht="22.5" x14ac:dyDescent="0.2">
      <c r="A177" s="12"/>
      <c r="B177" s="13" t="s">
        <v>41</v>
      </c>
      <c r="C177" s="14" t="str">
        <f>" Сметная прибыль 134%"&amp;"     "&amp;G177&amp;"*(от "&amp;L168&amp;"+"&amp;L170&amp;")/100"</f>
        <v xml:space="preserve"> Сметная прибыль 134%     134*(от 2799,69+4326,03)/100</v>
      </c>
      <c r="D177" s="15" t="s">
        <v>40</v>
      </c>
      <c r="E177" s="16">
        <v>134</v>
      </c>
      <c r="F177" s="2"/>
      <c r="G177" s="2">
        <v>134</v>
      </c>
      <c r="H177" s="17"/>
      <c r="I177" s="17"/>
      <c r="J177" s="17">
        <f>ROUND(G177*(J168+J170)/100,2)</f>
        <v>307.22000000000003</v>
      </c>
      <c r="K177" s="18"/>
      <c r="L177" s="47">
        <f>ROUND(G177*(L168+L170)/100,2)</f>
        <v>9548.4599999999991</v>
      </c>
    </row>
    <row r="178" spans="1:18" x14ac:dyDescent="0.2">
      <c r="A178" s="12"/>
      <c r="B178" s="13" t="s">
        <v>34</v>
      </c>
      <c r="C178" s="19" t="s">
        <v>42</v>
      </c>
      <c r="D178" s="15"/>
      <c r="E178" s="16"/>
      <c r="F178" s="2"/>
      <c r="G178" s="2"/>
      <c r="H178" s="17"/>
      <c r="I178" s="17"/>
      <c r="J178" s="20">
        <f>ROUND(J175+J176+J177,2)</f>
        <v>3482.97</v>
      </c>
      <c r="K178" s="18"/>
      <c r="L178" s="46">
        <f>ROUND(L175+L176+L177,2)</f>
        <v>55173.79</v>
      </c>
      <c r="O178">
        <v>2</v>
      </c>
    </row>
    <row r="179" spans="1:18" ht="22.5" x14ac:dyDescent="0.2">
      <c r="A179" s="4">
        <v>2</v>
      </c>
      <c r="B179" s="5" t="s">
        <v>54</v>
      </c>
      <c r="C179" s="6" t="s">
        <v>116</v>
      </c>
      <c r="D179" s="7" t="s">
        <v>53</v>
      </c>
      <c r="E179" s="8">
        <f>G179</f>
        <v>0.156</v>
      </c>
      <c r="F179" s="9"/>
      <c r="G179" s="10">
        <v>0.156</v>
      </c>
      <c r="H179" s="10">
        <v>39.1</v>
      </c>
      <c r="I179" s="11"/>
      <c r="J179" s="10">
        <f>ROUND(G179*H179,2)</f>
        <v>6.1</v>
      </c>
      <c r="K179" s="9"/>
      <c r="L179" s="44"/>
      <c r="N179">
        <v>1</v>
      </c>
      <c r="P179">
        <v>4375</v>
      </c>
      <c r="Q179">
        <v>7066</v>
      </c>
      <c r="R179">
        <v>66227</v>
      </c>
    </row>
    <row r="180" spans="1:18" ht="12.75" hidden="1" customHeight="1" x14ac:dyDescent="0.2">
      <c r="A180" s="12"/>
      <c r="B180" s="13" t="s">
        <v>16</v>
      </c>
      <c r="C180" s="14" t="s">
        <v>30</v>
      </c>
      <c r="D180" s="15"/>
      <c r="E180" s="16"/>
      <c r="F180" s="2"/>
      <c r="G180" s="2"/>
      <c r="H180" s="17">
        <v>0</v>
      </c>
      <c r="I180" s="17"/>
      <c r="J180" s="17">
        <f>ROUND(H180*G179,2)</f>
        <v>0</v>
      </c>
      <c r="K180" s="18">
        <v>31.08</v>
      </c>
      <c r="L180" s="45">
        <f>ROUND(J180*K180,2)</f>
        <v>0</v>
      </c>
    </row>
    <row r="181" spans="1:18" x14ac:dyDescent="0.2">
      <c r="A181" s="12"/>
      <c r="B181" s="13" t="s">
        <v>17</v>
      </c>
      <c r="C181" s="14" t="s">
        <v>31</v>
      </c>
      <c r="D181" s="15"/>
      <c r="E181" s="16"/>
      <c r="F181" s="2"/>
      <c r="G181" s="2"/>
      <c r="H181" s="17">
        <v>39.1</v>
      </c>
      <c r="I181" s="17"/>
      <c r="J181" s="17">
        <f>ROUND(H181*G179,2)</f>
        <v>6.1</v>
      </c>
      <c r="K181" s="18">
        <v>11.78</v>
      </c>
      <c r="L181" s="45">
        <f>ROUND(J181*K181,2)</f>
        <v>71.86</v>
      </c>
    </row>
    <row r="182" spans="1:18" x14ac:dyDescent="0.2">
      <c r="A182" s="12"/>
      <c r="B182" s="13" t="s">
        <v>18</v>
      </c>
      <c r="C182" s="14" t="s">
        <v>32</v>
      </c>
      <c r="D182" s="15"/>
      <c r="E182" s="16"/>
      <c r="F182" s="2"/>
      <c r="G182" s="2"/>
      <c r="H182" s="17">
        <v>7.15</v>
      </c>
      <c r="I182" s="17"/>
      <c r="J182" s="17">
        <f>ROUND(H182*G179,2)</f>
        <v>1.1200000000000001</v>
      </c>
      <c r="K182" s="18">
        <v>31.08</v>
      </c>
      <c r="L182" s="45">
        <f>ROUND(J182*K182,2)</f>
        <v>34.81</v>
      </c>
    </row>
    <row r="183" spans="1:18" ht="12.75" hidden="1" customHeight="1" x14ac:dyDescent="0.2">
      <c r="A183" s="12"/>
      <c r="B183" s="13" t="s">
        <v>19</v>
      </c>
      <c r="C183" s="14" t="s">
        <v>33</v>
      </c>
      <c r="D183" s="15"/>
      <c r="E183" s="16"/>
      <c r="F183" s="2"/>
      <c r="G183" s="2"/>
      <c r="H183" s="17">
        <v>0</v>
      </c>
      <c r="I183" s="17"/>
      <c r="J183" s="17">
        <f>ROUND(H183*G179,2)</f>
        <v>0</v>
      </c>
      <c r="K183" s="18">
        <v>8.61</v>
      </c>
      <c r="L183" s="45">
        <f>ROUND(J183*K183,2)</f>
        <v>0</v>
      </c>
    </row>
    <row r="184" spans="1:18" x14ac:dyDescent="0.2">
      <c r="A184" s="12"/>
      <c r="B184" s="21" t="s">
        <v>55</v>
      </c>
      <c r="C184" s="18" t="s">
        <v>56</v>
      </c>
      <c r="D184" s="22" t="s">
        <v>53</v>
      </c>
      <c r="E184" s="22">
        <v>1.03</v>
      </c>
      <c r="F184" s="18"/>
      <c r="G184" s="21">
        <f>ROUND(E184*G179,2)</f>
        <v>0.16</v>
      </c>
      <c r="H184" s="18"/>
      <c r="I184" s="18"/>
      <c r="J184" s="18"/>
      <c r="K184" s="18"/>
      <c r="L184" s="45"/>
    </row>
    <row r="185" spans="1:18" ht="12.75" hidden="1" customHeight="1" x14ac:dyDescent="0.2">
      <c r="A185" s="12"/>
      <c r="B185" s="13" t="s">
        <v>34</v>
      </c>
      <c r="C185" s="14" t="s">
        <v>35</v>
      </c>
      <c r="D185" s="15" t="s">
        <v>36</v>
      </c>
      <c r="E185" s="16">
        <v>0</v>
      </c>
      <c r="F185" s="2"/>
      <c r="G185" s="2">
        <f>ROUND(E185*G179,2)</f>
        <v>0</v>
      </c>
      <c r="H185" s="17"/>
      <c r="I185" s="17"/>
      <c r="J185" s="17"/>
      <c r="K185" s="18"/>
      <c r="L185" s="45"/>
    </row>
    <row r="186" spans="1:18" x14ac:dyDescent="0.2">
      <c r="A186" s="12"/>
      <c r="B186" s="13" t="s">
        <v>34</v>
      </c>
      <c r="C186" s="14" t="s">
        <v>37</v>
      </c>
      <c r="D186" s="15" t="s">
        <v>36</v>
      </c>
      <c r="E186" s="16">
        <v>1</v>
      </c>
      <c r="F186" s="2"/>
      <c r="G186" s="2">
        <f>ROUND(E186*G179,2)</f>
        <v>0.16</v>
      </c>
      <c r="H186" s="17"/>
      <c r="I186" s="17"/>
      <c r="J186" s="17"/>
      <c r="K186" s="18"/>
      <c r="L186" s="45"/>
    </row>
    <row r="187" spans="1:18" x14ac:dyDescent="0.2">
      <c r="A187" s="12"/>
      <c r="B187" s="13" t="s">
        <v>34</v>
      </c>
      <c r="C187" s="19" t="s">
        <v>38</v>
      </c>
      <c r="D187" s="15"/>
      <c r="E187" s="16"/>
      <c r="F187" s="2"/>
      <c r="G187" s="2"/>
      <c r="H187" s="20">
        <f>ROUND(H180+H181+H183,2)</f>
        <v>39.1</v>
      </c>
      <c r="I187" s="17"/>
      <c r="J187" s="20">
        <f>ROUND(J180+J181+J183,2)</f>
        <v>6.1</v>
      </c>
      <c r="K187" s="18"/>
      <c r="L187" s="46">
        <f>ROUND(L180+L181+L183,2)</f>
        <v>71.86</v>
      </c>
    </row>
    <row r="188" spans="1:18" ht="22.5" x14ac:dyDescent="0.2">
      <c r="A188" s="23" t="s">
        <v>123</v>
      </c>
      <c r="B188" s="24" t="s">
        <v>57</v>
      </c>
      <c r="C188" s="25" t="s">
        <v>58</v>
      </c>
      <c r="D188" s="15" t="s">
        <v>53</v>
      </c>
      <c r="E188" s="16">
        <v>1.03</v>
      </c>
      <c r="F188" s="2"/>
      <c r="G188" s="2">
        <f>ROUND(E188*G179,4)</f>
        <v>0.16070000000000001</v>
      </c>
      <c r="H188" s="2">
        <v>1554.2</v>
      </c>
      <c r="I188" s="2"/>
      <c r="J188" s="2">
        <f>ROUND(G188*H188,2)</f>
        <v>249.76</v>
      </c>
      <c r="K188" s="2">
        <v>8.61</v>
      </c>
      <c r="L188" s="47">
        <f>ROUND(J188*K188,2)</f>
        <v>2150.4299999999998</v>
      </c>
    </row>
    <row r="189" spans="1:18" x14ac:dyDescent="0.2">
      <c r="A189" s="12"/>
      <c r="B189" s="18"/>
      <c r="C189" s="18" t="str">
        <f>"Объём: "&amp;E188&amp;"*"&amp;G179</f>
        <v>Объём: 1,03*0,156</v>
      </c>
      <c r="D189" s="18"/>
      <c r="E189" s="18"/>
      <c r="F189" s="18"/>
      <c r="G189" s="18"/>
      <c r="H189" s="18"/>
      <c r="I189" s="18"/>
      <c r="J189" s="18"/>
      <c r="K189" s="18"/>
      <c r="L189" s="45"/>
    </row>
    <row r="190" spans="1:18" ht="22.5" x14ac:dyDescent="0.2">
      <c r="A190" s="12"/>
      <c r="B190" s="13" t="s">
        <v>39</v>
      </c>
      <c r="C190" s="14" t="str">
        <f>" Накладные расходы 147%"&amp;"     "&amp;G190&amp;"*(от "&amp;L180&amp;"+"&amp;L182&amp;")/100"</f>
        <v xml:space="preserve"> Накладные расходы 147%     147*(от 0+34,81)/100</v>
      </c>
      <c r="D190" s="15" t="s">
        <v>40</v>
      </c>
      <c r="E190" s="16">
        <v>147</v>
      </c>
      <c r="F190" s="2"/>
      <c r="G190" s="2">
        <v>147</v>
      </c>
      <c r="H190" s="17"/>
      <c r="I190" s="17"/>
      <c r="J190" s="17">
        <f>ROUND(G190*(J180+J182)/100,2)</f>
        <v>1.65</v>
      </c>
      <c r="K190" s="18"/>
      <c r="L190" s="47">
        <f>ROUND(G190*(L180+L182)/100,2)</f>
        <v>51.17</v>
      </c>
    </row>
    <row r="191" spans="1:18" ht="22.5" x14ac:dyDescent="0.2">
      <c r="A191" s="12"/>
      <c r="B191" s="13" t="s">
        <v>41</v>
      </c>
      <c r="C191" s="14" t="str">
        <f>" Сметная прибыль 134%"&amp;"     "&amp;G191&amp;"*(от "&amp;L180&amp;"+"&amp;L182&amp;")/100"</f>
        <v xml:space="preserve"> Сметная прибыль 134%     134*(от 0+34,81)/100</v>
      </c>
      <c r="D191" s="15" t="s">
        <v>40</v>
      </c>
      <c r="E191" s="16">
        <v>134</v>
      </c>
      <c r="F191" s="2"/>
      <c r="G191" s="2">
        <v>134</v>
      </c>
      <c r="H191" s="17"/>
      <c r="I191" s="17"/>
      <c r="J191" s="17">
        <f>ROUND(G191*(J180+J182)/100,2)</f>
        <v>1.5</v>
      </c>
      <c r="K191" s="18"/>
      <c r="L191" s="47">
        <f>ROUND(G191*(L180+L182)/100,2)</f>
        <v>46.65</v>
      </c>
    </row>
    <row r="192" spans="1:18" x14ac:dyDescent="0.2">
      <c r="A192" s="12"/>
      <c r="B192" s="13" t="s">
        <v>34</v>
      </c>
      <c r="C192" s="19" t="s">
        <v>42</v>
      </c>
      <c r="D192" s="15"/>
      <c r="E192" s="16"/>
      <c r="F192" s="2"/>
      <c r="G192" s="2"/>
      <c r="H192" s="17"/>
      <c r="I192" s="17"/>
      <c r="J192" s="20">
        <f>ROUND(J187+J188+J190+J191,2)</f>
        <v>259.01</v>
      </c>
      <c r="K192" s="18"/>
      <c r="L192" s="46">
        <f>ROUND(L187+L188+L190+L191,2)</f>
        <v>2320.11</v>
      </c>
      <c r="O192">
        <v>2</v>
      </c>
    </row>
    <row r="193" spans="1:18" ht="33.75" x14ac:dyDescent="0.2">
      <c r="A193" s="4">
        <v>3</v>
      </c>
      <c r="B193" s="5" t="s">
        <v>59</v>
      </c>
      <c r="C193" s="6" t="s">
        <v>60</v>
      </c>
      <c r="D193" s="7" t="s">
        <v>61</v>
      </c>
      <c r="E193" s="8">
        <f>G193</f>
        <v>0.74</v>
      </c>
      <c r="F193" s="9"/>
      <c r="G193" s="10">
        <v>0.74</v>
      </c>
      <c r="H193" s="10">
        <v>5872.99</v>
      </c>
      <c r="I193" s="11"/>
      <c r="J193" s="10">
        <f>ROUND(G193*H193,2)</f>
        <v>4346.01</v>
      </c>
      <c r="K193" s="9"/>
      <c r="L193" s="44"/>
      <c r="N193">
        <v>1</v>
      </c>
      <c r="P193">
        <v>4375</v>
      </c>
      <c r="Q193">
        <v>7066</v>
      </c>
      <c r="R193">
        <v>66229</v>
      </c>
    </row>
    <row r="194" spans="1:18" x14ac:dyDescent="0.2">
      <c r="A194" s="12"/>
      <c r="B194" s="13" t="s">
        <v>16</v>
      </c>
      <c r="C194" s="14" t="s">
        <v>30</v>
      </c>
      <c r="D194" s="15"/>
      <c r="E194" s="16"/>
      <c r="F194" s="2"/>
      <c r="G194" s="2"/>
      <c r="H194" s="17">
        <v>212.48000000000002</v>
      </c>
      <c r="I194" s="17"/>
      <c r="J194" s="17">
        <f>ROUND(H194*G193,2)</f>
        <v>157.24</v>
      </c>
      <c r="K194" s="18">
        <v>31.08</v>
      </c>
      <c r="L194" s="45">
        <f>ROUND(J194*K194,2)</f>
        <v>4887.0200000000004</v>
      </c>
    </row>
    <row r="195" spans="1:18" x14ac:dyDescent="0.2">
      <c r="A195" s="12"/>
      <c r="B195" s="13" t="s">
        <v>17</v>
      </c>
      <c r="C195" s="14" t="s">
        <v>31</v>
      </c>
      <c r="D195" s="15"/>
      <c r="E195" s="16"/>
      <c r="F195" s="2"/>
      <c r="G195" s="2"/>
      <c r="H195" s="17">
        <v>5536.89</v>
      </c>
      <c r="I195" s="17"/>
      <c r="J195" s="17">
        <f>ROUND(H195*G193,2)</f>
        <v>4097.3</v>
      </c>
      <c r="K195" s="18">
        <v>11.78</v>
      </c>
      <c r="L195" s="45">
        <f>ROUND(J195*K195,2)</f>
        <v>48266.19</v>
      </c>
    </row>
    <row r="196" spans="1:18" x14ac:dyDescent="0.2">
      <c r="A196" s="12"/>
      <c r="B196" s="13" t="s">
        <v>18</v>
      </c>
      <c r="C196" s="14" t="s">
        <v>32</v>
      </c>
      <c r="D196" s="15"/>
      <c r="E196" s="16"/>
      <c r="F196" s="2"/>
      <c r="G196" s="2"/>
      <c r="H196" s="17">
        <v>284.69</v>
      </c>
      <c r="I196" s="17"/>
      <c r="J196" s="17">
        <f>ROUND(H196*G193,2)</f>
        <v>210.67</v>
      </c>
      <c r="K196" s="18">
        <v>31.08</v>
      </c>
      <c r="L196" s="45">
        <f>ROUND(J196*K196,2)</f>
        <v>6547.62</v>
      </c>
    </row>
    <row r="197" spans="1:18" x14ac:dyDescent="0.2">
      <c r="A197" s="12"/>
      <c r="B197" s="13" t="s">
        <v>19</v>
      </c>
      <c r="C197" s="14" t="s">
        <v>33</v>
      </c>
      <c r="D197" s="15"/>
      <c r="E197" s="16"/>
      <c r="F197" s="2"/>
      <c r="G197" s="2"/>
      <c r="H197" s="17">
        <v>123.62</v>
      </c>
      <c r="I197" s="17"/>
      <c r="J197" s="17">
        <f>ROUND(H197*G193,2)</f>
        <v>91.48</v>
      </c>
      <c r="K197" s="18">
        <v>8.61</v>
      </c>
      <c r="L197" s="45">
        <f>ROUND(J197*K197,2)</f>
        <v>787.64</v>
      </c>
    </row>
    <row r="198" spans="1:18" x14ac:dyDescent="0.2">
      <c r="A198" s="12"/>
      <c r="B198" s="21" t="s">
        <v>62</v>
      </c>
      <c r="C198" s="18" t="s">
        <v>63</v>
      </c>
      <c r="D198" s="22" t="s">
        <v>53</v>
      </c>
      <c r="E198" s="22">
        <v>101</v>
      </c>
      <c r="F198" s="18"/>
      <c r="G198" s="21">
        <f>ROUND(E198*G193,2)</f>
        <v>74.739999999999995</v>
      </c>
      <c r="H198" s="18"/>
      <c r="I198" s="18"/>
      <c r="J198" s="18"/>
      <c r="K198" s="18"/>
      <c r="L198" s="45"/>
    </row>
    <row r="199" spans="1:18" x14ac:dyDescent="0.2">
      <c r="A199" s="12"/>
      <c r="B199" s="13" t="s">
        <v>34</v>
      </c>
      <c r="C199" s="14" t="s">
        <v>35</v>
      </c>
      <c r="D199" s="15" t="s">
        <v>36</v>
      </c>
      <c r="E199" s="16">
        <v>22</v>
      </c>
      <c r="F199" s="2"/>
      <c r="G199" s="2">
        <f>ROUND(E199*G193,2)</f>
        <v>16.28</v>
      </c>
      <c r="H199" s="17"/>
      <c r="I199" s="17"/>
      <c r="J199" s="17"/>
      <c r="K199" s="18"/>
      <c r="L199" s="45"/>
    </row>
    <row r="200" spans="1:18" x14ac:dyDescent="0.2">
      <c r="A200" s="12"/>
      <c r="B200" s="13" t="s">
        <v>34</v>
      </c>
      <c r="C200" s="14" t="s">
        <v>37</v>
      </c>
      <c r="D200" s="15" t="s">
        <v>36</v>
      </c>
      <c r="E200" s="16">
        <v>22</v>
      </c>
      <c r="F200" s="2"/>
      <c r="G200" s="2">
        <f>ROUND(E200*G193,2)</f>
        <v>16.28</v>
      </c>
      <c r="H200" s="17"/>
      <c r="I200" s="17"/>
      <c r="J200" s="17"/>
      <c r="K200" s="18"/>
      <c r="L200" s="45"/>
    </row>
    <row r="201" spans="1:18" x14ac:dyDescent="0.2">
      <c r="A201" s="12"/>
      <c r="B201" s="13" t="s">
        <v>34</v>
      </c>
      <c r="C201" s="19" t="s">
        <v>38</v>
      </c>
      <c r="D201" s="15"/>
      <c r="E201" s="16"/>
      <c r="F201" s="2"/>
      <c r="G201" s="2"/>
      <c r="H201" s="20">
        <f>ROUND(H194+H195+H197,2)</f>
        <v>5872.99</v>
      </c>
      <c r="I201" s="17"/>
      <c r="J201" s="20">
        <f>ROUND(J194+J195+J197,2)</f>
        <v>4346.0200000000004</v>
      </c>
      <c r="K201" s="18"/>
      <c r="L201" s="46">
        <f>ROUND(L194+L195+L197,2)</f>
        <v>53940.85</v>
      </c>
    </row>
    <row r="202" spans="1:18" ht="22.5" x14ac:dyDescent="0.2">
      <c r="A202" s="23" t="s">
        <v>124</v>
      </c>
      <c r="B202" s="24" t="s">
        <v>119</v>
      </c>
      <c r="C202" s="25" t="s">
        <v>135</v>
      </c>
      <c r="D202" s="15" t="s">
        <v>53</v>
      </c>
      <c r="E202" s="16">
        <v>101</v>
      </c>
      <c r="F202" s="2"/>
      <c r="G202" s="2">
        <f>ROUND(E202*G193,1)</f>
        <v>74.7</v>
      </c>
      <c r="H202" s="2">
        <f>ROUND(451.06*U23,2)</f>
        <v>589.82000000000005</v>
      </c>
      <c r="I202" s="2"/>
      <c r="J202" s="2">
        <f>ROUND(G202*H202,2)</f>
        <v>44059.55</v>
      </c>
      <c r="K202" s="2">
        <v>8.61</v>
      </c>
      <c r="L202" s="47">
        <f>ROUND(J202*K202,2)</f>
        <v>379352.73</v>
      </c>
    </row>
    <row r="203" spans="1:18" x14ac:dyDescent="0.2">
      <c r="A203" s="12"/>
      <c r="B203" s="18"/>
      <c r="C203" s="18" t="str">
        <f>"Объём: "&amp;E202&amp;"*"&amp;G193</f>
        <v>Объём: 101*0,74</v>
      </c>
      <c r="D203" s="18"/>
      <c r="E203" s="18"/>
      <c r="F203" s="18"/>
      <c r="G203" s="18"/>
      <c r="H203" s="18"/>
      <c r="I203" s="18"/>
      <c r="J203" s="18"/>
      <c r="K203" s="18"/>
      <c r="L203" s="45"/>
    </row>
    <row r="204" spans="1:18" ht="22.5" x14ac:dyDescent="0.2">
      <c r="A204" s="12"/>
      <c r="B204" s="13" t="s">
        <v>39</v>
      </c>
      <c r="C204" s="14" t="str">
        <f>" Накладные расходы 147%"&amp;"     "&amp;G204&amp;"*(от "&amp;L194&amp;"+"&amp;L196&amp;")/100"</f>
        <v xml:space="preserve"> Накладные расходы 147%     147*(от 4887,02+6547,62)/100</v>
      </c>
      <c r="D204" s="15" t="s">
        <v>40</v>
      </c>
      <c r="E204" s="16">
        <v>147</v>
      </c>
      <c r="F204" s="2"/>
      <c r="G204" s="2">
        <v>147</v>
      </c>
      <c r="H204" s="17"/>
      <c r="I204" s="17"/>
      <c r="J204" s="17">
        <f>ROUND(G204*(J194+J196)/100,2)</f>
        <v>540.83000000000004</v>
      </c>
      <c r="K204" s="18"/>
      <c r="L204" s="47">
        <f>ROUND(G204*(L194+L196)/100,2)</f>
        <v>16808.919999999998</v>
      </c>
    </row>
    <row r="205" spans="1:18" ht="22.5" x14ac:dyDescent="0.2">
      <c r="A205" s="12"/>
      <c r="B205" s="13" t="s">
        <v>41</v>
      </c>
      <c r="C205" s="14" t="str">
        <f>" Сметная прибыль 134%"&amp;"     "&amp;G205&amp;"*(от "&amp;L194&amp;"+"&amp;L196&amp;")/100"</f>
        <v xml:space="preserve"> Сметная прибыль 134%     134*(от 4887,02+6547,62)/100</v>
      </c>
      <c r="D205" s="15" t="s">
        <v>40</v>
      </c>
      <c r="E205" s="16">
        <v>134</v>
      </c>
      <c r="F205" s="2"/>
      <c r="G205" s="2">
        <v>134</v>
      </c>
      <c r="H205" s="17"/>
      <c r="I205" s="17"/>
      <c r="J205" s="17">
        <f>ROUND(G205*(J194+J196)/100,2)</f>
        <v>493</v>
      </c>
      <c r="K205" s="18"/>
      <c r="L205" s="47">
        <f>ROUND(G205*(L194+L196)/100,2)</f>
        <v>15322.42</v>
      </c>
    </row>
    <row r="206" spans="1:18" x14ac:dyDescent="0.2">
      <c r="A206" s="12"/>
      <c r="B206" s="13" t="s">
        <v>34</v>
      </c>
      <c r="C206" s="19" t="s">
        <v>42</v>
      </c>
      <c r="D206" s="15"/>
      <c r="E206" s="16"/>
      <c r="F206" s="2"/>
      <c r="G206" s="2"/>
      <c r="H206" s="17"/>
      <c r="I206" s="17"/>
      <c r="J206" s="20">
        <f>ROUND(J201+J202+J204+J205,2)</f>
        <v>49439.4</v>
      </c>
      <c r="K206" s="18"/>
      <c r="L206" s="46">
        <f>ROUND(L201+L202+L204+L205,2)</f>
        <v>465424.92</v>
      </c>
      <c r="O206">
        <v>2</v>
      </c>
    </row>
    <row r="207" spans="1:18" ht="45" x14ac:dyDescent="0.2">
      <c r="A207" s="4">
        <v>4</v>
      </c>
      <c r="B207" s="5" t="s">
        <v>98</v>
      </c>
      <c r="C207" s="6" t="s">
        <v>120</v>
      </c>
      <c r="D207" s="7" t="s">
        <v>52</v>
      </c>
      <c r="E207" s="8">
        <f>G207</f>
        <v>0.52</v>
      </c>
      <c r="F207" s="9"/>
      <c r="G207" s="10">
        <v>0.52</v>
      </c>
      <c r="H207" s="10">
        <v>5721.76</v>
      </c>
      <c r="I207" s="11"/>
      <c r="J207" s="10">
        <f>ROUND(G207*H207,2)</f>
        <v>2975.32</v>
      </c>
      <c r="K207" s="9"/>
      <c r="L207" s="44"/>
      <c r="N207">
        <v>1</v>
      </c>
      <c r="P207">
        <v>4375</v>
      </c>
      <c r="Q207">
        <v>7066</v>
      </c>
      <c r="R207">
        <v>66231</v>
      </c>
    </row>
    <row r="208" spans="1:18" x14ac:dyDescent="0.2">
      <c r="A208" s="12"/>
      <c r="B208" s="13" t="s">
        <v>16</v>
      </c>
      <c r="C208" s="14" t="s">
        <v>30</v>
      </c>
      <c r="D208" s="15"/>
      <c r="E208" s="16"/>
      <c r="F208" s="2"/>
      <c r="G208" s="2"/>
      <c r="H208" s="17">
        <v>154.49</v>
      </c>
      <c r="I208" s="17"/>
      <c r="J208" s="17">
        <f>ROUND(H208*G207,2)</f>
        <v>80.33</v>
      </c>
      <c r="K208" s="18">
        <v>31.08</v>
      </c>
      <c r="L208" s="45">
        <f>ROUND(J208*K208,2)</f>
        <v>2496.66</v>
      </c>
    </row>
    <row r="209" spans="1:18" x14ac:dyDescent="0.2">
      <c r="A209" s="12"/>
      <c r="B209" s="13" t="s">
        <v>17</v>
      </c>
      <c r="C209" s="14" t="s">
        <v>31</v>
      </c>
      <c r="D209" s="15"/>
      <c r="E209" s="16"/>
      <c r="F209" s="2"/>
      <c r="G209" s="2"/>
      <c r="H209" s="17">
        <v>4510.84</v>
      </c>
      <c r="I209" s="17"/>
      <c r="J209" s="17">
        <f>ROUND(H209*G207,2)</f>
        <v>2345.64</v>
      </c>
      <c r="K209" s="18">
        <v>11.78</v>
      </c>
      <c r="L209" s="45">
        <f>ROUND(J209*K209,2)</f>
        <v>27631.64</v>
      </c>
    </row>
    <row r="210" spans="1:18" x14ac:dyDescent="0.2">
      <c r="A210" s="12"/>
      <c r="B210" s="13" t="s">
        <v>18</v>
      </c>
      <c r="C210" s="14" t="s">
        <v>32</v>
      </c>
      <c r="D210" s="15"/>
      <c r="E210" s="16"/>
      <c r="F210" s="2"/>
      <c r="G210" s="2"/>
      <c r="H210" s="17">
        <v>101.52</v>
      </c>
      <c r="I210" s="17"/>
      <c r="J210" s="17">
        <f>ROUND(H210*G207,2)</f>
        <v>52.79</v>
      </c>
      <c r="K210" s="18">
        <v>31.08</v>
      </c>
      <c r="L210" s="45">
        <f>ROUND(J210*K210,2)</f>
        <v>1640.71</v>
      </c>
    </row>
    <row r="211" spans="1:18" x14ac:dyDescent="0.2">
      <c r="A211" s="12"/>
      <c r="B211" s="13" t="s">
        <v>19</v>
      </c>
      <c r="C211" s="14" t="s">
        <v>33</v>
      </c>
      <c r="D211" s="15"/>
      <c r="E211" s="16"/>
      <c r="F211" s="2"/>
      <c r="G211" s="2"/>
      <c r="H211" s="17">
        <v>1056.43</v>
      </c>
      <c r="I211" s="17"/>
      <c r="J211" s="17">
        <f>ROUND(H211*G207,2)</f>
        <v>549.34</v>
      </c>
      <c r="K211" s="18">
        <v>8.61</v>
      </c>
      <c r="L211" s="45">
        <f>ROUND(J211*K211,2)</f>
        <v>4729.82</v>
      </c>
    </row>
    <row r="212" spans="1:18" x14ac:dyDescent="0.2">
      <c r="A212" s="12"/>
      <c r="B212" s="21" t="s">
        <v>62</v>
      </c>
      <c r="C212" s="18" t="s">
        <v>63</v>
      </c>
      <c r="D212" s="22" t="s">
        <v>53</v>
      </c>
      <c r="E212" s="22" t="s">
        <v>47</v>
      </c>
      <c r="F212" s="18"/>
      <c r="G212" s="21" t="s">
        <v>47</v>
      </c>
      <c r="H212" s="18"/>
      <c r="I212" s="18"/>
      <c r="J212" s="18"/>
      <c r="K212" s="18"/>
      <c r="L212" s="45"/>
    </row>
    <row r="213" spans="1:18" x14ac:dyDescent="0.2">
      <c r="A213" s="12"/>
      <c r="B213" s="13" t="s">
        <v>34</v>
      </c>
      <c r="C213" s="14" t="s">
        <v>35</v>
      </c>
      <c r="D213" s="15" t="s">
        <v>36</v>
      </c>
      <c r="E213" s="16">
        <v>17</v>
      </c>
      <c r="F213" s="2"/>
      <c r="G213" s="2">
        <f>ROUND(E213*G207,2)</f>
        <v>8.84</v>
      </c>
      <c r="H213" s="17"/>
      <c r="I213" s="17"/>
      <c r="J213" s="17"/>
      <c r="K213" s="18"/>
      <c r="L213" s="45"/>
    </row>
    <row r="214" spans="1:18" x14ac:dyDescent="0.2">
      <c r="A214" s="12"/>
      <c r="B214" s="13" t="s">
        <v>34</v>
      </c>
      <c r="C214" s="14" t="s">
        <v>37</v>
      </c>
      <c r="D214" s="15" t="s">
        <v>36</v>
      </c>
      <c r="E214" s="16">
        <v>8</v>
      </c>
      <c r="F214" s="2"/>
      <c r="G214" s="2">
        <f>ROUND(E214*G207,2)</f>
        <v>4.16</v>
      </c>
      <c r="H214" s="17"/>
      <c r="I214" s="17"/>
      <c r="J214" s="17"/>
      <c r="K214" s="18"/>
      <c r="L214" s="45"/>
    </row>
    <row r="215" spans="1:18" x14ac:dyDescent="0.2">
      <c r="A215" s="12"/>
      <c r="B215" s="13" t="s">
        <v>34</v>
      </c>
      <c r="C215" s="19" t="s">
        <v>38</v>
      </c>
      <c r="D215" s="15"/>
      <c r="E215" s="16"/>
      <c r="F215" s="2"/>
      <c r="G215" s="2"/>
      <c r="H215" s="20">
        <f>ROUND(H208+H209+H211,2)</f>
        <v>5721.76</v>
      </c>
      <c r="I215" s="17"/>
      <c r="J215" s="20">
        <f>ROUND(J208+J209+J211,2)</f>
        <v>2975.31</v>
      </c>
      <c r="K215" s="18"/>
      <c r="L215" s="46">
        <f>ROUND(L208+L209+L211,2)</f>
        <v>34858.120000000003</v>
      </c>
    </row>
    <row r="216" spans="1:18" ht="22.5" x14ac:dyDescent="0.2">
      <c r="A216" s="23" t="s">
        <v>112</v>
      </c>
      <c r="B216" s="24" t="s">
        <v>99</v>
      </c>
      <c r="C216" s="25" t="s">
        <v>136</v>
      </c>
      <c r="D216" s="15" t="s">
        <v>53</v>
      </c>
      <c r="E216" s="16">
        <v>96.600000000000009</v>
      </c>
      <c r="F216" s="2"/>
      <c r="G216" s="2">
        <f>ROUND(E216*G207,1)</f>
        <v>50.2</v>
      </c>
      <c r="H216" s="2">
        <f>ROUND(491.01*U23,2)</f>
        <v>642.04999999999995</v>
      </c>
      <c r="I216" s="2"/>
      <c r="J216" s="2">
        <f>ROUND(G216*H216,2)</f>
        <v>32230.91</v>
      </c>
      <c r="K216" s="2">
        <v>8.61</v>
      </c>
      <c r="L216" s="47">
        <f>ROUND(J216*K216,2)</f>
        <v>277508.14</v>
      </c>
    </row>
    <row r="217" spans="1:18" x14ac:dyDescent="0.2">
      <c r="A217" s="12"/>
      <c r="B217" s="18"/>
      <c r="C217" s="18" t="str">
        <f>"Объём: "&amp;E216&amp;"*"&amp;G207</f>
        <v>Объём: 96,6*0,52</v>
      </c>
      <c r="D217" s="18"/>
      <c r="E217" s="18"/>
      <c r="F217" s="18"/>
      <c r="G217" s="18"/>
      <c r="H217" s="18"/>
      <c r="I217" s="18"/>
      <c r="J217" s="18"/>
      <c r="K217" s="18"/>
      <c r="L217" s="45"/>
    </row>
    <row r="218" spans="1:18" ht="22.5" x14ac:dyDescent="0.2">
      <c r="A218" s="12"/>
      <c r="B218" s="13" t="s">
        <v>39</v>
      </c>
      <c r="C218" s="14" t="str">
        <f>" Накладные расходы 147%"&amp;"     "&amp;G218&amp;"*(от "&amp;L208&amp;"+"&amp;L210&amp;")/100"</f>
        <v xml:space="preserve"> Накладные расходы 147%     147*(от 2496,66+1640,71)/100</v>
      </c>
      <c r="D218" s="15" t="s">
        <v>40</v>
      </c>
      <c r="E218" s="16">
        <v>147</v>
      </c>
      <c r="F218" s="2"/>
      <c r="G218" s="2">
        <v>147</v>
      </c>
      <c r="H218" s="17"/>
      <c r="I218" s="17"/>
      <c r="J218" s="17">
        <f>ROUND(G218*(J208+J210)/100,2)</f>
        <v>195.69</v>
      </c>
      <c r="K218" s="18"/>
      <c r="L218" s="47">
        <f>ROUND(G218*(L208+L210)/100,2)</f>
        <v>6081.93</v>
      </c>
    </row>
    <row r="219" spans="1:18" ht="22.5" x14ac:dyDescent="0.2">
      <c r="A219" s="12"/>
      <c r="B219" s="13" t="s">
        <v>41</v>
      </c>
      <c r="C219" s="14" t="str">
        <f>" Сметная прибыль 134%"&amp;"     "&amp;G219&amp;"*(от "&amp;L208&amp;"+"&amp;L210&amp;")/100"</f>
        <v xml:space="preserve"> Сметная прибыль 134%     134*(от 2496,66+1640,71)/100</v>
      </c>
      <c r="D219" s="15" t="s">
        <v>40</v>
      </c>
      <c r="E219" s="16">
        <v>134</v>
      </c>
      <c r="F219" s="2"/>
      <c r="G219" s="2">
        <v>134</v>
      </c>
      <c r="H219" s="17"/>
      <c r="I219" s="17"/>
      <c r="J219" s="17">
        <f>ROUND(G219*(J208+J210)/100,2)</f>
        <v>178.38</v>
      </c>
      <c r="K219" s="18"/>
      <c r="L219" s="47">
        <f>ROUND(G219*(L208+L210)/100,2)</f>
        <v>5544.08</v>
      </c>
    </row>
    <row r="220" spans="1:18" x14ac:dyDescent="0.2">
      <c r="A220" s="12"/>
      <c r="B220" s="13" t="s">
        <v>34</v>
      </c>
      <c r="C220" s="19" t="s">
        <v>42</v>
      </c>
      <c r="D220" s="15"/>
      <c r="E220" s="16"/>
      <c r="F220" s="2"/>
      <c r="G220" s="2"/>
      <c r="H220" s="17"/>
      <c r="I220" s="17"/>
      <c r="J220" s="20">
        <f>ROUND(J215+J216+J218+J219,2)</f>
        <v>35580.29</v>
      </c>
      <c r="K220" s="18"/>
      <c r="L220" s="46">
        <f>ROUND(L215+L216+L218+L219,2)</f>
        <v>323992.27</v>
      </c>
      <c r="O220">
        <v>2</v>
      </c>
    </row>
    <row r="221" spans="1:18" ht="22.5" x14ac:dyDescent="0.2">
      <c r="A221" s="4">
        <v>5</v>
      </c>
      <c r="B221" s="5" t="s">
        <v>64</v>
      </c>
      <c r="C221" s="6" t="s">
        <v>65</v>
      </c>
      <c r="D221" s="7" t="s">
        <v>52</v>
      </c>
      <c r="E221" s="60"/>
      <c r="F221" s="61"/>
      <c r="G221" s="62"/>
      <c r="H221" s="10">
        <v>94.97</v>
      </c>
      <c r="I221" s="11"/>
      <c r="J221" s="10">
        <f>ROUND(G221*H221,2)</f>
        <v>0</v>
      </c>
      <c r="K221" s="9"/>
      <c r="L221" s="44"/>
      <c r="N221">
        <v>1</v>
      </c>
      <c r="P221">
        <v>4375</v>
      </c>
      <c r="Q221">
        <v>7066</v>
      </c>
      <c r="R221">
        <v>66233</v>
      </c>
    </row>
    <row r="222" spans="1:18" ht="12.75" hidden="1" customHeight="1" x14ac:dyDescent="0.2">
      <c r="A222" s="12"/>
      <c r="B222" s="13" t="s">
        <v>16</v>
      </c>
      <c r="C222" s="14" t="s">
        <v>30</v>
      </c>
      <c r="D222" s="15"/>
      <c r="E222" s="16"/>
      <c r="F222" s="2"/>
      <c r="G222" s="2"/>
      <c r="H222" s="17">
        <v>0</v>
      </c>
      <c r="I222" s="17"/>
      <c r="J222" s="17">
        <f>ROUND(H222*G221,2)</f>
        <v>0</v>
      </c>
      <c r="K222" s="18">
        <v>31.08</v>
      </c>
      <c r="L222" s="45">
        <f>ROUND(J222*K222,2)</f>
        <v>0</v>
      </c>
    </row>
    <row r="223" spans="1:18" x14ac:dyDescent="0.2">
      <c r="A223" s="12"/>
      <c r="B223" s="13" t="s">
        <v>17</v>
      </c>
      <c r="C223" s="14" t="s">
        <v>31</v>
      </c>
      <c r="D223" s="15"/>
      <c r="E223" s="16"/>
      <c r="F223" s="2"/>
      <c r="G223" s="2"/>
      <c r="H223" s="17">
        <v>94.97</v>
      </c>
      <c r="I223" s="17"/>
      <c r="J223" s="17">
        <f>ROUND(H223*G221,2)</f>
        <v>0</v>
      </c>
      <c r="K223" s="18">
        <v>11.78</v>
      </c>
      <c r="L223" s="45">
        <f>ROUND(J223*K223,2)</f>
        <v>0</v>
      </c>
    </row>
    <row r="224" spans="1:18" x14ac:dyDescent="0.2">
      <c r="A224" s="12"/>
      <c r="B224" s="13" t="s">
        <v>18</v>
      </c>
      <c r="C224" s="14" t="s">
        <v>32</v>
      </c>
      <c r="D224" s="15"/>
      <c r="E224" s="16"/>
      <c r="F224" s="2"/>
      <c r="G224" s="2"/>
      <c r="H224" s="17">
        <v>13.370000000000001</v>
      </c>
      <c r="I224" s="17"/>
      <c r="J224" s="17">
        <f>ROUND(H224*G221,2)</f>
        <v>0</v>
      </c>
      <c r="K224" s="18">
        <v>31.08</v>
      </c>
      <c r="L224" s="45">
        <f>ROUND(J224*K224,2)</f>
        <v>0</v>
      </c>
    </row>
    <row r="225" spans="1:15" ht="12.75" hidden="1" customHeight="1" x14ac:dyDescent="0.2">
      <c r="A225" s="12"/>
      <c r="B225" s="13" t="s">
        <v>19</v>
      </c>
      <c r="C225" s="14" t="s">
        <v>33</v>
      </c>
      <c r="D225" s="15"/>
      <c r="E225" s="16"/>
      <c r="F225" s="2"/>
      <c r="G225" s="2"/>
      <c r="H225" s="17">
        <v>0</v>
      </c>
      <c r="I225" s="17"/>
      <c r="J225" s="17">
        <f>ROUND(H225*G221,2)</f>
        <v>0</v>
      </c>
      <c r="K225" s="18">
        <v>8.61</v>
      </c>
      <c r="L225" s="45">
        <f>ROUND(J225*K225,2)</f>
        <v>0</v>
      </c>
    </row>
    <row r="226" spans="1:15" ht="12.75" hidden="1" customHeight="1" x14ac:dyDescent="0.2">
      <c r="A226" s="12"/>
      <c r="B226" s="13" t="s">
        <v>34</v>
      </c>
      <c r="C226" s="14" t="s">
        <v>35</v>
      </c>
      <c r="D226" s="15" t="s">
        <v>36</v>
      </c>
      <c r="E226" s="16">
        <v>0</v>
      </c>
      <c r="F226" s="2"/>
      <c r="G226" s="2">
        <f>ROUND(E226*G221,2)</f>
        <v>0</v>
      </c>
      <c r="H226" s="17"/>
      <c r="I226" s="17"/>
      <c r="J226" s="17"/>
      <c r="K226" s="18"/>
      <c r="L226" s="45"/>
    </row>
    <row r="227" spans="1:15" x14ac:dyDescent="0.2">
      <c r="A227" s="12"/>
      <c r="B227" s="13" t="s">
        <v>34</v>
      </c>
      <c r="C227" s="14" t="s">
        <v>37</v>
      </c>
      <c r="D227" s="15" t="s">
        <v>36</v>
      </c>
      <c r="E227" s="16">
        <v>1</v>
      </c>
      <c r="F227" s="2"/>
      <c r="G227" s="2">
        <f>ROUND(E227*G221,2)</f>
        <v>0</v>
      </c>
      <c r="H227" s="17"/>
      <c r="I227" s="17"/>
      <c r="J227" s="17"/>
      <c r="K227" s="18"/>
      <c r="L227" s="45"/>
    </row>
    <row r="228" spans="1:15" x14ac:dyDescent="0.2">
      <c r="A228" s="12"/>
      <c r="B228" s="13" t="s">
        <v>34</v>
      </c>
      <c r="C228" s="19" t="s">
        <v>38</v>
      </c>
      <c r="D228" s="15"/>
      <c r="E228" s="16"/>
      <c r="F228" s="2"/>
      <c r="G228" s="2"/>
      <c r="H228" s="20">
        <f>ROUND(H222+H223+H225,2)</f>
        <v>94.97</v>
      </c>
      <c r="I228" s="17"/>
      <c r="J228" s="20">
        <f>ROUND(J222+J223+J225,2)</f>
        <v>0</v>
      </c>
      <c r="K228" s="18"/>
      <c r="L228" s="46">
        <f>ROUND(L222+L223+L225,2)</f>
        <v>0</v>
      </c>
    </row>
    <row r="229" spans="1:15" ht="22.5" x14ac:dyDescent="0.2">
      <c r="A229" s="12"/>
      <c r="B229" s="13" t="s">
        <v>39</v>
      </c>
      <c r="C229" s="14" t="str">
        <f>" Накладные расходы 89%"&amp;"     "&amp;G229&amp;"*(от "&amp;L222&amp;"+"&amp;L224&amp;")/100"</f>
        <v xml:space="preserve"> Накладные расходы 89%     89*(от 0+0)/100</v>
      </c>
      <c r="D229" s="15" t="s">
        <v>40</v>
      </c>
      <c r="E229" s="16">
        <v>89</v>
      </c>
      <c r="F229" s="2"/>
      <c r="G229" s="2">
        <v>89</v>
      </c>
      <c r="H229" s="17"/>
      <c r="I229" s="17"/>
      <c r="J229" s="17">
        <f>ROUND(G229*(J222+J224)/100,2)</f>
        <v>0</v>
      </c>
      <c r="K229" s="18"/>
      <c r="L229" s="47">
        <f>ROUND(G229*(L222+L224)/100,2)</f>
        <v>0</v>
      </c>
    </row>
    <row r="230" spans="1:15" ht="22.5" x14ac:dyDescent="0.2">
      <c r="A230" s="12"/>
      <c r="B230" s="13" t="s">
        <v>41</v>
      </c>
      <c r="C230" s="14" t="str">
        <f>" Сметная прибыль 41%"&amp;"     "&amp;G230&amp;"*(от "&amp;L222&amp;"+"&amp;L224&amp;")/100"</f>
        <v xml:space="preserve"> Сметная прибыль 41%     41*(от 0+0)/100</v>
      </c>
      <c r="D230" s="15" t="s">
        <v>40</v>
      </c>
      <c r="E230" s="16">
        <v>41</v>
      </c>
      <c r="F230" s="2"/>
      <c r="G230" s="2">
        <v>41</v>
      </c>
      <c r="H230" s="17"/>
      <c r="I230" s="17"/>
      <c r="J230" s="17">
        <f>ROUND(G230*(J222+J224)/100,2)</f>
        <v>0</v>
      </c>
      <c r="K230" s="18"/>
      <c r="L230" s="47">
        <f>ROUND(G230*(L222+L224)/100,2)</f>
        <v>0</v>
      </c>
    </row>
    <row r="231" spans="1:15" x14ac:dyDescent="0.2">
      <c r="A231" s="26"/>
      <c r="B231" s="27" t="s">
        <v>34</v>
      </c>
      <c r="C231" s="28" t="s">
        <v>42</v>
      </c>
      <c r="D231" s="29"/>
      <c r="E231" s="30"/>
      <c r="F231" s="31"/>
      <c r="G231" s="31"/>
      <c r="H231" s="32"/>
      <c r="I231" s="32"/>
      <c r="J231" s="33">
        <f>ROUND(J228+J229+J230,2)</f>
        <v>0</v>
      </c>
      <c r="K231" s="50"/>
      <c r="L231" s="51">
        <f>ROUND(L228+L229+L230,2)</f>
        <v>0</v>
      </c>
      <c r="O231">
        <v>2</v>
      </c>
    </row>
    <row r="232" spans="1:15" x14ac:dyDescent="0.2">
      <c r="A232" s="76" t="s">
        <v>66</v>
      </c>
      <c r="B232" s="77"/>
      <c r="C232" s="77"/>
      <c r="D232" s="77"/>
      <c r="E232" s="77"/>
      <c r="F232" s="77"/>
      <c r="G232" s="77"/>
      <c r="H232" s="77"/>
      <c r="I232" s="77"/>
      <c r="J232" s="79">
        <f>J178+J192+J206+J220+J231</f>
        <v>88761.670000000013</v>
      </c>
      <c r="K232" s="18"/>
      <c r="L232" s="81">
        <f>L178+L192+L206+L220+L231</f>
        <v>846911.09000000008</v>
      </c>
    </row>
    <row r="233" spans="1:15" x14ac:dyDescent="0.2">
      <c r="A233" s="76"/>
      <c r="B233" s="77"/>
      <c r="C233" s="77"/>
      <c r="D233" s="77"/>
      <c r="E233" s="77"/>
      <c r="F233" s="77"/>
      <c r="G233" s="77"/>
      <c r="H233" s="77"/>
      <c r="I233" s="77"/>
      <c r="J233" s="79"/>
      <c r="K233" s="18"/>
      <c r="L233" s="81"/>
    </row>
    <row r="234" spans="1:15" x14ac:dyDescent="0.2">
      <c r="A234" s="82" t="s">
        <v>127</v>
      </c>
      <c r="B234" s="83"/>
      <c r="C234" s="83"/>
      <c r="D234" s="83"/>
      <c r="E234" s="83"/>
      <c r="F234" s="83"/>
      <c r="G234" s="83"/>
      <c r="H234" s="18"/>
      <c r="I234" s="84"/>
      <c r="J234" s="79">
        <f>J119+J164+J232</f>
        <v>1116633.3999999999</v>
      </c>
      <c r="K234" s="18"/>
      <c r="L234" s="81">
        <f>L119+L164+L232</f>
        <v>10554884.460000001</v>
      </c>
    </row>
    <row r="235" spans="1:15" x14ac:dyDescent="0.2">
      <c r="A235" s="82"/>
      <c r="B235" s="83"/>
      <c r="C235" s="83"/>
      <c r="D235" s="83"/>
      <c r="E235" s="83"/>
      <c r="F235" s="83"/>
      <c r="G235" s="83"/>
      <c r="H235" s="18"/>
      <c r="I235" s="84"/>
      <c r="J235" s="79"/>
      <c r="K235" s="18"/>
      <c r="L235" s="81"/>
    </row>
    <row r="236" spans="1:15" x14ac:dyDescent="0.2">
      <c r="A236" s="70" t="s">
        <v>67</v>
      </c>
      <c r="B236" s="71"/>
      <c r="C236" s="71"/>
      <c r="D236" s="71"/>
      <c r="E236" s="71"/>
      <c r="F236" s="71"/>
      <c r="G236" s="71"/>
      <c r="H236" s="71"/>
      <c r="I236" s="71"/>
      <c r="J236" s="18">
        <f>ROUND(J234-J260,2)</f>
        <v>1116633.3999999999</v>
      </c>
      <c r="K236" s="18"/>
      <c r="L236" s="55">
        <f>ROUND(L234-L260,2)</f>
        <v>10554884.460000001</v>
      </c>
    </row>
    <row r="237" spans="1:15" x14ac:dyDescent="0.2">
      <c r="A237" s="72" t="s">
        <v>68</v>
      </c>
      <c r="B237" s="73"/>
      <c r="C237" s="73"/>
      <c r="D237" s="73"/>
      <c r="E237" s="73"/>
      <c r="F237" s="73"/>
      <c r="G237" s="73"/>
      <c r="H237" s="73"/>
      <c r="I237" s="73"/>
      <c r="J237" s="18">
        <f>ROUND((J27+J39+J50+J64+J78+J92+J106+J123+J137+J151+J168+J180+J194+J208+J222),2)</f>
        <v>3599.89</v>
      </c>
      <c r="K237" s="18"/>
      <c r="L237" s="56">
        <f>ROUND((L27+L39+L50+L64+L78+L92+L106+L123+L137+L151+L168+L180+L194+L208+L222),2)</f>
        <v>111884.58</v>
      </c>
    </row>
    <row r="238" spans="1:15" x14ac:dyDescent="0.2">
      <c r="A238" s="72" t="s">
        <v>69</v>
      </c>
      <c r="B238" s="73"/>
      <c r="C238" s="73"/>
      <c r="D238" s="73"/>
      <c r="E238" s="73"/>
      <c r="F238" s="73"/>
      <c r="G238" s="73"/>
      <c r="H238" s="73"/>
      <c r="I238" s="73"/>
      <c r="J238" s="18">
        <f>ROUND((J28+J40+J51+J65+J79+J93+J107+J124+J138+J152+J169+J181+J195+J209+J223),2)</f>
        <v>124416.42</v>
      </c>
      <c r="K238" s="18"/>
      <c r="L238" s="56">
        <f>ROUND((L28+L40+L51+L65+L79+L93+L107+L124+L138+L152+L169+L181+L195+L209+L223),2)</f>
        <v>1465625.43</v>
      </c>
    </row>
    <row r="239" spans="1:15" x14ac:dyDescent="0.2">
      <c r="A239" s="72" t="s">
        <v>70</v>
      </c>
      <c r="B239" s="73"/>
      <c r="C239" s="73"/>
      <c r="D239" s="73"/>
      <c r="E239" s="73"/>
      <c r="F239" s="73"/>
      <c r="G239" s="73"/>
      <c r="H239" s="73"/>
      <c r="I239" s="73"/>
      <c r="J239" s="18">
        <f>ROUND((J29+J41+J52+J66+J80+J94+J108+J125+J139+J153+J170+J182+J196+J210+J224),2)</f>
        <v>4173.8100000000004</v>
      </c>
      <c r="K239" s="18"/>
      <c r="L239" s="56">
        <f>ROUND((L29+L41+L52+L66+L80+L94+L108+L125+L139+L153+L170+L182+L196+L210+L224),2)</f>
        <v>129722.01</v>
      </c>
    </row>
    <row r="240" spans="1:15" x14ac:dyDescent="0.2">
      <c r="A240" s="72" t="s">
        <v>71</v>
      </c>
      <c r="B240" s="73"/>
      <c r="C240" s="73"/>
      <c r="D240" s="73"/>
      <c r="E240" s="73"/>
      <c r="F240" s="73"/>
      <c r="G240" s="73"/>
      <c r="H240" s="73"/>
      <c r="I240" s="73"/>
      <c r="J240" s="18">
        <f>ROUND(J236-J237-J238-J241-J242,2)</f>
        <v>966772.98</v>
      </c>
      <c r="K240" s="18"/>
      <c r="L240" s="56">
        <f>ROUND(L236-L237-L238-L241-L242,2)</f>
        <v>8298459.9199999999</v>
      </c>
    </row>
    <row r="241" spans="1:12" x14ac:dyDescent="0.2">
      <c r="A241" s="72" t="s">
        <v>72</v>
      </c>
      <c r="B241" s="73"/>
      <c r="C241" s="73"/>
      <c r="D241" s="73"/>
      <c r="E241" s="73"/>
      <c r="F241" s="73"/>
      <c r="G241" s="73"/>
      <c r="H241" s="73"/>
      <c r="I241" s="73"/>
      <c r="J241" s="18">
        <f>ROUND((J34+J46+J60+J74+J88+J102+J116+J133+J147+J161+J176+J190+J204+J218+J229),2)</f>
        <v>11427.34</v>
      </c>
      <c r="K241" s="18"/>
      <c r="L241" s="56">
        <f>ROUND((L34+L46+L60+L74+L88+L102+L116+L133+L147+L161+L176+L190+L204+L218+L229),2)</f>
        <v>355161.7</v>
      </c>
    </row>
    <row r="242" spans="1:12" x14ac:dyDescent="0.2">
      <c r="A242" s="72" t="s">
        <v>73</v>
      </c>
      <c r="B242" s="73"/>
      <c r="C242" s="73"/>
      <c r="D242" s="73"/>
      <c r="E242" s="73"/>
      <c r="F242" s="73"/>
      <c r="G242" s="73"/>
      <c r="H242" s="73"/>
      <c r="I242" s="73"/>
      <c r="J242" s="18">
        <f>ROUND((J35+J47+J61+J75+J89+J103+J117+J134+J148+J162+J177+J191+J205+J219+J230),2)</f>
        <v>10416.77</v>
      </c>
      <c r="K242" s="18"/>
      <c r="L242" s="56">
        <f>ROUND((L35+L47+L61+L75+L89+L103+L117+L134+L148+L162+L177+L191+L205+L219+L230),2)</f>
        <v>323752.83</v>
      </c>
    </row>
    <row r="243" spans="1:12" x14ac:dyDescent="0.2">
      <c r="A243" s="72" t="s">
        <v>74</v>
      </c>
      <c r="B243" s="73"/>
      <c r="C243" s="73"/>
      <c r="D243" s="73"/>
      <c r="E243" s="73"/>
      <c r="F243" s="73"/>
      <c r="G243" s="73"/>
      <c r="H243" s="73"/>
      <c r="I243" s="73"/>
      <c r="J243" s="18">
        <f>ROUND(J236-J250-J257,2)</f>
        <v>1116633.3999999999</v>
      </c>
      <c r="K243" s="18"/>
      <c r="L243" s="56">
        <f>ROUND(L236-L250-L257,2)</f>
        <v>10554884.460000001</v>
      </c>
    </row>
    <row r="244" spans="1:12" x14ac:dyDescent="0.2">
      <c r="A244" s="72" t="s">
        <v>75</v>
      </c>
      <c r="B244" s="73"/>
      <c r="C244" s="73"/>
      <c r="D244" s="73"/>
      <c r="E244" s="73"/>
      <c r="F244" s="73"/>
      <c r="G244" s="73"/>
      <c r="H244" s="73"/>
      <c r="I244" s="73"/>
      <c r="J244" s="18">
        <f>ROUND(J237-J251-J257,2)</f>
        <v>3599.89</v>
      </c>
      <c r="K244" s="18"/>
      <c r="L244" s="56">
        <f>ROUND(L237-L251-L257,2)</f>
        <v>111884.58</v>
      </c>
    </row>
    <row r="245" spans="1:12" x14ac:dyDescent="0.2">
      <c r="A245" s="72" t="s">
        <v>76</v>
      </c>
      <c r="B245" s="73"/>
      <c r="C245" s="73"/>
      <c r="D245" s="73"/>
      <c r="E245" s="73"/>
      <c r="F245" s="73"/>
      <c r="G245" s="73"/>
      <c r="H245" s="73"/>
      <c r="I245" s="73"/>
      <c r="J245" s="18">
        <f>ROUND(J238-J252,2)</f>
        <v>124416.42</v>
      </c>
      <c r="K245" s="18"/>
      <c r="L245" s="56">
        <f>ROUND(L238-L252,2)</f>
        <v>1465625.43</v>
      </c>
    </row>
    <row r="246" spans="1:12" x14ac:dyDescent="0.2">
      <c r="A246" s="72" t="s">
        <v>70</v>
      </c>
      <c r="B246" s="73"/>
      <c r="C246" s="73"/>
      <c r="D246" s="73"/>
      <c r="E246" s="73"/>
      <c r="F246" s="73"/>
      <c r="G246" s="73"/>
      <c r="H246" s="73"/>
      <c r="I246" s="73"/>
      <c r="J246" s="18">
        <f>ROUND(J239-J253,2)</f>
        <v>4173.8100000000004</v>
      </c>
      <c r="K246" s="18"/>
      <c r="L246" s="56">
        <f>ROUND(L239-L253,2)</f>
        <v>129722.01</v>
      </c>
    </row>
    <row r="247" spans="1:12" x14ac:dyDescent="0.2">
      <c r="A247" s="72" t="s">
        <v>77</v>
      </c>
      <c r="B247" s="73"/>
      <c r="C247" s="73"/>
      <c r="D247" s="73"/>
      <c r="E247" s="73"/>
      <c r="F247" s="73"/>
      <c r="G247" s="73"/>
      <c r="H247" s="73"/>
      <c r="I247" s="73"/>
      <c r="J247" s="18">
        <f>ROUND(J243-J244-J245-J248-J249,2)</f>
        <v>966772.98</v>
      </c>
      <c r="K247" s="18"/>
      <c r="L247" s="56">
        <f>ROUND(L243-L244-L245-L248-L249,2)</f>
        <v>8298459.9199999999</v>
      </c>
    </row>
    <row r="248" spans="1:12" x14ac:dyDescent="0.2">
      <c r="A248" s="72" t="s">
        <v>78</v>
      </c>
      <c r="B248" s="73"/>
      <c r="C248" s="73"/>
      <c r="D248" s="73"/>
      <c r="E248" s="73"/>
      <c r="F248" s="73"/>
      <c r="G248" s="73"/>
      <c r="H248" s="73"/>
      <c r="I248" s="73"/>
      <c r="J248" s="18">
        <f>ROUND(J241-J255-J258,2)</f>
        <v>11427.34</v>
      </c>
      <c r="K248" s="18"/>
      <c r="L248" s="56">
        <f>ROUND(L241-L255-L258,2)</f>
        <v>355161.7</v>
      </c>
    </row>
    <row r="249" spans="1:12" x14ac:dyDescent="0.2">
      <c r="A249" s="72" t="s">
        <v>79</v>
      </c>
      <c r="B249" s="73"/>
      <c r="C249" s="73"/>
      <c r="D249" s="73"/>
      <c r="E249" s="73"/>
      <c r="F249" s="73"/>
      <c r="G249" s="73"/>
      <c r="H249" s="73"/>
      <c r="I249" s="73"/>
      <c r="J249" s="18">
        <f>ROUND(J242-J256-J259,2)</f>
        <v>10416.77</v>
      </c>
      <c r="K249" s="18"/>
      <c r="L249" s="56">
        <f>ROUND(L242-L256-L259,2)</f>
        <v>323752.83</v>
      </c>
    </row>
    <row r="250" spans="1:12" x14ac:dyDescent="0.2">
      <c r="A250" s="72" t="s">
        <v>80</v>
      </c>
      <c r="B250" s="73"/>
      <c r="C250" s="73"/>
      <c r="D250" s="73"/>
      <c r="E250" s="73"/>
      <c r="F250" s="73"/>
      <c r="G250" s="73"/>
      <c r="H250" s="73"/>
      <c r="I250" s="73"/>
      <c r="J250" s="18">
        <f>ROUND((0),2)</f>
        <v>0</v>
      </c>
      <c r="K250" s="18"/>
      <c r="L250" s="56">
        <f>ROUND((0),2)</f>
        <v>0</v>
      </c>
    </row>
    <row r="251" spans="1:12" x14ac:dyDescent="0.2">
      <c r="A251" s="72" t="s">
        <v>75</v>
      </c>
      <c r="B251" s="73"/>
      <c r="C251" s="73"/>
      <c r="D251" s="73"/>
      <c r="E251" s="73"/>
      <c r="F251" s="73"/>
      <c r="G251" s="73"/>
      <c r="H251" s="73"/>
      <c r="I251" s="73"/>
      <c r="J251" s="18">
        <f>ROUND((0),2)</f>
        <v>0</v>
      </c>
      <c r="K251" s="18"/>
      <c r="L251" s="56">
        <f>ROUND((0),2)</f>
        <v>0</v>
      </c>
    </row>
    <row r="252" spans="1:12" x14ac:dyDescent="0.2">
      <c r="A252" s="72" t="s">
        <v>76</v>
      </c>
      <c r="B252" s="73"/>
      <c r="C252" s="73"/>
      <c r="D252" s="73"/>
      <c r="E252" s="73"/>
      <c r="F252" s="73"/>
      <c r="G252" s="73"/>
      <c r="H252" s="73"/>
      <c r="I252" s="73"/>
      <c r="J252" s="18">
        <f>ROUND((0),2)</f>
        <v>0</v>
      </c>
      <c r="K252" s="18"/>
      <c r="L252" s="56">
        <f>ROUND((0),2)</f>
        <v>0</v>
      </c>
    </row>
    <row r="253" spans="1:12" x14ac:dyDescent="0.2">
      <c r="A253" s="72" t="s">
        <v>70</v>
      </c>
      <c r="B253" s="73"/>
      <c r="C253" s="73"/>
      <c r="D253" s="73"/>
      <c r="E253" s="73"/>
      <c r="F253" s="73"/>
      <c r="G253" s="73"/>
      <c r="H253" s="73"/>
      <c r="I253" s="73"/>
      <c r="J253" s="18">
        <f>ROUND((0),2)</f>
        <v>0</v>
      </c>
      <c r="K253" s="18"/>
      <c r="L253" s="56">
        <f>ROUND((0),2)</f>
        <v>0</v>
      </c>
    </row>
    <row r="254" spans="1:12" x14ac:dyDescent="0.2">
      <c r="A254" s="72" t="s">
        <v>77</v>
      </c>
      <c r="B254" s="73"/>
      <c r="C254" s="73"/>
      <c r="D254" s="73"/>
      <c r="E254" s="73"/>
      <c r="F254" s="73"/>
      <c r="G254" s="73"/>
      <c r="H254" s="73"/>
      <c r="I254" s="73"/>
      <c r="J254" s="18">
        <f>ROUND(J250-J251-J252-J255-J256,2)</f>
        <v>0</v>
      </c>
      <c r="K254" s="18"/>
      <c r="L254" s="56">
        <f>ROUND(L250-L251-L252-L255-L256,2)</f>
        <v>0</v>
      </c>
    </row>
    <row r="255" spans="1:12" x14ac:dyDescent="0.2">
      <c r="A255" s="72" t="s">
        <v>78</v>
      </c>
      <c r="B255" s="73"/>
      <c r="C255" s="73"/>
      <c r="D255" s="73"/>
      <c r="E255" s="73"/>
      <c r="F255" s="73"/>
      <c r="G255" s="73"/>
      <c r="H255" s="73"/>
      <c r="I255" s="73"/>
      <c r="J255" s="18">
        <f t="shared" ref="J255:J260" si="0">ROUND((0),2)</f>
        <v>0</v>
      </c>
      <c r="K255" s="18"/>
      <c r="L255" s="56">
        <f t="shared" ref="L255:L260" si="1">ROUND((0),2)</f>
        <v>0</v>
      </c>
    </row>
    <row r="256" spans="1:12" x14ac:dyDescent="0.2">
      <c r="A256" s="72" t="s">
        <v>79</v>
      </c>
      <c r="B256" s="73"/>
      <c r="C256" s="73"/>
      <c r="D256" s="73"/>
      <c r="E256" s="73"/>
      <c r="F256" s="73"/>
      <c r="G256" s="73"/>
      <c r="H256" s="73"/>
      <c r="I256" s="73"/>
      <c r="J256" s="18">
        <f t="shared" si="0"/>
        <v>0</v>
      </c>
      <c r="K256" s="18"/>
      <c r="L256" s="56">
        <f t="shared" si="1"/>
        <v>0</v>
      </c>
    </row>
    <row r="257" spans="1:23" x14ac:dyDescent="0.2">
      <c r="A257" s="72" t="s">
        <v>81</v>
      </c>
      <c r="B257" s="73"/>
      <c r="C257" s="73"/>
      <c r="D257" s="73"/>
      <c r="E257" s="73"/>
      <c r="F257" s="73"/>
      <c r="G257" s="73"/>
      <c r="H257" s="73"/>
      <c r="I257" s="73"/>
      <c r="J257" s="18">
        <f t="shared" si="0"/>
        <v>0</v>
      </c>
      <c r="K257" s="18"/>
      <c r="L257" s="56">
        <f t="shared" si="1"/>
        <v>0</v>
      </c>
    </row>
    <row r="258" spans="1:23" x14ac:dyDescent="0.2">
      <c r="A258" s="72" t="s">
        <v>78</v>
      </c>
      <c r="B258" s="73"/>
      <c r="C258" s="73"/>
      <c r="D258" s="73"/>
      <c r="E258" s="73"/>
      <c r="F258" s="73"/>
      <c r="G258" s="73"/>
      <c r="H258" s="73"/>
      <c r="I258" s="73"/>
      <c r="J258" s="18">
        <f t="shared" si="0"/>
        <v>0</v>
      </c>
      <c r="K258" s="18"/>
      <c r="L258" s="56">
        <f t="shared" si="1"/>
        <v>0</v>
      </c>
    </row>
    <row r="259" spans="1:23" x14ac:dyDescent="0.2">
      <c r="A259" s="72" t="s">
        <v>79</v>
      </c>
      <c r="B259" s="73"/>
      <c r="C259" s="73"/>
      <c r="D259" s="73"/>
      <c r="E259" s="73"/>
      <c r="F259" s="73"/>
      <c r="G259" s="73"/>
      <c r="H259" s="73"/>
      <c r="I259" s="73"/>
      <c r="J259" s="18">
        <f t="shared" si="0"/>
        <v>0</v>
      </c>
      <c r="K259" s="18"/>
      <c r="L259" s="56">
        <f t="shared" si="1"/>
        <v>0</v>
      </c>
    </row>
    <row r="260" spans="1:23" x14ac:dyDescent="0.2">
      <c r="A260" s="72" t="s">
        <v>82</v>
      </c>
      <c r="B260" s="73"/>
      <c r="C260" s="73"/>
      <c r="D260" s="73"/>
      <c r="E260" s="73"/>
      <c r="F260" s="73"/>
      <c r="G260" s="73"/>
      <c r="H260" s="73"/>
      <c r="I260" s="73"/>
      <c r="J260" s="18">
        <f t="shared" si="0"/>
        <v>0</v>
      </c>
      <c r="K260" s="18"/>
      <c r="L260" s="56">
        <f t="shared" si="1"/>
        <v>0</v>
      </c>
    </row>
    <row r="261" spans="1:23" s="53" customFormat="1" x14ac:dyDescent="0.2">
      <c r="A261" s="122" t="s">
        <v>128</v>
      </c>
      <c r="B261" s="123"/>
      <c r="C261" s="123"/>
      <c r="D261" s="123"/>
      <c r="E261" s="123"/>
      <c r="F261" s="123"/>
      <c r="G261" s="123"/>
      <c r="H261" s="123"/>
      <c r="I261" s="123"/>
      <c r="J261" s="57">
        <f>ROUND(J236,2)</f>
        <v>1116633.3999999999</v>
      </c>
      <c r="K261" s="57"/>
      <c r="L261" s="58">
        <f>ROUND(L236,2)</f>
        <v>10554884.460000001</v>
      </c>
    </row>
    <row r="262" spans="1:23" s="53" customFormat="1" x14ac:dyDescent="0.2">
      <c r="A262" s="120" t="s">
        <v>132</v>
      </c>
      <c r="B262" s="121"/>
      <c r="C262" s="121"/>
      <c r="D262" s="121"/>
      <c r="E262" s="121"/>
      <c r="F262" s="121"/>
      <c r="G262" s="121"/>
      <c r="H262" s="121"/>
      <c r="I262" s="121"/>
      <c r="J262" s="57">
        <f>ROUND(20*(J234)/100,2)</f>
        <v>223326.68</v>
      </c>
      <c r="K262" s="57"/>
      <c r="L262" s="59">
        <f>ROUND(20*(L234)/100,2)</f>
        <v>2110976.89</v>
      </c>
    </row>
    <row r="263" spans="1:23" s="53" customFormat="1" x14ac:dyDescent="0.2">
      <c r="A263" s="122" t="s">
        <v>128</v>
      </c>
      <c r="B263" s="123"/>
      <c r="C263" s="123"/>
      <c r="D263" s="123"/>
      <c r="E263" s="123"/>
      <c r="F263" s="123"/>
      <c r="G263" s="123"/>
      <c r="H263" s="123"/>
      <c r="I263" s="123"/>
      <c r="J263" s="57">
        <f>ROUND(J234+J262,2)</f>
        <v>1339960.08</v>
      </c>
      <c r="K263" s="57"/>
      <c r="L263" s="58">
        <f>ROUND(L234+L262,2)</f>
        <v>12665861.35</v>
      </c>
      <c r="T263" s="53">
        <f>3179*2200+2400*1930+520*2000</f>
        <v>12665800</v>
      </c>
      <c r="U263" s="52">
        <v>1</v>
      </c>
      <c r="V263" s="52">
        <f>U263*T263</f>
        <v>12665800</v>
      </c>
      <c r="W263" s="52">
        <f>V263-L263</f>
        <v>-61.349999999627471</v>
      </c>
    </row>
    <row r="264" spans="1:23" x14ac:dyDescent="0.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1"/>
      <c r="L264" s="54"/>
      <c r="M264" s="36"/>
      <c r="N264" s="36"/>
      <c r="O264" s="36"/>
      <c r="P264" s="36"/>
      <c r="Q264" s="36"/>
      <c r="R264" s="36"/>
      <c r="S264" s="36"/>
      <c r="T264" s="36"/>
      <c r="U264" s="36"/>
    </row>
    <row r="265" spans="1:23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7"/>
      <c r="L265" s="37"/>
      <c r="M265" s="36"/>
      <c r="N265" s="36"/>
      <c r="O265" s="36"/>
      <c r="P265" s="36"/>
      <c r="Q265" s="36"/>
      <c r="R265" s="36"/>
      <c r="S265" s="36"/>
      <c r="T265" s="36"/>
      <c r="U265" s="36"/>
    </row>
    <row r="266" spans="1:23" x14ac:dyDescent="0.2">
      <c r="A266" s="36"/>
      <c r="B266" s="36" t="s">
        <v>100</v>
      </c>
      <c r="C266" s="36"/>
      <c r="D266" s="36"/>
      <c r="E266" s="36"/>
      <c r="F266" s="36"/>
      <c r="G266" s="36"/>
      <c r="H266" s="36"/>
      <c r="I266" s="36"/>
      <c r="J266" s="36"/>
      <c r="K266" s="37"/>
      <c r="L266" s="37"/>
      <c r="M266" s="36"/>
      <c r="N266" s="36"/>
      <c r="O266" s="36"/>
      <c r="P266" s="36"/>
      <c r="Q266" s="36"/>
      <c r="R266" s="36"/>
      <c r="S266" s="36"/>
      <c r="T266" s="36"/>
      <c r="U266" s="36"/>
    </row>
    <row r="268" spans="1:23" x14ac:dyDescent="0.2">
      <c r="B268" t="s">
        <v>101</v>
      </c>
    </row>
  </sheetData>
  <mergeCells count="68">
    <mergeCell ref="A262:I262"/>
    <mergeCell ref="A263:I263"/>
    <mergeCell ref="A261:I261"/>
    <mergeCell ref="A250:I250"/>
    <mergeCell ref="A251:I251"/>
    <mergeCell ref="A252:I252"/>
    <mergeCell ref="A253:I253"/>
    <mergeCell ref="A254:I254"/>
    <mergeCell ref="A255:I255"/>
    <mergeCell ref="A256:I256"/>
    <mergeCell ref="A257:I257"/>
    <mergeCell ref="A258:I258"/>
    <mergeCell ref="A259:I259"/>
    <mergeCell ref="A260:I260"/>
    <mergeCell ref="A249:I249"/>
    <mergeCell ref="A238:I238"/>
    <mergeCell ref="A239:I239"/>
    <mergeCell ref="A240:I240"/>
    <mergeCell ref="A241:I241"/>
    <mergeCell ref="A242:I242"/>
    <mergeCell ref="A243:I243"/>
    <mergeCell ref="A244:I244"/>
    <mergeCell ref="A245:I245"/>
    <mergeCell ref="A246:I246"/>
    <mergeCell ref="A247:I247"/>
    <mergeCell ref="A248:I248"/>
    <mergeCell ref="A237:I237"/>
    <mergeCell ref="A121:L121"/>
    <mergeCell ref="A164:I165"/>
    <mergeCell ref="J164:J165"/>
    <mergeCell ref="L164:L165"/>
    <mergeCell ref="A166:L166"/>
    <mergeCell ref="A232:I233"/>
    <mergeCell ref="J232:J233"/>
    <mergeCell ref="L232:L233"/>
    <mergeCell ref="A234:G235"/>
    <mergeCell ref="I234:I235"/>
    <mergeCell ref="J234:J235"/>
    <mergeCell ref="L234:L235"/>
    <mergeCell ref="A236:I236"/>
    <mergeCell ref="H22:J22"/>
    <mergeCell ref="K22:K23"/>
    <mergeCell ref="L22:L23"/>
    <mergeCell ref="A25:L25"/>
    <mergeCell ref="A119:I120"/>
    <mergeCell ref="J119:J120"/>
    <mergeCell ref="L119:L120"/>
    <mergeCell ref="D13:F13"/>
    <mergeCell ref="D14:F14"/>
    <mergeCell ref="D15:F15"/>
    <mergeCell ref="A19:B19"/>
    <mergeCell ref="A22:A23"/>
    <mergeCell ref="B22:B23"/>
    <mergeCell ref="C22:C23"/>
    <mergeCell ref="D22:D23"/>
    <mergeCell ref="E22:G22"/>
    <mergeCell ref="D12:F12"/>
    <mergeCell ref="H1:L1"/>
    <mergeCell ref="A2:L2"/>
    <mergeCell ref="A3:L3"/>
    <mergeCell ref="A4:L4"/>
    <mergeCell ref="A5:L5"/>
    <mergeCell ref="A6:L6"/>
    <mergeCell ref="A7:L7"/>
    <mergeCell ref="A8:L8"/>
    <mergeCell ref="A9:L9"/>
    <mergeCell ref="A10:L10"/>
    <mergeCell ref="D11:F11"/>
  </mergeCells>
  <pageMargins left="0.23622047244094491" right="0.19685039370078741" top="0.39370078740157483" bottom="0.47" header="0.27559055118110237" footer="0.27559055118110237"/>
  <pageSetup paperSize="9" orientation="landscape" horizontalDpi="300" verticalDpi="300" r:id="rId1"/>
  <headerFooter alignWithMargins="0"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Смета (2)</vt:lpstr>
      <vt:lpstr>_</vt:lpstr>
      <vt:lpstr>_!Область_печати</vt:lpstr>
      <vt:lpstr>'Смета (2)'!Область_печати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PPO</dc:creator>
  <cp:lastModifiedBy>Вокунь Антон Игоревич</cp:lastModifiedBy>
  <cp:lastPrinted>2024-04-18T12:24:47Z</cp:lastPrinted>
  <dcterms:created xsi:type="dcterms:W3CDTF">2004-02-19T16:42:51Z</dcterms:created>
  <dcterms:modified xsi:type="dcterms:W3CDTF">2024-08-26T11:28:17Z</dcterms:modified>
</cp:coreProperties>
</file>