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Планово-экономический отдел\Аутсорс\2025\"/>
    </mc:Choice>
  </mc:AlternateContent>
  <xr:revisionPtr revIDLastSave="0" documentId="13_ncr:1_{EB8E1B57-8062-41B3-8FC4-81B2F6205BAB}" xr6:coauthVersionLast="47" xr6:coauthVersionMax="47" xr10:uidLastSave="{00000000-0000-0000-0000-000000000000}"/>
  <bookViews>
    <workbookView xWindow="-120" yWindow="-120" windowWidth="29040" windowHeight="15840" firstSheet="2" activeTab="7" xr2:uid="{00000000-000D-0000-FFFF-FFFF00000000}"/>
  </bookViews>
  <sheets>
    <sheet name="Приложение №1 (2.7) ОБЩАЯ" sheetId="24" state="hidden" r:id="rId1"/>
    <sheet name="прейскурант" sheetId="3" state="hidden" r:id="rId2"/>
    <sheet name="Газ" sheetId="16" r:id="rId3"/>
    <sheet name="газ ФОТ" sheetId="17" state="hidden" r:id="rId4"/>
    <sheet name="Электрика" sheetId="14" r:id="rId5"/>
    <sheet name="Электрика ФОТ" sheetId="15" state="hidden" r:id="rId6"/>
    <sheet name="КИПиА" sheetId="11" r:id="rId7"/>
    <sheet name="Метрология" sheetId="12" r:id="rId8"/>
    <sheet name="калькуляция" sheetId="25" r:id="rId9"/>
    <sheet name="сч 20" sheetId="26" state="hidden" r:id="rId10"/>
    <sheet name="ФОТ (кип+метро) (2)" sheetId="13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a">#REF!</definedName>
    <definedName name="\m">#REF!</definedName>
    <definedName name="\n">#REF!</definedName>
    <definedName name="\o">#REF!</definedName>
    <definedName name="____________________________r" localSheetId="0">'Приложение №1 (2.7) ОБЩАЯ'!____________________________r</definedName>
    <definedName name="____________________________r">____________________________r</definedName>
    <definedName name="___________________________r" localSheetId="0">'Приложение №1 (2.7) ОБЩАЯ'!___________________________r</definedName>
    <definedName name="___________________________r">___________________________r</definedName>
    <definedName name="__________________________r" localSheetId="0">'Приложение №1 (2.7) ОБЩАЯ'!__________________________r</definedName>
    <definedName name="__________________________r">__________________________r</definedName>
    <definedName name="_________________________r" localSheetId="0">'Приложение №1 (2.7) ОБЩАЯ'!_________________________r</definedName>
    <definedName name="_________________________r">_________________________r</definedName>
    <definedName name="________________________r" localSheetId="0">'Приложение №1 (2.7) ОБЩАЯ'!________________________r</definedName>
    <definedName name="________________________r">________________________r</definedName>
    <definedName name="_______________________r" localSheetId="0">'Приложение №1 (2.7) ОБЩАЯ'!_______________________r</definedName>
    <definedName name="_______________________r">_______________________r</definedName>
    <definedName name="_______________________SP1">[1]FES!#REF!</definedName>
    <definedName name="_______________________SP10">[1]FES!#REF!</definedName>
    <definedName name="_______________________SP11">[1]FES!#REF!</definedName>
    <definedName name="_______________________SP12">[1]FES!#REF!</definedName>
    <definedName name="_______________________SP13">[1]FES!#REF!</definedName>
    <definedName name="_______________________SP14">[1]FES!#REF!</definedName>
    <definedName name="_______________________SP15">[1]FES!#REF!</definedName>
    <definedName name="_______________________SP16">[1]FES!#REF!</definedName>
    <definedName name="_______________________SP17">[1]FES!#REF!</definedName>
    <definedName name="_______________________SP18">[1]FES!#REF!</definedName>
    <definedName name="_______________________SP19">[1]FES!#REF!</definedName>
    <definedName name="_______________________SP2">[1]FES!#REF!</definedName>
    <definedName name="_______________________SP20">[1]FES!#REF!</definedName>
    <definedName name="_______________________SP3">[1]FES!#REF!</definedName>
    <definedName name="_______________________SP4">[1]FES!#REF!</definedName>
    <definedName name="_______________________SP5">[1]FES!#REF!</definedName>
    <definedName name="_______________________SP7">[1]FES!#REF!</definedName>
    <definedName name="_______________________SP8">[1]FES!#REF!</definedName>
    <definedName name="_______________________SP9">[1]FES!#REF!</definedName>
    <definedName name="______________________r" localSheetId="0">'Приложение №1 (2.7) ОБЩАЯ'!______________________r</definedName>
    <definedName name="______________________r">______________________r</definedName>
    <definedName name="______________________SP1">[1]FES!#REF!</definedName>
    <definedName name="______________________SP10">[1]FES!#REF!</definedName>
    <definedName name="______________________SP11">[1]FES!#REF!</definedName>
    <definedName name="______________________SP12">[1]FES!#REF!</definedName>
    <definedName name="______________________SP13">[1]FES!#REF!</definedName>
    <definedName name="______________________SP14">[1]FES!#REF!</definedName>
    <definedName name="______________________SP15">[1]FES!#REF!</definedName>
    <definedName name="______________________SP16">[1]FES!#REF!</definedName>
    <definedName name="______________________SP17">[1]FES!#REF!</definedName>
    <definedName name="______________________SP18">[1]FES!#REF!</definedName>
    <definedName name="______________________SP19">[1]FES!#REF!</definedName>
    <definedName name="______________________SP2">[1]FES!#REF!</definedName>
    <definedName name="______________________SP20">[1]FES!#REF!</definedName>
    <definedName name="______________________SP3">[1]FES!#REF!</definedName>
    <definedName name="______________________SP4">[1]FES!#REF!</definedName>
    <definedName name="______________________SP5">[1]FES!#REF!</definedName>
    <definedName name="______________________SP7">[1]FES!#REF!</definedName>
    <definedName name="______________________SP8">[1]FES!#REF!</definedName>
    <definedName name="______________________SP9">[1]FES!#REF!</definedName>
    <definedName name="_____________________r" localSheetId="0">'Приложение №1 (2.7) ОБЩАЯ'!_____________________r</definedName>
    <definedName name="_____________________r">_____________________r</definedName>
    <definedName name="_____________________SP1">[1]FES!#REF!</definedName>
    <definedName name="_____________________SP10">[1]FES!#REF!</definedName>
    <definedName name="_____________________SP11">[1]FES!#REF!</definedName>
    <definedName name="_____________________SP12">[1]FES!#REF!</definedName>
    <definedName name="_____________________SP13">[1]FES!#REF!</definedName>
    <definedName name="_____________________SP14">[1]FES!#REF!</definedName>
    <definedName name="_____________________SP15">[1]FES!#REF!</definedName>
    <definedName name="_____________________SP16">[1]FES!#REF!</definedName>
    <definedName name="_____________________SP17">[1]FES!#REF!</definedName>
    <definedName name="_____________________SP18">[1]FES!#REF!</definedName>
    <definedName name="_____________________SP19">[1]FES!#REF!</definedName>
    <definedName name="_____________________SP2">[1]FES!#REF!</definedName>
    <definedName name="_____________________SP20">[1]FES!#REF!</definedName>
    <definedName name="_____________________SP3">[1]FES!#REF!</definedName>
    <definedName name="_____________________SP4">[1]FES!#REF!</definedName>
    <definedName name="_____________________SP5">[1]FES!#REF!</definedName>
    <definedName name="_____________________SP7">[1]FES!#REF!</definedName>
    <definedName name="_____________________SP8">[1]FES!#REF!</definedName>
    <definedName name="_____________________SP9">[1]FES!#REF!</definedName>
    <definedName name="____________________r" localSheetId="0">'Приложение №1 (2.7) ОБЩАЯ'!____________________r</definedName>
    <definedName name="____________________r">____________________r</definedName>
    <definedName name="____________________SP1">[1]FES!#REF!</definedName>
    <definedName name="____________________SP10">[1]FES!#REF!</definedName>
    <definedName name="____________________SP11">[1]FES!#REF!</definedName>
    <definedName name="____________________SP12">[1]FES!#REF!</definedName>
    <definedName name="____________________SP13">[1]FES!#REF!</definedName>
    <definedName name="____________________SP14">[1]FES!#REF!</definedName>
    <definedName name="____________________SP15">[1]FES!#REF!</definedName>
    <definedName name="____________________SP16">[1]FES!#REF!</definedName>
    <definedName name="____________________SP17">[1]FES!#REF!</definedName>
    <definedName name="____________________SP18">[1]FES!#REF!</definedName>
    <definedName name="____________________SP19">[1]FES!#REF!</definedName>
    <definedName name="____________________SP2">[1]FES!#REF!</definedName>
    <definedName name="____________________SP20">[1]FES!#REF!</definedName>
    <definedName name="____________________SP3">[1]FES!#REF!</definedName>
    <definedName name="____________________SP4">[1]FES!#REF!</definedName>
    <definedName name="____________________SP5">[1]FES!#REF!</definedName>
    <definedName name="____________________SP7">[1]FES!#REF!</definedName>
    <definedName name="____________________SP8">[1]FES!#REF!</definedName>
    <definedName name="____________________SP9">[1]FES!#REF!</definedName>
    <definedName name="___________________r" localSheetId="0">'Приложение №1 (2.7) ОБЩАЯ'!___________________r</definedName>
    <definedName name="___________________r">___________________r</definedName>
    <definedName name="___________________SP1">[1]FES!#REF!</definedName>
    <definedName name="___________________SP10">[1]FES!#REF!</definedName>
    <definedName name="___________________SP11">[1]FES!#REF!</definedName>
    <definedName name="___________________SP12">[1]FES!#REF!</definedName>
    <definedName name="___________________SP13">[1]FES!#REF!</definedName>
    <definedName name="___________________SP14">[1]FES!#REF!</definedName>
    <definedName name="___________________SP15">[1]FES!#REF!</definedName>
    <definedName name="___________________SP16">[1]FES!#REF!</definedName>
    <definedName name="___________________SP17">[1]FES!#REF!</definedName>
    <definedName name="___________________SP18">[1]FES!#REF!</definedName>
    <definedName name="___________________SP19">[1]FES!#REF!</definedName>
    <definedName name="___________________SP2">[1]FES!#REF!</definedName>
    <definedName name="___________________SP20">[1]FES!#REF!</definedName>
    <definedName name="___________________SP3">[1]FES!#REF!</definedName>
    <definedName name="___________________SP4">[1]FES!#REF!</definedName>
    <definedName name="___________________SP5">[1]FES!#REF!</definedName>
    <definedName name="___________________SP7">[1]FES!#REF!</definedName>
    <definedName name="___________________SP8">[1]FES!#REF!</definedName>
    <definedName name="___________________SP9">[1]FES!#REF!</definedName>
    <definedName name="__________________r">#N/A</definedName>
    <definedName name="__________________SP1">[1]FES!#REF!</definedName>
    <definedName name="__________________SP10">[1]FES!#REF!</definedName>
    <definedName name="__________________SP11">[1]FES!#REF!</definedName>
    <definedName name="__________________SP12">[1]FES!#REF!</definedName>
    <definedName name="__________________SP13">[1]FES!#REF!</definedName>
    <definedName name="__________________SP14">[1]FES!#REF!</definedName>
    <definedName name="__________________SP15">[1]FES!#REF!</definedName>
    <definedName name="__________________SP16">[1]FES!#REF!</definedName>
    <definedName name="__________________SP17">[1]FES!#REF!</definedName>
    <definedName name="__________________SP18">[1]FES!#REF!</definedName>
    <definedName name="__________________SP19">[1]FES!#REF!</definedName>
    <definedName name="__________________SP2">[1]FES!#REF!</definedName>
    <definedName name="__________________SP20">[1]FES!#REF!</definedName>
    <definedName name="__________________SP3">[1]FES!#REF!</definedName>
    <definedName name="__________________SP4">[1]FES!#REF!</definedName>
    <definedName name="__________________SP5">[1]FES!#REF!</definedName>
    <definedName name="__________________SP7">[1]FES!#REF!</definedName>
    <definedName name="__________________SP8">[1]FES!#REF!</definedName>
    <definedName name="__________________SP9">[1]FES!#REF!</definedName>
    <definedName name="_________________r">#N/A</definedName>
    <definedName name="_________________SP1">[2]FES!#REF!</definedName>
    <definedName name="_________________SP10">[2]FES!#REF!</definedName>
    <definedName name="_________________SP11">[2]FES!#REF!</definedName>
    <definedName name="_________________SP12">[2]FES!#REF!</definedName>
    <definedName name="_________________SP13">[2]FES!#REF!</definedName>
    <definedName name="_________________SP14">[2]FES!#REF!</definedName>
    <definedName name="_________________SP15">[2]FES!#REF!</definedName>
    <definedName name="_________________SP16">[2]FES!#REF!</definedName>
    <definedName name="_________________SP17">[2]FES!#REF!</definedName>
    <definedName name="_________________SP18">[2]FES!#REF!</definedName>
    <definedName name="_________________SP19">[2]FES!#REF!</definedName>
    <definedName name="_________________SP2">[2]FES!#REF!</definedName>
    <definedName name="_________________SP20">[2]FES!#REF!</definedName>
    <definedName name="_________________SP3">[2]FES!#REF!</definedName>
    <definedName name="_________________SP4">[2]FES!#REF!</definedName>
    <definedName name="_________________SP5">[2]FES!#REF!</definedName>
    <definedName name="_________________SP7">[2]FES!#REF!</definedName>
    <definedName name="_________________SP8">[2]FES!#REF!</definedName>
    <definedName name="_________________SP9">[2]FES!#REF!</definedName>
    <definedName name="________________r">#N/A</definedName>
    <definedName name="________________SP1">[1]FES!#REF!</definedName>
    <definedName name="________________SP10">[1]FES!#REF!</definedName>
    <definedName name="________________SP11">[1]FES!#REF!</definedName>
    <definedName name="________________SP12">[1]FES!#REF!</definedName>
    <definedName name="________________SP13">[1]FES!#REF!</definedName>
    <definedName name="________________SP14">[1]FES!#REF!</definedName>
    <definedName name="________________SP15">[1]FES!#REF!</definedName>
    <definedName name="________________SP16">[1]FES!#REF!</definedName>
    <definedName name="________________SP17">[1]FES!#REF!</definedName>
    <definedName name="________________SP18">[1]FES!#REF!</definedName>
    <definedName name="________________SP19">[1]FES!#REF!</definedName>
    <definedName name="________________SP2">[1]FES!#REF!</definedName>
    <definedName name="________________SP20">[1]FES!#REF!</definedName>
    <definedName name="________________SP3">[1]FES!#REF!</definedName>
    <definedName name="________________SP4">[1]FES!#REF!</definedName>
    <definedName name="________________SP5">[1]FES!#REF!</definedName>
    <definedName name="________________SP7">[1]FES!#REF!</definedName>
    <definedName name="________________SP8">[1]FES!#REF!</definedName>
    <definedName name="________________SP9">[1]FES!#REF!</definedName>
    <definedName name="_______________r">#N/A</definedName>
    <definedName name="_______________SP1">[1]FES!#REF!</definedName>
    <definedName name="_______________SP10">[1]FES!#REF!</definedName>
    <definedName name="_______________SP11">[1]FES!#REF!</definedName>
    <definedName name="_______________SP12">[1]FES!#REF!</definedName>
    <definedName name="_______________SP13">[1]FES!#REF!</definedName>
    <definedName name="_______________SP14">[1]FES!#REF!</definedName>
    <definedName name="_______________SP15">[1]FES!#REF!</definedName>
    <definedName name="_______________SP16">[1]FES!#REF!</definedName>
    <definedName name="_______________SP17">[1]FES!#REF!</definedName>
    <definedName name="_______________SP18">[1]FES!#REF!</definedName>
    <definedName name="_______________SP19">[1]FES!#REF!</definedName>
    <definedName name="_______________SP2">[1]FES!#REF!</definedName>
    <definedName name="_______________SP20">[1]FES!#REF!</definedName>
    <definedName name="_______________SP3">[1]FES!#REF!</definedName>
    <definedName name="_______________SP4">[1]FES!#REF!</definedName>
    <definedName name="_______________SP5">[1]FES!#REF!</definedName>
    <definedName name="_______________SP7">[1]FES!#REF!</definedName>
    <definedName name="_______________SP8">[1]FES!#REF!</definedName>
    <definedName name="_______________SP9">[1]FES!#REF!</definedName>
    <definedName name="______________r" localSheetId="0">'Приложение №1 (2.7) ОБЩАЯ'!______________r</definedName>
    <definedName name="______________r">[0]!______________r</definedName>
    <definedName name="______________SP1">[1]FES!#REF!</definedName>
    <definedName name="______________SP10">[1]FES!#REF!</definedName>
    <definedName name="______________SP11">[1]FES!#REF!</definedName>
    <definedName name="______________SP12">[1]FES!#REF!</definedName>
    <definedName name="______________SP13">[1]FES!#REF!</definedName>
    <definedName name="______________SP14">[1]FES!#REF!</definedName>
    <definedName name="______________SP15">[1]FES!#REF!</definedName>
    <definedName name="______________SP16">[1]FES!#REF!</definedName>
    <definedName name="______________SP17">[1]FES!#REF!</definedName>
    <definedName name="______________SP18">[1]FES!#REF!</definedName>
    <definedName name="______________SP19">[1]FES!#REF!</definedName>
    <definedName name="______________SP2">[1]FES!#REF!</definedName>
    <definedName name="______________SP20">[1]FES!#REF!</definedName>
    <definedName name="______________SP3">[1]FES!#REF!</definedName>
    <definedName name="______________SP4">[1]FES!#REF!</definedName>
    <definedName name="______________SP5">[1]FES!#REF!</definedName>
    <definedName name="______________SP7">[1]FES!#REF!</definedName>
    <definedName name="______________SP8">[1]FES!#REF!</definedName>
    <definedName name="______________SP9">[1]FES!#REF!</definedName>
    <definedName name="_____________r">#N/A</definedName>
    <definedName name="_____________SP1">[1]FES!#REF!</definedName>
    <definedName name="_____________SP10">[1]FES!#REF!</definedName>
    <definedName name="_____________SP11">[1]FES!#REF!</definedName>
    <definedName name="_____________SP12">[1]FES!#REF!</definedName>
    <definedName name="_____________SP13">[1]FES!#REF!</definedName>
    <definedName name="_____________SP14">[1]FES!#REF!</definedName>
    <definedName name="_____________SP15">[1]FES!#REF!</definedName>
    <definedName name="_____________SP16">[1]FES!#REF!</definedName>
    <definedName name="_____________SP17">[1]FES!#REF!</definedName>
    <definedName name="_____________SP18">[1]FES!#REF!</definedName>
    <definedName name="_____________SP19">[1]FES!#REF!</definedName>
    <definedName name="_____________SP2">[1]FES!#REF!</definedName>
    <definedName name="_____________SP20">[1]FES!#REF!</definedName>
    <definedName name="_____________SP3">[1]FES!#REF!</definedName>
    <definedName name="_____________SP4">[1]FES!#REF!</definedName>
    <definedName name="_____________SP5">[1]FES!#REF!</definedName>
    <definedName name="_____________SP7">[1]FES!#REF!</definedName>
    <definedName name="_____________SP8">[1]FES!#REF!</definedName>
    <definedName name="_____________SP9">[1]FES!#REF!</definedName>
    <definedName name="____________r" localSheetId="0">'Приложение №1 (2.7) ОБЩАЯ'!____________r</definedName>
    <definedName name="____________r">[0]!____________r</definedName>
    <definedName name="____________SP1">[1]FES!#REF!</definedName>
    <definedName name="____________SP10">[1]FES!#REF!</definedName>
    <definedName name="____________SP11">[1]FES!#REF!</definedName>
    <definedName name="____________SP12">[1]FES!#REF!</definedName>
    <definedName name="____________SP13">[1]FES!#REF!</definedName>
    <definedName name="____________SP14">[1]FES!#REF!</definedName>
    <definedName name="____________SP15">[1]FES!#REF!</definedName>
    <definedName name="____________SP16">[1]FES!#REF!</definedName>
    <definedName name="____________SP17">[1]FES!#REF!</definedName>
    <definedName name="____________SP18">[1]FES!#REF!</definedName>
    <definedName name="____________SP19">[1]FES!#REF!</definedName>
    <definedName name="____________SP2">[1]FES!#REF!</definedName>
    <definedName name="____________SP20">[1]FES!#REF!</definedName>
    <definedName name="____________SP3">[1]FES!#REF!</definedName>
    <definedName name="____________SP4">[1]FES!#REF!</definedName>
    <definedName name="____________SP5">[1]FES!#REF!</definedName>
    <definedName name="____________SP7">[1]FES!#REF!</definedName>
    <definedName name="____________SP8">[1]FES!#REF!</definedName>
    <definedName name="____________SP9">[1]FES!#REF!</definedName>
    <definedName name="___________r">#N/A</definedName>
    <definedName name="___________SP1">[1]FES!#REF!</definedName>
    <definedName name="___________SP10">[1]FES!#REF!</definedName>
    <definedName name="___________SP11">[1]FES!#REF!</definedName>
    <definedName name="___________SP12">[1]FES!#REF!</definedName>
    <definedName name="___________SP13">[1]FES!#REF!</definedName>
    <definedName name="___________SP14">[1]FES!#REF!</definedName>
    <definedName name="___________SP15">[1]FES!#REF!</definedName>
    <definedName name="___________SP16">[1]FES!#REF!</definedName>
    <definedName name="___________SP17">[1]FES!#REF!</definedName>
    <definedName name="___________SP18">[1]FES!#REF!</definedName>
    <definedName name="___________SP19">[1]FES!#REF!</definedName>
    <definedName name="___________SP2">[1]FES!#REF!</definedName>
    <definedName name="___________SP20">[1]FES!#REF!</definedName>
    <definedName name="___________SP3">[1]FES!#REF!</definedName>
    <definedName name="___________SP4">[1]FES!#REF!</definedName>
    <definedName name="___________SP5">[1]FES!#REF!</definedName>
    <definedName name="___________SP7">[1]FES!#REF!</definedName>
    <definedName name="___________SP8">[1]FES!#REF!</definedName>
    <definedName name="___________SP9">[1]FES!#REF!</definedName>
    <definedName name="__________r">#N/A</definedName>
    <definedName name="__________SP1">[1]FES!#REF!</definedName>
    <definedName name="__________SP10">[1]FES!#REF!</definedName>
    <definedName name="__________SP11">[1]FES!#REF!</definedName>
    <definedName name="__________SP12">[1]FES!#REF!</definedName>
    <definedName name="__________SP13">[1]FES!#REF!</definedName>
    <definedName name="__________SP14">[1]FES!#REF!</definedName>
    <definedName name="__________SP15">[1]FES!#REF!</definedName>
    <definedName name="__________SP16">[1]FES!#REF!</definedName>
    <definedName name="__________SP17">[1]FES!#REF!</definedName>
    <definedName name="__________SP18">[1]FES!#REF!</definedName>
    <definedName name="__________SP19">[1]FES!#REF!</definedName>
    <definedName name="__________SP2">[1]FES!#REF!</definedName>
    <definedName name="__________SP20">[1]FES!#REF!</definedName>
    <definedName name="__________SP3">[1]FES!#REF!</definedName>
    <definedName name="__________SP4">[1]FES!#REF!</definedName>
    <definedName name="__________SP5">[1]FES!#REF!</definedName>
    <definedName name="__________SP7">[1]FES!#REF!</definedName>
    <definedName name="__________SP8">[1]FES!#REF!</definedName>
    <definedName name="__________SP9">[1]FES!#REF!</definedName>
    <definedName name="_________r">#N/A</definedName>
    <definedName name="_________SP1">[1]FES!#REF!</definedName>
    <definedName name="_________SP10">[1]FES!#REF!</definedName>
    <definedName name="_________SP11">[1]FES!#REF!</definedName>
    <definedName name="_________SP12">[1]FES!#REF!</definedName>
    <definedName name="_________SP13">[1]FES!#REF!</definedName>
    <definedName name="_________SP14">[1]FES!#REF!</definedName>
    <definedName name="_________SP15">[1]FES!#REF!</definedName>
    <definedName name="_________SP16">[1]FES!#REF!</definedName>
    <definedName name="_________SP17">[1]FES!#REF!</definedName>
    <definedName name="_________SP18">[1]FES!#REF!</definedName>
    <definedName name="_________SP19">[1]FES!#REF!</definedName>
    <definedName name="_________SP2">[1]FES!#REF!</definedName>
    <definedName name="_________SP20">[1]FES!#REF!</definedName>
    <definedName name="_________SP3">[1]FES!#REF!</definedName>
    <definedName name="_________SP4">[1]FES!#REF!</definedName>
    <definedName name="_________SP5">[1]FES!#REF!</definedName>
    <definedName name="_________SP7">[1]FES!#REF!</definedName>
    <definedName name="_________SP8">[1]FES!#REF!</definedName>
    <definedName name="_________SP9">[1]FES!#REF!</definedName>
    <definedName name="________r">#N/A</definedName>
    <definedName name="________SP1">[1]FES!#REF!</definedName>
    <definedName name="________SP10">[1]FES!#REF!</definedName>
    <definedName name="________SP11">[1]FES!#REF!</definedName>
    <definedName name="________SP12">[1]FES!#REF!</definedName>
    <definedName name="________SP13">[1]FES!#REF!</definedName>
    <definedName name="________SP14">[1]FES!#REF!</definedName>
    <definedName name="________SP15">[1]FES!#REF!</definedName>
    <definedName name="________SP16">[1]FES!#REF!</definedName>
    <definedName name="________SP17">[1]FES!#REF!</definedName>
    <definedName name="________SP18">[1]FES!#REF!</definedName>
    <definedName name="________SP19">[1]FES!#REF!</definedName>
    <definedName name="________SP2">[1]FES!#REF!</definedName>
    <definedName name="________SP20">[1]FES!#REF!</definedName>
    <definedName name="________SP3">[1]FES!#REF!</definedName>
    <definedName name="________SP4">[1]FES!#REF!</definedName>
    <definedName name="________SP5">[1]FES!#REF!</definedName>
    <definedName name="________SP7">[1]FES!#REF!</definedName>
    <definedName name="________SP8">[1]FES!#REF!</definedName>
    <definedName name="________SP9">[1]FES!#REF!</definedName>
    <definedName name="_______r">#N/A</definedName>
    <definedName name="_______SP1">[1]FES!#REF!</definedName>
    <definedName name="_______SP10">[1]FES!#REF!</definedName>
    <definedName name="_______SP11">[1]FES!#REF!</definedName>
    <definedName name="_______SP12">[1]FES!#REF!</definedName>
    <definedName name="_______SP13">[1]FES!#REF!</definedName>
    <definedName name="_______SP14">[1]FES!#REF!</definedName>
    <definedName name="_______SP15">[1]FES!#REF!</definedName>
    <definedName name="_______SP16">[1]FES!#REF!</definedName>
    <definedName name="_______SP17">[1]FES!#REF!</definedName>
    <definedName name="_______SP18">[1]FES!#REF!</definedName>
    <definedName name="_______SP19">[1]FES!#REF!</definedName>
    <definedName name="_______SP2">[1]FES!#REF!</definedName>
    <definedName name="_______SP20">[1]FES!#REF!</definedName>
    <definedName name="_______SP3">[1]FES!#REF!</definedName>
    <definedName name="_______SP4">[1]FES!#REF!</definedName>
    <definedName name="_______SP5">[1]FES!#REF!</definedName>
    <definedName name="_______SP7">[1]FES!#REF!</definedName>
    <definedName name="_______SP8">[1]FES!#REF!</definedName>
    <definedName name="_______SP9">[1]FES!#REF!</definedName>
    <definedName name="______mm1">[3]ПРОГНОЗ_1!#REF!</definedName>
    <definedName name="______r">#N/A</definedName>
    <definedName name="______SP1">[1]FES!#REF!</definedName>
    <definedName name="______SP10">[1]FES!#REF!</definedName>
    <definedName name="______SP11">[1]FES!#REF!</definedName>
    <definedName name="______SP12">[1]FES!#REF!</definedName>
    <definedName name="______SP13">[1]FES!#REF!</definedName>
    <definedName name="______SP14">[1]FES!#REF!</definedName>
    <definedName name="______SP15">[1]FES!#REF!</definedName>
    <definedName name="______SP16">[1]FES!#REF!</definedName>
    <definedName name="______SP17">[1]FES!#REF!</definedName>
    <definedName name="______SP18">[1]FES!#REF!</definedName>
    <definedName name="______SP19">[1]FES!#REF!</definedName>
    <definedName name="______SP2">[1]FES!#REF!</definedName>
    <definedName name="______SP20">[1]FES!#REF!</definedName>
    <definedName name="______SP3">[1]FES!#REF!</definedName>
    <definedName name="______SP4">[1]FES!#REF!</definedName>
    <definedName name="______SP5">[1]FES!#REF!</definedName>
    <definedName name="______SP7">[1]FES!#REF!</definedName>
    <definedName name="______SP8">[1]FES!#REF!</definedName>
    <definedName name="______SP9">[1]FES!#REF!</definedName>
    <definedName name="_____mm1">[3]ПРОГНОЗ_1!#REF!</definedName>
    <definedName name="_____r">#N/A</definedName>
    <definedName name="_____SP1">[1]FES!#REF!</definedName>
    <definedName name="_____SP10">[1]FES!#REF!</definedName>
    <definedName name="_____SP11">[1]FES!#REF!</definedName>
    <definedName name="_____SP12">[1]FES!#REF!</definedName>
    <definedName name="_____SP13">[1]FES!#REF!</definedName>
    <definedName name="_____SP14">[1]FES!#REF!</definedName>
    <definedName name="_____SP15">[1]FES!#REF!</definedName>
    <definedName name="_____SP16">[1]FES!#REF!</definedName>
    <definedName name="_____SP17">[1]FES!#REF!</definedName>
    <definedName name="_____SP18">[1]FES!#REF!</definedName>
    <definedName name="_____SP19">[1]FES!#REF!</definedName>
    <definedName name="_____SP2">[1]FES!#REF!</definedName>
    <definedName name="_____SP20">[1]FES!#REF!</definedName>
    <definedName name="_____SP3">[1]FES!#REF!</definedName>
    <definedName name="_____SP4">[1]FES!#REF!</definedName>
    <definedName name="_____SP5">[1]FES!#REF!</definedName>
    <definedName name="_____SP7">[1]FES!#REF!</definedName>
    <definedName name="_____SP8">[1]FES!#REF!</definedName>
    <definedName name="_____SP9">[1]FES!#REF!</definedName>
    <definedName name="____mm1">[3]ПРОГНОЗ_1!#REF!</definedName>
    <definedName name="____r">#N/A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mm1">[3]ПРОГНОЗ_1!#REF!</definedName>
    <definedName name="___r">#N/A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KOHE">[4]МС2!#REF!</definedName>
    <definedName name="__KOHE_3">[5]МС2!#REF!</definedName>
    <definedName name="__KOHE_6">"'file://Netserver01/Public/Everyone/Для Ревзиной/Сниц2/d/Документы/Банк/VTR1.XLS'#$МС2.$#ССЫЛ!#ССЫЛ!"</definedName>
    <definedName name="__mm1">[3]ПРОГНОЗ_1!#REF!</definedName>
    <definedName name="__r">#N/A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">#REF!</definedName>
    <definedName name="_1_1">#REF!</definedName>
    <definedName name="_1_3">#REF!</definedName>
    <definedName name="_1_А1_1">#REF!</definedName>
    <definedName name="_10_д1_1_1_1">#REF!</definedName>
    <definedName name="_101_с140л02_1_1_1">#REF!</definedName>
    <definedName name="_101с140л02_1_1_1">#REF!</definedName>
    <definedName name="_104_с230л07_1_1_1">#REF!</definedName>
    <definedName name="_104с230л07_1_1_1">#REF!</definedName>
    <definedName name="_107_с590л11_1_1_1">#REF!</definedName>
    <definedName name="_107с590л11_1_1_1">#REF!</definedName>
    <definedName name="_10д1_1_1_1">#REF!</definedName>
    <definedName name="_10д7_1_1_1">#REF!</definedName>
    <definedName name="_110_срок_1_1_1">#REF!</definedName>
    <definedName name="_110срок_1_1_1">#REF!</definedName>
    <definedName name="_113_тел_1_1_1">#REF!</definedName>
    <definedName name="_113тел_1_1_1">#REF!</definedName>
    <definedName name="_116_ул_1_1_1">#REF!</definedName>
    <definedName name="_116ул_1_1_1">#REF!</definedName>
    <definedName name="_117А1_1">#REF!</definedName>
    <definedName name="_11д8_1_1_1">#REF!</definedName>
    <definedName name="_121авг_1_1_1">#REF!</definedName>
    <definedName name="_125гдс_1_1_1">#REF!</definedName>
    <definedName name="_129д1_1_1_1">#REF!</definedName>
    <definedName name="_12индекс_1_1_1">#REF!</definedName>
    <definedName name="_13_д2_1_1_1">#REF!</definedName>
    <definedName name="_133д2_1_1_1">#REF!</definedName>
    <definedName name="_137д3_1_1_1">#REF!</definedName>
    <definedName name="_13д2_1_1_1">#REF!</definedName>
    <definedName name="_13кв_1_1_1">#REF!</definedName>
    <definedName name="_141д4_1_1_1">#REF!</definedName>
    <definedName name="_145д5_1_1_1">#REF!</definedName>
    <definedName name="_149д6_1_1_1">#REF!</definedName>
    <definedName name="_14код_1_1_1">#REF!</definedName>
    <definedName name="_153д7_1_1_1">#REF!</definedName>
    <definedName name="_157д8_1_1_1">#REF!</definedName>
    <definedName name="_15месяцы_1_1_1">#REF!</definedName>
    <definedName name="_16_д3_1_1_1">#REF!</definedName>
    <definedName name="_161индекс_1_1_1">#REF!</definedName>
    <definedName name="_165кв_1_1_1">#REF!</definedName>
    <definedName name="_169код_1_1_1">#REF!</definedName>
    <definedName name="_16д3_1_1_1">#REF!</definedName>
    <definedName name="_16мк1_1_1_1">#REF!</definedName>
    <definedName name="_173месяцы_1_1_1">#REF!</definedName>
    <definedName name="_177мк1_1_1_1">#REF!</definedName>
    <definedName name="_17мк2_1_1_1">#REF!</definedName>
    <definedName name="_181мк2_1_1_1">#REF!</definedName>
    <definedName name="_185мк3_1_1_1">#REF!</definedName>
    <definedName name="_189мпод_1_1_1">#REF!</definedName>
    <definedName name="_18мк3_1_1_1">#REF!</definedName>
    <definedName name="_19_д4_1_1_1">#REF!</definedName>
    <definedName name="_193мро_1_1_1">#REF!</definedName>
    <definedName name="_197нд_1_1_1">#REF!</definedName>
    <definedName name="_19д4_1_1_1">#REF!</definedName>
    <definedName name="_19мпод_1_1_1">#REF!</definedName>
    <definedName name="_1А1_1">#REF!</definedName>
    <definedName name="_201нчп_1_1_1">#REF!</definedName>
    <definedName name="_205отч_1_1_1">#REF!</definedName>
    <definedName name="_209отчгод_1_1_1">#REF!</definedName>
    <definedName name="_20мро_1_1_1">#REF!</definedName>
    <definedName name="_213пд_1_1_1">#REF!</definedName>
    <definedName name="_217период_1_1_1">#REF!</definedName>
    <definedName name="_218ппп_1">#REF!</definedName>
    <definedName name="_21нд_1_1_1">#REF!</definedName>
    <definedName name="_22_д5_1_1_1">#REF!</definedName>
    <definedName name="_222прд_1_1_1">#REF!</definedName>
    <definedName name="_226прм_1_1_1">#REF!</definedName>
    <definedName name="_22д5_1_1_1">#REF!</definedName>
    <definedName name="_22нчп_1_1_1">#REF!</definedName>
    <definedName name="_230пункт_1_1_1">#REF!</definedName>
    <definedName name="_234район_1_1_1">#REF!</definedName>
    <definedName name="_238с110л10_1_1_1">#REF!</definedName>
    <definedName name="_23отч_1_1_1">#REF!</definedName>
    <definedName name="_242с120л05_1_1_1">#REF!</definedName>
    <definedName name="_246с120л06_1_1_1">#REF!</definedName>
    <definedName name="_24отчгод_1_1_1">#REF!</definedName>
    <definedName name="_25_д6_1_1_1">#REF!</definedName>
    <definedName name="_250с140л02_1_1_1">#REF!</definedName>
    <definedName name="_254с230л07_1_1_1">#REF!</definedName>
    <definedName name="_258с590л11_1_1_1">#REF!</definedName>
    <definedName name="_25д6_1_1_1">#REF!</definedName>
    <definedName name="_25пд_1_1_1">#REF!</definedName>
    <definedName name="_262срок_1_1_1">#REF!</definedName>
    <definedName name="_266тел_1_1_1">#REF!</definedName>
    <definedName name="_26период_1_1_1">#REF!</definedName>
    <definedName name="_270ул_1_1_1">#REF!</definedName>
    <definedName name="_27ппп_1">#REF!</definedName>
    <definedName name="_28_д7_1_1_1">#REF!</definedName>
    <definedName name="_28д7_1_1_1">#REF!</definedName>
    <definedName name="_28прд_1_1_1">#REF!</definedName>
    <definedName name="_29прм_1_1_1">#REF!</definedName>
    <definedName name="_2авг_1_1_1">#REF!</definedName>
    <definedName name="_30пункт_1_1_1">#REF!</definedName>
    <definedName name="_31_д8_1_1_1">#REF!</definedName>
    <definedName name="_31д8_1_1_1">#REF!</definedName>
    <definedName name="_31район_1_1_1">#REF!</definedName>
    <definedName name="_32с110л10_1_1_1">#REF!</definedName>
    <definedName name="_33с120л05_1_1_1">#REF!</definedName>
    <definedName name="_34_индекс_1_1_1">#REF!</definedName>
    <definedName name="_34индекс_1_1_1">#REF!</definedName>
    <definedName name="_34с120л06_1_1_1">#REF!</definedName>
    <definedName name="_35с140л02_1_1_1">#REF!</definedName>
    <definedName name="_36с230л07_1_1_1">#REF!</definedName>
    <definedName name="_37_кв_1_1_1">#REF!</definedName>
    <definedName name="_37кв_1_1_1">#REF!</definedName>
    <definedName name="_37с590л11_1_1_1">#REF!</definedName>
    <definedName name="_38срок_1_1_1">#REF!</definedName>
    <definedName name="_39тел_1_1_1">#REF!</definedName>
    <definedName name="_3гдс_1_1_1">#REF!</definedName>
    <definedName name="_4_авг_1_1_1">#REF!</definedName>
    <definedName name="_40_код_1_1_1">#REF!</definedName>
    <definedName name="_40код_1_1_1">#REF!</definedName>
    <definedName name="_40ул_1_1_1">#REF!</definedName>
    <definedName name="_43_месяцы_1_1_1">#REF!</definedName>
    <definedName name="_43месяцы_1_1_1">#REF!</definedName>
    <definedName name="_46_мк1_1_1_1">#REF!</definedName>
    <definedName name="_46мк1_1_1_1">#REF!</definedName>
    <definedName name="_49_мк2_1_1_1">#REF!</definedName>
    <definedName name="_49мк2_1_1_1">#REF!</definedName>
    <definedName name="_4авг_1_1_1">#REF!</definedName>
    <definedName name="_4д1_1_1_1">#REF!</definedName>
    <definedName name="_52_мк3_1_1_1">#REF!</definedName>
    <definedName name="_52мк3_1_1_1">#REF!</definedName>
    <definedName name="_55_мпод_1_1_1">#REF!</definedName>
    <definedName name="_55мпод_1_1_1">#REF!</definedName>
    <definedName name="_58_мро_1_1_1">#REF!</definedName>
    <definedName name="_58мро_1_1_1">#REF!</definedName>
    <definedName name="_5д2_1_1_1">#REF!</definedName>
    <definedName name="_61_нд_1_1_1">#REF!</definedName>
    <definedName name="_61нд_1_1_1">#REF!</definedName>
    <definedName name="_64_нчп_1_1_1">#REF!</definedName>
    <definedName name="_64нчп_1_1_1">#REF!</definedName>
    <definedName name="_67_отч_1_1_1">#REF!</definedName>
    <definedName name="_67отч_1_1_1">#REF!</definedName>
    <definedName name="_6д3_1_1_1">#REF!</definedName>
    <definedName name="_7_гдс_1_1_1">#REF!</definedName>
    <definedName name="_70_отчгод_1_1_1">#REF!</definedName>
    <definedName name="_70отчгод_1_1_1">#REF!</definedName>
    <definedName name="_73_пд_1_1_1">#REF!</definedName>
    <definedName name="_73пд_1_1_1">#REF!</definedName>
    <definedName name="_76_период_1_1_1">#REF!</definedName>
    <definedName name="_76период_1_1_1">#REF!</definedName>
    <definedName name="_77_ппп_1">#REF!</definedName>
    <definedName name="_77ппп_1">#REF!</definedName>
    <definedName name="_7гдс_1_1_1">#REF!</definedName>
    <definedName name="_7д4_1_1_1">#REF!</definedName>
    <definedName name="_80_прд_1_1_1">#REF!</definedName>
    <definedName name="_80прд_1_1_1">#REF!</definedName>
    <definedName name="_83_прм_1_1_1">#REF!</definedName>
    <definedName name="_83прм_1_1_1">#REF!</definedName>
    <definedName name="_86_пункт_1_1_1">#REF!</definedName>
    <definedName name="_86пункт_1_1_1">#REF!</definedName>
    <definedName name="_89_район_1_1_1">#REF!</definedName>
    <definedName name="_89район_1_1_1">#REF!</definedName>
    <definedName name="_8д5_1_1_1">#REF!</definedName>
    <definedName name="_92_с110л10_1_1_1">#REF!</definedName>
    <definedName name="_92с110л10_1_1_1">#REF!</definedName>
    <definedName name="_95_с120л05_1_1_1">#REF!</definedName>
    <definedName name="_95с120л05_1_1_1">#REF!</definedName>
    <definedName name="_98_с120л06_1_1_1">#REF!</definedName>
    <definedName name="_98с120л06_1_1_1">#REF!</definedName>
    <definedName name="_9д6_1_1_1">#REF!</definedName>
    <definedName name="_a">#REF!</definedName>
    <definedName name="_a_1">"$#ССЫЛ!.$#ССЫЛ!$#ССЫЛ!"</definedName>
    <definedName name="_a_3">#REF!</definedName>
    <definedName name="_a_6">"$#ССЫЛ!.$#ССЫЛ!$#ССЫЛ!"</definedName>
    <definedName name="_def1999">[6]vec!#REF!</definedName>
    <definedName name="_def2000г">#REF!</definedName>
    <definedName name="_def2001г">#REF!</definedName>
    <definedName name="_def2002г">#REF!</definedName>
    <definedName name="_IDОтчета">178174</definedName>
    <definedName name="_IDШаблона">178176</definedName>
    <definedName name="_inf2000">#REF!</definedName>
    <definedName name="_inf2001">#REF!</definedName>
    <definedName name="_inf2002">#REF!</definedName>
    <definedName name="_inf2003">#REF!</definedName>
    <definedName name="_inf2004">#REF!</definedName>
    <definedName name="_inf2005">#REF!</definedName>
    <definedName name="_inf2006">#REF!</definedName>
    <definedName name="_inf2007">#REF!</definedName>
    <definedName name="_inf2007_1">#REF!</definedName>
    <definedName name="_inf2007_3">#REF!</definedName>
    <definedName name="_inf2008">#REF!</definedName>
    <definedName name="_inf2008_1">#REF!</definedName>
    <definedName name="_inf2008_3">#REF!</definedName>
    <definedName name="_inf2009">#REF!</definedName>
    <definedName name="_inf2009_1">#REF!</definedName>
    <definedName name="_inf2009_3">#REF!</definedName>
    <definedName name="_inf2010">#REF!</definedName>
    <definedName name="_inf2010_1">#REF!</definedName>
    <definedName name="_inf2010_3">#REF!</definedName>
    <definedName name="_inf2011">#REF!</definedName>
    <definedName name="_inf2011_1">#REF!</definedName>
    <definedName name="_inf2011_3">#REF!</definedName>
    <definedName name="_inf2012">#REF!</definedName>
    <definedName name="_inf2012_1">#REF!</definedName>
    <definedName name="_inf2012_3">#REF!</definedName>
    <definedName name="_inf2013">#REF!</definedName>
    <definedName name="_inf2013_1">#REF!</definedName>
    <definedName name="_inf2013_3">#REF!</definedName>
    <definedName name="_inf2014">#REF!</definedName>
    <definedName name="_inf2014_1">#REF!</definedName>
    <definedName name="_inf2014_3">#REF!</definedName>
    <definedName name="_inf2015">#REF!</definedName>
    <definedName name="_inf2015_1">#REF!</definedName>
    <definedName name="_inf2015_3">#REF!</definedName>
    <definedName name="_infl.99">[6]vec!#REF!</definedName>
    <definedName name="_m">#REF!</definedName>
    <definedName name="_m_1">"$#ССЫЛ!.$#ССЫЛ!$#ССЫЛ!"</definedName>
    <definedName name="_m_3">#REF!</definedName>
    <definedName name="_m_6">"$#ССЫЛ!.$#ССЫЛ!$#ССЫЛ!"</definedName>
    <definedName name="_mm1">[3]ПРОГНОЗ_1!#REF!</definedName>
    <definedName name="_n">#REF!</definedName>
    <definedName name="_n_1">"$#ССЫЛ!.$#ССЫЛ!$#ССЫЛ!"</definedName>
    <definedName name="_n_3">#REF!</definedName>
    <definedName name="_n_6">"$#ССЫЛ!.$#ССЫЛ!$#ССЫЛ!"</definedName>
    <definedName name="_o">#REF!</definedName>
    <definedName name="_o_1">"$#ССЫЛ!.$#ССЫЛ!$#ССЫЛ!"</definedName>
    <definedName name="_o_3">#REF!</definedName>
    <definedName name="_o_6">"$#ССЫЛ!.$#ССЫЛ!$#ССЫЛ!"</definedName>
    <definedName name="_Order1" hidden="1">0</definedName>
    <definedName name="_Order2" hidden="1">0</definedName>
    <definedName name="_r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7" hidden="1">Метрология!$A$3:$T$799</definedName>
    <definedName name="_xlnm._FilterDatabase" localSheetId="4" hidden="1">Электрика!$A$4:$Q$572</definedName>
    <definedName name="a04t">#REF!</definedName>
    <definedName name="AMOR1">#REF!</definedName>
    <definedName name="AMOR2">#REF!</definedName>
    <definedName name="AMOR3">'[7]2002'!$E$767:$S$811</definedName>
    <definedName name="AMOR4">#REF!</definedName>
    <definedName name="AMOR5">'[7]2002'!$E$767:$S$811</definedName>
    <definedName name="AMOR6">'[7]2002'!$A$2:$R$738</definedName>
    <definedName name="anscount" hidden="1">1</definedName>
    <definedName name="asd" localSheetId="0">'Приложение №1 (2.7) ОБЩАЯ'!asd</definedName>
    <definedName name="asd">[0]!asd</definedName>
    <definedName name="asd_3" localSheetId="0">'Приложение №1 (2.7) ОБЩАЯ'!asd_3</definedName>
    <definedName name="asd_3">asd_3</definedName>
    <definedName name="asd_4" localSheetId="0">'Приложение №1 (2.7) ОБЩАЯ'!asd_4</definedName>
    <definedName name="asd_4">asd_4</definedName>
    <definedName name="asd_5" localSheetId="0">'Приложение №1 (2.7) ОБЩАЯ'!asd_5</definedName>
    <definedName name="asd_5">asd_5</definedName>
    <definedName name="asd_6" localSheetId="0">'Приложение №1 (2.7) ОБЩАЯ'!asd_6</definedName>
    <definedName name="asd_6">asd_6</definedName>
    <definedName name="asd_7" localSheetId="0">'Приложение №1 (2.7) ОБЩАЯ'!asd_7</definedName>
    <definedName name="asd_7">asd_7</definedName>
    <definedName name="asd_8" localSheetId="0">'Приложение №1 (2.7) ОБЩАЯ'!asd_8</definedName>
    <definedName name="asd_8">asd_8</definedName>
    <definedName name="asd_9" localSheetId="0">'Приложение №1 (2.7) ОБЩАЯ'!asd_9</definedName>
    <definedName name="asd_9">asd_9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mpOt">#N/A</definedName>
    <definedName name="CompOt_1">#N/A</definedName>
    <definedName name="CompOt_2">#N/A</definedName>
    <definedName name="CompOt_3">#N/A</definedName>
    <definedName name="CompOt_4" localSheetId="0">'Приложение №1 (2.7) ОБЩАЯ'!CompOt_4</definedName>
    <definedName name="CompOt_4">CompOt_4</definedName>
    <definedName name="CompOt_5" localSheetId="0">'Приложение №1 (2.7) ОБЩАЯ'!CompOt_5</definedName>
    <definedName name="CompOt_5">CompOt_5</definedName>
    <definedName name="CompOt_6" localSheetId="0">'Приложение №1 (2.7) ОБЩАЯ'!CompOt_6</definedName>
    <definedName name="CompOt_6">CompOt_6</definedName>
    <definedName name="CompOt_7" localSheetId="0">'Приложение №1 (2.7) ОБЩАЯ'!CompOt_7</definedName>
    <definedName name="CompOt_7">CompOt_7</definedName>
    <definedName name="CompOt_8" localSheetId="0">'Приложение №1 (2.7) ОБЩАЯ'!CompOt_8</definedName>
    <definedName name="CompOt_8">CompOt_8</definedName>
    <definedName name="CompOt_9" localSheetId="0">'Приложение №1 (2.7) ОБЩАЯ'!CompOt_9</definedName>
    <definedName name="CompOt_9">CompOt_9</definedName>
    <definedName name="CompRas">#N/A</definedName>
    <definedName name="CompRas_1">#N/A</definedName>
    <definedName name="CompRas_2">#N/A</definedName>
    <definedName name="CompRas_3">#N/A</definedName>
    <definedName name="CompRas_4" localSheetId="0">'Приложение №1 (2.7) ОБЩАЯ'!CompRas_4</definedName>
    <definedName name="CompRas_4">CompRas_4</definedName>
    <definedName name="CompRas_5" localSheetId="0">'Приложение №1 (2.7) ОБЩАЯ'!CompRas_5</definedName>
    <definedName name="CompRas_5">CompRas_5</definedName>
    <definedName name="CompRas_6" localSheetId="0">'Приложение №1 (2.7) ОБЩАЯ'!CompRas_6</definedName>
    <definedName name="CompRas_6">CompRas_6</definedName>
    <definedName name="CompRas_7" localSheetId="0">'Приложение №1 (2.7) ОБЩАЯ'!CompRas_7</definedName>
    <definedName name="CompRas_7">CompRas_7</definedName>
    <definedName name="CompRas_8" localSheetId="0">'Приложение №1 (2.7) ОБЩАЯ'!CompRas_8</definedName>
    <definedName name="CompRas_8">CompRas_8</definedName>
    <definedName name="CompRas_9" localSheetId="0">'Приложение №1 (2.7) ОБЩАЯ'!CompRas_9</definedName>
    <definedName name="CompRas_9">CompRas_9</definedName>
    <definedName name="conect_name">#REF!</definedName>
    <definedName name="connect_name">#REF!</definedName>
    <definedName name="DaNet">[8]TEHSHEET!$K$5:$K$6</definedName>
    <definedName name="DATASCREEN_PREFIX">[9]SOL!$B$2</definedName>
    <definedName name="ddd">[10]ПРОГНОЗ_1!#REF!</definedName>
    <definedName name="def_gen_book">#REF!</definedName>
    <definedName name="def_templ_book">#REF!</definedName>
    <definedName name="del">#REF!</definedName>
    <definedName name="del_3">#REF!</definedName>
    <definedName name="del_6">"$#ССЫЛ!.$#ССЫЛ!$#ССЫЛ!"</definedName>
    <definedName name="DOLL">#REF!</definedName>
    <definedName name="dsn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d_01">#REF!</definedName>
    <definedName name="ew">#N/A</definedName>
    <definedName name="ew_1">#N/A</definedName>
    <definedName name="ew_2">#N/A</definedName>
    <definedName name="ew_3">#N/A</definedName>
    <definedName name="ew_4" localSheetId="0">'Приложение №1 (2.7) ОБЩАЯ'!ew_4</definedName>
    <definedName name="ew_4">ew_4</definedName>
    <definedName name="ew_5" localSheetId="0">'Приложение №1 (2.7) ОБЩАЯ'!ew_5</definedName>
    <definedName name="ew_5">ew_5</definedName>
    <definedName name="ew_6" localSheetId="0">'Приложение №1 (2.7) ОБЩАЯ'!ew_6</definedName>
    <definedName name="ew_6">ew_6</definedName>
    <definedName name="ew_7" localSheetId="0">'Приложение №1 (2.7) ОБЩАЯ'!ew_7</definedName>
    <definedName name="ew_7">ew_7</definedName>
    <definedName name="ew_8" localSheetId="0">'Приложение №1 (2.7) ОБЩАЯ'!ew_8</definedName>
    <definedName name="ew_8">ew_8</definedName>
    <definedName name="ew_9" localSheetId="0">'Приложение №1 (2.7) ОБЩАЯ'!ew_9</definedName>
    <definedName name="ew_9">ew_9</definedName>
    <definedName name="Excel_BuiltIn__FilterDatabase_1">#REF!</definedName>
    <definedName name="Excel_BuiltIn__FilterDatabase_2">#REF!</definedName>
    <definedName name="Excel_BuiltIn__FilterDatabase_2_1">#REF!</definedName>
    <definedName name="Excel_BuiltIn_Print_Area_1_1">#REF!</definedName>
    <definedName name="Excel_BuiltIn_Print_Area_1_1_1">#REF!</definedName>
    <definedName name="Excel_BuiltIn_Print_Area_10">#REF!</definedName>
    <definedName name="Excel_BuiltIn_Print_Area_11">#REF!</definedName>
    <definedName name="Excel_BuiltIn_Print_Area_2_1">#REF!</definedName>
    <definedName name="Excel_BuiltIn_Print_Area_2_1_1">#REF!</definedName>
    <definedName name="Excel_BuiltIn_Print_Area_3_1">#REF!</definedName>
    <definedName name="Excel_BuiltIn_Print_Area_4">#REF!</definedName>
    <definedName name="Excel_BuiltIn_Print_Area_8_1">#REF!</definedName>
    <definedName name="Excel_BuiltIn_Print_Area_8_1_1">#REF!</definedName>
    <definedName name="Excel_BuiltIn_Print_Titles_10">#REF!</definedName>
    <definedName name="Excel_BuiltIn_Print_Titles_11">#REF!</definedName>
    <definedName name="Excel_BuiltIn_Print_Titles_23">#REF!</definedName>
    <definedName name="Excel_BuiltIn_Print_Titles_3">#REF!</definedName>
    <definedName name="Excel_BuiltIn_Print_Titles_8">#REF!</definedName>
    <definedName name="Excel_BuiltIn_Print_Titles_9">#REF!</definedName>
    <definedName name="ff">#REF!</definedName>
    <definedName name="fffff">'[11]Гр5(о)'!#REF!</definedName>
    <definedName name="fg">#N/A</definedName>
    <definedName name="fg_1">#N/A</definedName>
    <definedName name="fg_2">#N/A</definedName>
    <definedName name="fg_3">#N/A</definedName>
    <definedName name="fg_4" localSheetId="0">'Приложение №1 (2.7) ОБЩАЯ'!fg_4</definedName>
    <definedName name="fg_4">fg_4</definedName>
    <definedName name="fg_5" localSheetId="0">'Приложение №1 (2.7) ОБЩАЯ'!fg_5</definedName>
    <definedName name="fg_5">fg_5</definedName>
    <definedName name="fg_6" localSheetId="0">'Приложение №1 (2.7) ОБЩАЯ'!fg_6</definedName>
    <definedName name="fg_6">fg_6</definedName>
    <definedName name="fg_7" localSheetId="0">'Приложение №1 (2.7) ОБЩАЯ'!fg_7</definedName>
    <definedName name="fg_7">fg_7</definedName>
    <definedName name="fg_8" localSheetId="0">'Приложение №1 (2.7) ОБЩАЯ'!fg_8</definedName>
    <definedName name="fg_8">fg_8</definedName>
    <definedName name="fg_9" localSheetId="0">'Приложение №1 (2.7) ОБЩАЯ'!fg_9</definedName>
    <definedName name="fg_9">fg_9</definedName>
    <definedName name="fil">[12]Титульный!$F$22</definedName>
    <definedName name="g">#REF!</definedName>
    <definedName name="g_1">#REF!</definedName>
    <definedName name="g_3">#REF!</definedName>
    <definedName name="gen_path">#REF!</definedName>
    <definedName name="gggg">#REF!</definedName>
    <definedName name="god">[12]Титульный!$F$12</definedName>
    <definedName name="header1">#REF!</definedName>
    <definedName name="I">#REF!</definedName>
    <definedName name="I_1">#REF!</definedName>
    <definedName name="I_3">#REF!</definedName>
    <definedName name="II">#REF!</definedName>
    <definedName name="II_1">#REF!</definedName>
    <definedName name="II_3">#REF!</definedName>
    <definedName name="III">#REF!</definedName>
    <definedName name="III_1">#REF!</definedName>
    <definedName name="III_3">#REF!</definedName>
    <definedName name="jjjj">'[13]Гр5(о)'!#REF!</definedName>
    <definedName name="k">#N/A</definedName>
    <definedName name="k_1">#N/A</definedName>
    <definedName name="k_2">#N/A</definedName>
    <definedName name="k_3">#N/A</definedName>
    <definedName name="k_4" localSheetId="0">'Приложение №1 (2.7) ОБЩАЯ'!k_4</definedName>
    <definedName name="k_4">k_4</definedName>
    <definedName name="k_5" localSheetId="0">'Приложение №1 (2.7) ОБЩАЯ'!k_5</definedName>
    <definedName name="k_5">k_5</definedName>
    <definedName name="k_6" localSheetId="0">'Приложение №1 (2.7) ОБЩАЯ'!k_6</definedName>
    <definedName name="k_6">k_6</definedName>
    <definedName name="k_7" localSheetId="0">'Приложение №1 (2.7) ОБЩАЯ'!k_7</definedName>
    <definedName name="k_7">k_7</definedName>
    <definedName name="k_8" localSheetId="0">'Приложение №1 (2.7) ОБЩАЯ'!k_8</definedName>
    <definedName name="k_8">k_8</definedName>
    <definedName name="k_9" localSheetId="0">'Приложение №1 (2.7) ОБЩАЯ'!k_9</definedName>
    <definedName name="k_9">k_9</definedName>
    <definedName name="l">#N/A</definedName>
    <definedName name="l_1">#N/A</definedName>
    <definedName name="l_2">#N/A</definedName>
    <definedName name="l_3">#N/A</definedName>
    <definedName name="lk">#REF!</definedName>
    <definedName name="lk_1">#REF!</definedName>
    <definedName name="lk_3">#REF!</definedName>
    <definedName name="ll">#REF!</definedName>
    <definedName name="ll_1">#REF!</definedName>
    <definedName name="ll_3">#REF!</definedName>
    <definedName name="log_file_path">#REF!</definedName>
    <definedName name="logic">[12]TEHSHEET!$B$2:$B$3</definedName>
    <definedName name="M7.3">#N/A</definedName>
    <definedName name="M7.3_1">#N/A</definedName>
    <definedName name="M7.3_2">#N/A</definedName>
    <definedName name="M7.3_3">#N/A</definedName>
    <definedName name="MO_LIST_11">[14]REESTR_MO!$B$64</definedName>
    <definedName name="MO_LIST_46">[15]REESTR_MO!$B$368:$B$374</definedName>
    <definedName name="MONTH">[8]TEHSHEET!$F$4:$F$16</definedName>
    <definedName name="month_list">[16]TEHSHEET!$F$1:$F$13</definedName>
    <definedName name="MR_LIST">[14]REESTR_MO!$D$2:$D$45</definedName>
    <definedName name="MR_LIST_1">[17]REESTR_MO!$D$2:$D$45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ds_val">[15]Титульный!$F$49</definedName>
    <definedName name="ok">[18]Контроль!$E$1</definedName>
    <definedName name="org">[14]Титульный!$J$18</definedName>
    <definedName name="P1_ESO_PROT" hidden="1">#REF!,#REF!,#REF!,#REF!,#REF!,#REF!,#REF!,#REF!</definedName>
    <definedName name="p1_rst_1">[19]Лист2!$A$1</definedName>
    <definedName name="P1_SBT_PROT" hidden="1">#REF!,#REF!,#REF!,#REF!,#REF!,#REF!,#REF!</definedName>
    <definedName name="P1_SCOPE_16_PRT">'[20]16'!$E$15:$I$16,'[20]16'!$E$18:$I$20,'[20]16'!$E$23:$I$23,'[20]16'!$E$26:$I$26,'[20]16'!$E$29:$I$29,'[20]16'!$E$32:$I$32,'[20]16'!$E$35:$I$35,'[20]16'!$B$34,'[20]16'!$B$37</definedName>
    <definedName name="P1_SCOPE_17_PRT" hidden="1">'[20]17'!$E$13:$H$21,'[20]17'!$J$9:$J$11,'[20]17'!$J$13:$J$21,'[20]17'!$E$24:$H$26,'[20]17'!$E$28:$H$36,'[20]17'!$J$24:$M$26,'[20]17'!$J$28:$M$36,'[20]17'!$E$39:$H$41</definedName>
    <definedName name="P1_SCOPE_4_PRT" hidden="1">'[20]4'!$F$23:$I$23,'[20]4'!$F$25:$I$25,'[20]4'!$F$27:$I$31,'[20]4'!$K$14:$N$20,'[20]4'!$K$23:$N$23,'[20]4'!$K$25:$N$25,'[20]4'!$K$27:$N$31,'[20]4'!$P$14:$S$20,'[20]4'!$P$23:$S$23</definedName>
    <definedName name="P1_SCOPE_5_PRT" hidden="1">'[20]5'!$F$23:$I$23,'[20]5'!$F$25:$I$25,'[20]5'!$F$27:$I$31,'[20]5'!$K$14:$N$21,'[20]5'!$K$23:$N$23,'[20]5'!$K$25:$N$25,'[20]5'!$K$27:$N$31,'[20]5'!$P$14:$S$21,'[20]5'!$P$23:$S$23</definedName>
    <definedName name="P1_SCOPE_F1_PRT" hidden="1">'[20]Ф-1 (для АО-энерго)'!$D$74:$E$84,'[20]Ф-1 (для АО-энерго)'!$D$71:$E$72,'[20]Ф-1 (для АО-энерго)'!$D$66:$E$69,'[20]Ф-1 (для АО-энерго)'!$D$61:$E$64</definedName>
    <definedName name="P1_SCOPE_F2_PRT" hidden="1">'[20]Ф-2 (для АО-энерго)'!$G$56,'[20]Ф-2 (для АО-энерго)'!$E$55:$E$56,'[20]Ф-2 (для АО-энерго)'!$F$55:$G$55,'[20]Ф-2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[20]перекрестка!$H$15:$H$19,[20]перекрестка!$H$21:$H$25,[20]перекрестка!$J$14:$J$25,[20]перекрестка!$K$15:$K$19,[20]перекрестка!$K$21:$K$25</definedName>
    <definedName name="P1_SCOPE_SV_LD" hidden="1">#REF!,#REF!,#REF!,#REF!,#REF!,#REF!,#REF!</definedName>
    <definedName name="P1_SCOPE_SV_LD1" hidden="1">[20]свод!$E$70:$M$79,[20]свод!$E$81:$M$81,[20]свод!$E$83:$M$88,[20]свод!$E$90:$M$90,[20]свод!$E$92:$M$96,[20]свод!$E$98:$M$98,[20]свод!$E$101:$M$102</definedName>
    <definedName name="P1_SCOPE_SV_PRT">[20]свод!$E$23:$H$26,[20]свод!$E$28:$I$29,[20]свод!$E$32:$I$36,[20]свод!$E$38:$I$40,[20]свод!$E$42:$I$53,[20]свод!$E$55:$I$56,[20]свод!$E$58:$I$63</definedName>
    <definedName name="P1_SET_PROT" hidden="1">#REF!,#REF!,#REF!,#REF!,#REF!,#REF!,#REF!</definedName>
    <definedName name="P1_SET_PRT" hidden="1">#REF!,#REF!,#REF!,#REF!,#REF!,#REF!,#REF!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2_SCOPE_16_PRT">'[20]16'!$E$38:$I$38,'[20]16'!$E$41:$I$41,'[20]16'!$E$45:$I$47,'[20]16'!$E$49:$I$49,'[20]16'!$E$53:$I$54,'[20]16'!$E$56:$I$57,'[20]16'!$E$59:$I$59,'[20]16'!$E$9:$I$13</definedName>
    <definedName name="P2_SCOPE_4_PRT" hidden="1">'[20]4'!$P$25:$S$25,'[20]4'!$P$27:$S$31,'[20]4'!$U$14:$X$20,'[20]4'!$U$23:$X$23,'[20]4'!$U$25:$X$25,'[20]4'!$U$27:$X$31,'[20]4'!$Z$14:$AC$20,'[20]4'!$Z$23:$AC$23,'[20]4'!$Z$25:$AC$25</definedName>
    <definedName name="P2_SCOPE_5_PRT" hidden="1">'[20]5'!$P$25:$S$25,'[20]5'!$P$27:$S$31,'[20]5'!$U$14:$X$21,'[20]5'!$U$23:$X$23,'[20]5'!$U$25:$X$25,'[20]5'!$U$27:$X$31,'[20]5'!$Z$14:$AC$21,'[20]5'!$Z$23:$AC$23,'[20]5'!$Z$25:$AC$25</definedName>
    <definedName name="P2_SCOPE_F1_PRT" hidden="1">'[20]Ф-1 (для АО-энерго)'!$D$56:$E$59,'[20]Ф-1 (для АО-энерго)'!$D$34:$E$50,'[20]Ф-1 (для АО-энерго)'!$D$32:$E$32,'[20]Ф-1 (для АО-энерго)'!$D$23:$E$30</definedName>
    <definedName name="P2_SCOPE_F2_PRT" hidden="1">'[20]Ф-2 (для АО-энерго)'!$D$52:$G$54,'[20]Ф-2 (для АО-энерго)'!$C$21:$E$42,'[20]Ф-2 (для АО-энерго)'!$A$12:$E$12,'[20]Ф-2 (для АО-энерго)'!$C$8:$E$11</definedName>
    <definedName name="P2_SCOPE_PER_PRT" hidden="1">[20]перекрестка!$N$14:$N$25,[20]перекрестка!$N$27:$N$31,[20]перекрестка!$J$27:$K$31,[20]перекрестка!$F$27:$H$31,[20]перекрестка!$F$33:$H$37</definedName>
    <definedName name="P2_SCOPE_SV_PRT">[20]свод!$E$72:$I$79,[20]свод!$E$81:$I$81,[20]свод!$E$85:$H$88,[20]свод!$E$90:$I$90,[20]свод!$E$107:$I$112,[20]свод!$E$114:$I$117,[20]свод!$E$124:$H$127</definedName>
    <definedName name="P3_SCOPE_F1_PRT" hidden="1">'[20]Ф-1 (для АО-энерго)'!$E$16:$E$17,'[20]Ф-1 (для АО-энерго)'!$C$4:$D$4,'[20]Ф-1 (для АО-энерго)'!$C$7:$E$10,'[20]Ф-1 (для АО-энерго)'!$A$11:$E$11</definedName>
    <definedName name="P3_SCOPE_PER_PRT" hidden="1">[20]перекрестка!$J$33:$K$37,[20]перекрестка!$N$33:$N$37,[20]перекрестка!$F$39:$H$43,[20]перекрестка!$J$39:$K$43,[20]перекрестка!$N$39:$N$43</definedName>
    <definedName name="P3_SCOPE_SV_PRT">[20]свод!$D$135:$G$135,[20]свод!$I$135:$I$141,[20]свод!$H$137:$H$141,[20]свод!$D$138:$G$141,[20]свод!$E$15:$I$16,[20]свод!$E$120:$I$121,[20]свод!$E$18:$I$19</definedName>
    <definedName name="P4_SCOPE_F1_PRT" hidden="1">'[20]Ф-1 (для АО-энерго)'!$C$13:$E$13,'[20]Ф-1 (для АО-энерго)'!$A$14:$E$14,'[20]Ф-1 (для АО-энерго)'!$C$23:$C$50,'[20]Ф-1 (для АО-энерго)'!$C$54:$C$95</definedName>
    <definedName name="P4_SCOPE_PER_PRT" hidden="1">[20]перекрестка!$F$45:$H$49,[20]перекрестка!$J$45:$K$49,[20]перекрестка!$N$45:$N$49,[20]перекрестка!$F$53:$G$64,[20]перекрестка!$H$54:$H$58</definedName>
    <definedName name="P5_SCOPE_PER_PRT">[20]перекрестка!$H$60:$H$64,[20]перекрестка!$J$53:$J$64,[20]перекрестка!$K$54:$K$58,[20]перекрестка!$K$60:$K$64,[20]перекрестка!$N$53:$N$64</definedName>
    <definedName name="P6_SCOPE_PER_PRT">[20]перекрестка!$F$66:$H$70,[20]перекрестка!$J$66:$K$70,[20]перекрестка!$N$66:$N$70,[20]перекрестка!$F$72:$H$76,[20]перекрестка!$J$72:$K$76</definedName>
    <definedName name="P7_SCOPE_PER_PRT">[20]перекрестка!$N$72:$N$76,[20]перекрестка!$F$78:$H$82,[20]перекрестка!$J$78:$K$82,[20]перекрестка!$N$78:$N$82,[20]перекрестка!$F$84:$H$88</definedName>
    <definedName name="P8_SCOPE_PER_PRT" localSheetId="0">[20]перекрестка!$J$84:$K$88,[20]перекрестка!$N$84:$N$88,[20]перекрестка!$F$14:$G$25,P1_SCOPE_PER_PRT,P2_SCOPE_PER_PRT,P3_SCOPE_PER_PRT,P4_SCOPE_PER_PRT</definedName>
    <definedName name="P8_SCOPE_PER_PRT">[20]перекрестка!$J$84:$K$88,[20]перекрестка!$N$84:$N$88,[20]перекрестка!$F$14:$G$25,P1_SCOPE_PER_PRT,P2_SCOPE_PER_PRT,P3_SCOPE_PER_PRT,P4_SCOPE_PER_PRT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olta">'[21]2001'!#REF!</definedName>
    <definedName name="polta_3">'[21]2001'!#REF!</definedName>
    <definedName name="polta_6">"'file:///N:/Балансы для РЭК/STOIMOS.xls'#$'2001'.#ССЫЛ!$#ССЫЛ!"</definedName>
    <definedName name="prd">[14]Титульный!$J$13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T_22" localSheetId="0">P3_PROT_22,P4_PROT_22,P5_PROT_22</definedName>
    <definedName name="PROT_22">P3_PROT_22,P4_PROT_22,P5_PROT_22</definedName>
    <definedName name="QUOTE">[9]SOL!$B$8</definedName>
    <definedName name="r_1">#N/A</definedName>
    <definedName name="r_2">#N/A</definedName>
    <definedName name="r_3">#N/A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COMP">[22]TEHSHEET!$O$204</definedName>
    <definedName name="region_name">[8]Заголовок!$B$20</definedName>
    <definedName name="region_name_1">[23]Заголовок!$B$20</definedName>
    <definedName name="report">#REF!</definedName>
    <definedName name="report_1">#REF!</definedName>
    <definedName name="report_3">#REF!</definedName>
    <definedName name="rng_tab7_01_01">'[15]таблица7 (технол.нужды)'!$I$52:$I$53</definedName>
    <definedName name="rng_tab7_02_01">'[15]таблица7 (хоз.нужды)'!$I$19:$I$20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.1_PRT">'[20]17.1'!$D$14:$F$17,'[20]17.1'!$D$19:$F$22,'[20]17.1'!$I$9:$I$12,'[20]17.1'!$I$14:$I$17,'[20]17.1'!$I$19:$I$22,'[20]17.1'!$D$9:$F$12</definedName>
    <definedName name="Scope_17_PRT" localSheetId="0">P1_SCOPE_16_PRT,P2_SCOPE_16_PRT</definedName>
    <definedName name="Scope_17_PRT">P1_SCOPE_16_PRT,P2_SCOPE_16_PRT</definedName>
    <definedName name="Scope_17_PRT_1" localSheetId="0">P1_SCOPE_16_PRT,P2_SCOPE_16_PRT</definedName>
    <definedName name="Scope_17_PRT_1">P1_SCOPE_16_PRT,P2_SCOPE_16_PRT</definedName>
    <definedName name="SCOPE_24_LD">'[20]24'!$E$8:$J$47,'[20]24'!$E$49:$J$66</definedName>
    <definedName name="SCOPE_24_PRT">'[20]24'!$E$41:$I$41,'[20]24'!$E$34:$I$34,'[20]24'!$E$36:$I$36,'[20]24'!$E$43:$I$43</definedName>
    <definedName name="SCOPE_25_PRT">'[20]25'!$E$20:$I$20,'[20]25'!$E$34:$I$34,'[20]25'!$E$41:$I$41,'[20]25'!$E$8:$I$10</definedName>
    <definedName name="SCOPE_4_PRT" localSheetId="0">'[20]4'!$Z$27:$AC$31,'[20]4'!$F$14:$I$20,P1_SCOPE_4_PRT,P2_SCOPE_4_PRT</definedName>
    <definedName name="SCOPE_4_PRT">'[20]4'!$Z$27:$AC$31,'[20]4'!$F$14:$I$20,P1_SCOPE_4_PRT,P2_SCOPE_4_PRT</definedName>
    <definedName name="SCOPE_5_PRT" localSheetId="0">'[20]5'!$Z$27:$AC$31,'[20]5'!$F$14:$I$21,P1_SCOPE_5_PRT,P2_SCOPE_5_PRT</definedName>
    <definedName name="SCOPE_5_PRT">'[20]5'!$Z$27:$AC$31,'[20]5'!$F$14:$I$21,P1_SCOPE_5_PRT,P2_SCOPE_5_PRT</definedName>
    <definedName name="SCOPE_F1_PRT" localSheetId="0">'[20]Ф-1 (для АО-энерго)'!$D$86:$E$95,P1_SCOPE_F1_PRT,P2_SCOPE_F1_PRT,P3_SCOPE_F1_PRT,P4_SCOPE_F1_PRT</definedName>
    <definedName name="SCOPE_F1_PRT">'[20]Ф-1 (для АО-энерго)'!$D$86:$E$95,P1_SCOPE_F1_PRT,P2_SCOPE_F1_PRT,P3_SCOPE_F1_PRT,P4_SCOPE_F1_PRT</definedName>
    <definedName name="SCOPE_F2_PRT" localSheetId="0">'[20]Ф-2 (для АО-энерго)'!$C$5:$D$5,'[20]Ф-2 (для АО-энерго)'!$C$52:$C$57,'[20]Ф-2 (для АО-энерго)'!$D$57:$G$57,P1_SCOPE_F2_PRT,P2_SCOPE_F2_PRT</definedName>
    <definedName name="SCOPE_F2_PRT">'[20]Ф-2 (для АО-энерго)'!$C$5:$D$5,'[20]Ф-2 (для АО-энерго)'!$C$52:$C$57,'[20]Ф-2 (для АО-энерго)'!$D$57:$G$57,P1_SCOPE_F2_PRT,P2_SCOPE_F2_PRT</definedName>
    <definedName name="SCOPE_FORM46_TE2">#REF!</definedName>
    <definedName name="SCOPE_PER_PRT" localSheetId="0">P5_SCOPE_PER_PRT,P6_SCOPE_PER_PRT,P7_SCOPE_PER_PRT,'Приложение №1 (2.7) ОБЩАЯ'!P8_SCOPE_PER_PRT</definedName>
    <definedName name="SCOPE_PER_PRT">P5_SCOPE_PER_PRT,P6_SCOPE_PER_PRT,P7_SCOPE_PER_PRT,P8_SCOPE_PER_PRT</definedName>
    <definedName name="SCOPE_SPR_PRT">[20]Справочники!$D$21:$J$22,[20]Справочники!$E$13:$I$14,[20]Справочники!$F$27:$H$28</definedName>
    <definedName name="SCOPE_SV_LD1" localSheetId="0">[20]свод!$E$104:$M$104,[20]свод!$E$106:$M$117,[20]свод!$E$120:$M$121,[20]свод!$E$123:$M$127,[20]свод!$E$10:$M$68,P1_SCOPE_SV_LD1</definedName>
    <definedName name="SCOPE_SV_LD1">[20]свод!$E$104:$M$104,[20]свод!$E$106:$M$117,[20]свод!$E$120:$M$121,[20]свод!$E$123:$M$127,[20]свод!$E$10:$M$68,P1_SCOPE_SV_LD1</definedName>
    <definedName name="SCOPE_SV_PRT" localSheetId="0">P1_SCOPE_SV_PRT,P2_SCOPE_SV_PRT,P3_SCOPE_SV_PRT</definedName>
    <definedName name="SCOPE_SV_PRT">P1_SCOPE_SV_PRT,P2_SCOPE_SV_PRT,P3_SCOPE_SV_PRT</definedName>
    <definedName name="score_per_prt2">#N/A</definedName>
    <definedName name="set_01">[15]TEHSHEET!$E$2:$E$3</definedName>
    <definedName name="set_02">[15]TEHSHEET!$F$2:$F$3</definedName>
    <definedName name="set_03">[15]TEHSHEET!$G$2:$G$3</definedName>
    <definedName name="set_04">[15]TEHSHEET!$H$2:$H$11</definedName>
    <definedName name="set_05">[15]TEHSHEET!$I$2:$I$4</definedName>
    <definedName name="set_06">[15]TEHSHEET!$J$2:$J$5</definedName>
    <definedName name="SP1_3">[2]FES!#REF!</definedName>
    <definedName name="SP1_6">"'file://S555/My Documents/B-PL/NBPL/_FES.XLS'#$FES.$#ССЫЛ!$#ССЫЛ!:$#ССЫЛ!$#ССЫЛ!"</definedName>
    <definedName name="SP10_3">[2]FES!#REF!</definedName>
    <definedName name="SP10_6">"'file://S555/My Documents/B-PL/NBPL/_FES.XLS'#$FES.$#ССЫЛ!$#ССЫЛ!:$#ССЫЛ!$#ССЫЛ!"</definedName>
    <definedName name="SP11_3">[2]FES!#REF!</definedName>
    <definedName name="SP11_6">"'file://S555/My Documents/B-PL/NBPL/_FES.XLS'#$FES.$#ССЫЛ!$#ССЫЛ!:$#ССЫЛ!$#ССЫЛ!"</definedName>
    <definedName name="SP12_3">[2]FES!#REF!</definedName>
    <definedName name="SP12_6">"'file://S555/My Documents/B-PL/NBPL/_FES.XLS'#$FES.$#ССЫЛ!$#ССЫЛ!:$#ССЫЛ!$#ССЫЛ!"</definedName>
    <definedName name="SP13_3">[2]FES!#REF!</definedName>
    <definedName name="SP13_6">"'file://S555/My Documents/B-PL/NBPL/_FES.XLS'#$FES.$#ССЫЛ!$#ССЫЛ!:$#ССЫЛ!$#ССЫЛ!"</definedName>
    <definedName name="SP14_3">[2]FES!#REF!</definedName>
    <definedName name="SP14_6">"'file://S555/My Documents/B-PL/NBPL/_FES.XLS'#$FES.$#ССЫЛ!$#ССЫЛ!:$#ССЫЛ!$#ССЫЛ!"</definedName>
    <definedName name="SP15_3">[2]FES!#REF!</definedName>
    <definedName name="SP15_6">"'file://S555/My Documents/B-PL/NBPL/_FES.XLS'#$FES.$#ССЫЛ!$#ССЫЛ!:$#ССЫЛ!$#ССЫЛ!"</definedName>
    <definedName name="SP16_3">[2]FES!#REF!</definedName>
    <definedName name="SP16_6">"'file://S555/My Documents/B-PL/NBPL/_FES.XLS'#$FES.$#ССЫЛ!$#ССЫЛ!:$#ССЫЛ!$#ССЫЛ!"</definedName>
    <definedName name="SP17_3">[2]FES!#REF!</definedName>
    <definedName name="SP17_6">"'file://S555/My Documents/B-PL/NBPL/_FES.XLS'#$FES.$#ССЫЛ!$#ССЫЛ!:$#ССЫЛ!$#ССЫЛ!"</definedName>
    <definedName name="SP18_3">[2]FES!#REF!</definedName>
    <definedName name="SP18_6">"'file://S555/My Documents/B-PL/NBPL/_FES.XLS'#$FES.$#ССЫЛ!$#ССЫЛ!:$#ССЫЛ!$#ССЫЛ!"</definedName>
    <definedName name="SP19_3">[2]FES!#REF!</definedName>
    <definedName name="SP19_6">"'file://S555/My Documents/B-PL/NBPL/_FES.XLS'#$FES.$#ССЫЛ!$#ССЫЛ!:$#ССЫЛ!$#ССЫЛ!"</definedName>
    <definedName name="SP2_3">[2]FES!#REF!</definedName>
    <definedName name="SP2_6">"'file://S555/My Documents/B-PL/NBPL/_FES.XLS'#$FES.$#ССЫЛ!$#ССЫЛ!:$#ССЫЛ!$#ССЫЛ!"</definedName>
    <definedName name="SP20_3">[2]FES!#REF!</definedName>
    <definedName name="SP20_6">"'file://S555/My Documents/B-PL/NBPL/_FES.XLS'#$FES.$#ССЫЛ!$#ССЫЛ!:$#ССЫЛ!$#ССЫЛ!"</definedName>
    <definedName name="SP3_3">[2]FES!#REF!</definedName>
    <definedName name="SP3_6">"'file://S555/My Documents/B-PL/NBPL/_FES.XLS'#$FES.$#ССЫЛ!$#ССЫЛ!:$#ССЫЛ!$#ССЫЛ!"</definedName>
    <definedName name="SP4_3">[2]FES!#REF!</definedName>
    <definedName name="SP4_6">"'file://S555/My Documents/B-PL/NBPL/_FES.XLS'#$FES.$#ССЫЛ!$#ССЫЛ!:$#ССЫЛ!$#ССЫЛ!"</definedName>
    <definedName name="SP5_3">[2]FES!#REF!</definedName>
    <definedName name="SP5_6">"'file://S555/My Documents/B-PL/NBPL/_FES.XLS'#$FES.$#ССЫЛ!$#ССЫЛ!:$#ССЫЛ!$#ССЫЛ!"</definedName>
    <definedName name="SP7_3">[2]FES!#REF!</definedName>
    <definedName name="SP7_6">"'file://S555/My Documents/B-PL/NBPL/_FES.XLS'#$FES.$#ССЫЛ!$#ССЫЛ!:$#ССЫЛ!$#ССЫЛ!"</definedName>
    <definedName name="SP8_3">[2]FES!#REF!</definedName>
    <definedName name="SP8_6">"'file://S555/My Documents/B-PL/NBPL/_FES.XLS'#$FES.$#ССЫЛ!$#ССЫЛ!:$#ССЫЛ!$#ССЫЛ!"</definedName>
    <definedName name="SP9_3">[2]FES!#REF!</definedName>
    <definedName name="SP9_6">"'file://S555/My Documents/B-PL/NBPL/_FES.XLS'#$FES.$#ССЫЛ!$#ССЫЛ!:$#ССЫЛ!$#ССЫЛ!"</definedName>
    <definedName name="T2_DiapProt" localSheetId="0">P1_T2_DiapProt,P2_T2_DiapProt</definedName>
    <definedName name="T2_DiapProt">P1_T2_DiapProt,P2_T2_DiapProt</definedName>
    <definedName name="T6_Protect" localSheetId="0">P1_T6_Protect,P2_T6_Protect</definedName>
    <definedName name="T6_Protect">P1_T6_Protect,P2_T6_Protect</definedName>
    <definedName name="table">#REF!</definedName>
    <definedName name="TARGET">[24]TEHSHEET!$I$42:$I$45</definedName>
    <definedName name="templ_path">#REF!</definedName>
    <definedName name="TEMPLATE_CODE">[9]SOL!$B$1</definedName>
    <definedName name="time">#REF!</definedName>
    <definedName name="tit_inx_group">[14]TEHSHEET!$V$2:$V$11</definedName>
    <definedName name="tit_Otv_FIO">[14]Титульный!$J$43</definedName>
    <definedName name="tit_Ruk_FIO">[14]Титульный!$J$35</definedName>
    <definedName name="title">#REF!</definedName>
    <definedName name="title_1">#REF!</definedName>
    <definedName name="title_3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PL_TEMPLATE_MODE">[25]Свод!$H$4</definedName>
    <definedName name="TOTAL" localSheetId="0">P1_TOTAL,P2_TOTAL,P3_TOTAL,P4_TOTAL,P5_TOTAL</definedName>
    <definedName name="TOTAL">P1_TOTAL,P2_TOTAL,P3_TOTAL,P4_TOTAL,P5_TOTAL</definedName>
    <definedName name="type_usl">[12]Титульный!$F$19</definedName>
    <definedName name="ved">[12]Титульный!$F$18</definedName>
    <definedName name="version">[14]Инструкция!$B$3</definedName>
    <definedName name="version_1">[23]Инструкция!$C$2</definedName>
    <definedName name="VID_TOPL">[25]TECHSHEET!$E$2:$E$8</definedName>
    <definedName name="work_path">#REF!</definedName>
    <definedName name="www" localSheetId="0">'Приложение №1 (2.7) ОБЩАЯ'!www</definedName>
    <definedName name="www">[0]!www</definedName>
    <definedName name="www_3" localSheetId="0">'Приложение №1 (2.7) ОБЩАЯ'!www_3</definedName>
    <definedName name="www_3">www_3</definedName>
    <definedName name="www_4" localSheetId="0">'Приложение №1 (2.7) ОБЩАЯ'!www_4</definedName>
    <definedName name="www_4">www_4</definedName>
    <definedName name="www_5" localSheetId="0">'Приложение №1 (2.7) ОБЩАЯ'!www_5</definedName>
    <definedName name="www_5">www_5</definedName>
    <definedName name="www_6" localSheetId="0">'Приложение №1 (2.7) ОБЩАЯ'!www_6</definedName>
    <definedName name="www_6">www_6</definedName>
    <definedName name="www_7" localSheetId="0">'Приложение №1 (2.7) ОБЩАЯ'!www_7</definedName>
    <definedName name="www_7">www_7</definedName>
    <definedName name="www_8" localSheetId="0">'Приложение №1 (2.7) ОБЩАЯ'!www_8</definedName>
    <definedName name="www_8">www_8</definedName>
    <definedName name="www_9" localSheetId="0">'Приложение №1 (2.7) ОБЩАЯ'!www_9</definedName>
    <definedName name="www_9">www_9</definedName>
    <definedName name="XLMNS_URL">[9]SOL!$B$7</definedName>
    <definedName name="Year">[8]TEHSHEET!$I$4:$I$18</definedName>
    <definedName name="YEAR_01">[15]TEHSHEET!$D$2:$D$6</definedName>
    <definedName name="year_list">[16]TEHSHEET!$I$1:$I$15</definedName>
    <definedName name="Years">[14]TEHSHEET!$E$5:$E$16</definedName>
    <definedName name="YES_NO">[25]TECHSHEET!$B$1:$B$2</definedName>
    <definedName name="YesNo">[15]TEHSHEET!$B$2:$B$3</definedName>
    <definedName name="А">#REF!</definedName>
    <definedName name="А1">#REF!</definedName>
    <definedName name="А1_1">#REF!</definedName>
    <definedName name="А1_14">#REF!</definedName>
    <definedName name="А1_16">#REF!</definedName>
    <definedName name="А1_17">#REF!</definedName>
    <definedName name="А1_2">#REF!</definedName>
    <definedName name="А1_23">#REF!</definedName>
    <definedName name="А1_3">#REF!</definedName>
    <definedName name="А1_4">#REF!</definedName>
    <definedName name="А1_5">#REF!</definedName>
    <definedName name="а2">#REF!</definedName>
    <definedName name="а2_1">#REF!</definedName>
    <definedName name="а2_3">#REF!</definedName>
    <definedName name="а3">#REF!</definedName>
    <definedName name="а3_1">#REF!</definedName>
    <definedName name="а3_3">#REF!</definedName>
    <definedName name="а4">#REF!</definedName>
    <definedName name="а4_1">#REF!</definedName>
    <definedName name="а4_3">#REF!</definedName>
    <definedName name="а5">#REF!</definedName>
    <definedName name="а5_1">#REF!</definedName>
    <definedName name="а5_3">#REF!</definedName>
    <definedName name="а6">#REF!</definedName>
    <definedName name="а6_1">#REF!</definedName>
    <definedName name="а6_3">#REF!</definedName>
    <definedName name="а7">#REF!</definedName>
    <definedName name="а7_1">#REF!</definedName>
    <definedName name="а7_3">#REF!</definedName>
    <definedName name="аа" localSheetId="0">'Приложение №1 (2.7) ОБЩАЯ'!аа</definedName>
    <definedName name="аа">[0]!аа</definedName>
    <definedName name="ааа" localSheetId="0">'Приложение №1 (2.7) ОБЩАЯ'!ааа</definedName>
    <definedName name="ааа">[0]!ааа</definedName>
    <definedName name="аааа" localSheetId="0">'Приложение №1 (2.7) ОБЩАЯ'!аааа</definedName>
    <definedName name="аааа">[0]!аааа</definedName>
    <definedName name="аааа_3" localSheetId="0">'Приложение №1 (2.7) ОБЩАЯ'!аааа_3</definedName>
    <definedName name="аааа_3">аааа_3</definedName>
    <definedName name="аааа_4" localSheetId="0">'Приложение №1 (2.7) ОБЩАЯ'!аааа_4</definedName>
    <definedName name="аааа_4">аааа_4</definedName>
    <definedName name="аааа_5" localSheetId="0">'Приложение №1 (2.7) ОБЩАЯ'!аааа_5</definedName>
    <definedName name="аааа_5">аааа_5</definedName>
    <definedName name="аааа_6" localSheetId="0">'Приложение №1 (2.7) ОБЩАЯ'!аааа_6</definedName>
    <definedName name="аааа_6">аааа_6</definedName>
    <definedName name="аааа_7" localSheetId="0">'Приложение №1 (2.7) ОБЩАЯ'!аааа_7</definedName>
    <definedName name="аааа_7">аааа_7</definedName>
    <definedName name="аааа_8" localSheetId="0">'Приложение №1 (2.7) ОБЩАЯ'!аааа_8</definedName>
    <definedName name="аааа_8">аааа_8</definedName>
    <definedName name="аааа_9" localSheetId="0">'Приложение №1 (2.7) ОБЩАЯ'!аааа_9</definedName>
    <definedName name="аааа_9">аааа_9</definedName>
    <definedName name="авг">#REF!</definedName>
    <definedName name="авг_1">#REF!</definedName>
    <definedName name="авг_1_1">#REF!</definedName>
    <definedName name="авг_1_3">#REF!</definedName>
    <definedName name="авг_3">#REF!</definedName>
    <definedName name="амор" localSheetId="0">'Приложение №1 (2.7) ОБЩАЯ'!амор</definedName>
    <definedName name="амор">[0]!амор</definedName>
    <definedName name="АнМ">'[26]Гр5(о)'!#REF!</definedName>
    <definedName name="ап">#N/A</definedName>
    <definedName name="ап_1">#N/A</definedName>
    <definedName name="ап_2">#N/A</definedName>
    <definedName name="ап_3">#N/A</definedName>
    <definedName name="апр" localSheetId="0">P1_T6_Protect,P2_T6_Protect</definedName>
    <definedName name="апр">P1_T6_Protect,P2_T6_Protect</definedName>
    <definedName name="апр_1" localSheetId="0">P1_T6_Protect,P2_T6_Protect</definedName>
    <definedName name="апр_1">P1_T6_Protect,P2_T6_Protect</definedName>
    <definedName name="апро">[27]Лист2!$A$1:$A$3</definedName>
    <definedName name="б" localSheetId="0">'Приложение №1 (2.7) ОБЩАЯ'!б</definedName>
    <definedName name="б">[0]!б</definedName>
    <definedName name="б_3" localSheetId="0">'Приложение №1 (2.7) ОБЩАЯ'!б_3</definedName>
    <definedName name="б_3">б_3</definedName>
    <definedName name="б_4" localSheetId="0">'Приложение №1 (2.7) ОБЩАЯ'!б_4</definedName>
    <definedName name="б_4">б_4</definedName>
    <definedName name="б_5" localSheetId="0">'Приложение №1 (2.7) ОБЩАЯ'!б_5</definedName>
    <definedName name="б_5">б_5</definedName>
    <definedName name="б_6" localSheetId="0">'Приложение №1 (2.7) ОБЩАЯ'!б_6</definedName>
    <definedName name="б_6">б_6</definedName>
    <definedName name="б_7" localSheetId="0">'Приложение №1 (2.7) ОБЩАЯ'!б_7</definedName>
    <definedName name="б_7">б_7</definedName>
    <definedName name="б_8" localSheetId="0">'Приложение №1 (2.7) ОБЩАЯ'!б_8</definedName>
    <definedName name="б_8">б_8</definedName>
    <definedName name="б_9" localSheetId="0">'Приложение №1 (2.7) ОБЩАЯ'!б_9</definedName>
    <definedName name="б_9">б_9</definedName>
    <definedName name="база">[28]База!$B$6:$L$32</definedName>
    <definedName name="база_1">[29]База!$B$6:$L$32</definedName>
    <definedName name="базау">#REF!</definedName>
    <definedName name="базау_1">[29]База!$C$6:$L$32</definedName>
    <definedName name="в23ё">#N/A</definedName>
    <definedName name="в23ё_1">#N/A</definedName>
    <definedName name="в23ё_2">#N/A</definedName>
    <definedName name="в23ё_3">#N/A</definedName>
    <definedName name="в23ё_4" localSheetId="0">'Приложение №1 (2.7) ОБЩАЯ'!в23ё_4</definedName>
    <definedName name="в23ё_4">в23ё_4</definedName>
    <definedName name="в23ё_5" localSheetId="0">'Приложение №1 (2.7) ОБЩАЯ'!в23ё_5</definedName>
    <definedName name="в23ё_5">в23ё_5</definedName>
    <definedName name="в23ё_6" localSheetId="0">'Приложение №1 (2.7) ОБЩАЯ'!в23ё_6</definedName>
    <definedName name="в23ё_6">в23ё_6</definedName>
    <definedName name="в23ё_7" localSheetId="0">'Приложение №1 (2.7) ОБЩАЯ'!в23ё_7</definedName>
    <definedName name="в23ё_7">в23ё_7</definedName>
    <definedName name="в23ё_8" localSheetId="0">'Приложение №1 (2.7) ОБЩАЯ'!в23ё_8</definedName>
    <definedName name="в23ё_8">в23ё_8</definedName>
    <definedName name="в23ё_9" localSheetId="0">'Приложение №1 (2.7) ОБЩАЯ'!в23ё_9</definedName>
    <definedName name="в23ё_9">в23ё_9</definedName>
    <definedName name="вапв" localSheetId="0">P1_T2.1?Protection</definedName>
    <definedName name="вапв">P1_T2.1?Protection</definedName>
    <definedName name="вапв_1">#NAME?</definedName>
    <definedName name="вв">#N/A</definedName>
    <definedName name="вв_1">#N/A</definedName>
    <definedName name="вв_2">#N/A</definedName>
    <definedName name="вв_3">#N/A</definedName>
    <definedName name="вв_4" localSheetId="0">'Приложение №1 (2.7) ОБЩАЯ'!вв_4</definedName>
    <definedName name="вв_4">вв_4</definedName>
    <definedName name="вв_5" localSheetId="0">'Приложение №1 (2.7) ОБЩАЯ'!вв_5</definedName>
    <definedName name="вв_5">вв_5</definedName>
    <definedName name="вв_6" localSheetId="0">'Приложение №1 (2.7) ОБЩАЯ'!вв_6</definedName>
    <definedName name="вв_6">вв_6</definedName>
    <definedName name="вв_7" localSheetId="0">'Приложение №1 (2.7) ОБЩАЯ'!вв_7</definedName>
    <definedName name="вв_7">вв_7</definedName>
    <definedName name="вв_8" localSheetId="0">'Приложение №1 (2.7) ОБЩАЯ'!вв_8</definedName>
    <definedName name="вв_8">вв_8</definedName>
    <definedName name="вв_9" localSheetId="0">'Приложение №1 (2.7) ОБЩАЯ'!вв_9</definedName>
    <definedName name="вв_9">вв_9</definedName>
    <definedName name="Вид_работ">#REF!</definedName>
    <definedName name="Вид_работ_1">#REF!</definedName>
    <definedName name="Вид_работ_3">#REF!</definedName>
    <definedName name="второй">#REF!</definedName>
    <definedName name="Вып_н_2003">'[30]Текущие цены'!#REF!</definedName>
    <definedName name="вып_н_2004">'[30]Текущие цены'!#REF!</definedName>
    <definedName name="Вып_ОФ_с_пц">[30]рабочий!$Y$202:$AP$224</definedName>
    <definedName name="Вып_оф_с_цпг">'[30]Текущие цены'!#REF!</definedName>
    <definedName name="Вып_с_новых_ОФ">[30]рабочий!$Y$277:$AP$299</definedName>
    <definedName name="ГВ">#N/A</definedName>
    <definedName name="ГВ_1">#N/A</definedName>
    <definedName name="гд">#REF!</definedName>
    <definedName name="гд_1">[31]Стр1!$Y$4</definedName>
    <definedName name="гд_1_1">[32]Стр1!$Y$4</definedName>
    <definedName name="гд_3">#REF!</definedName>
    <definedName name="гдс">#REF!</definedName>
    <definedName name="гдс_1">#REF!</definedName>
    <definedName name="гдс_1_1">#REF!</definedName>
    <definedName name="гдс_1_3">#REF!</definedName>
    <definedName name="гдс_3">#REF!</definedName>
    <definedName name="год">[33]отопл!$F$11</definedName>
    <definedName name="График">"Диагр. 4"</definedName>
    <definedName name="гэс3">#N/A</definedName>
    <definedName name="гэс3_1">#N/A</definedName>
    <definedName name="гэс3_2">#N/A</definedName>
    <definedName name="гэс3_3">#N/A</definedName>
    <definedName name="д1">#REF!</definedName>
    <definedName name="д1_1">#REF!</definedName>
    <definedName name="д1_1_1">#REF!</definedName>
    <definedName name="д1_1_3">#REF!</definedName>
    <definedName name="д1_3">#REF!</definedName>
    <definedName name="д2">#REF!</definedName>
    <definedName name="д2_1">#REF!</definedName>
    <definedName name="д2_1_1">#REF!</definedName>
    <definedName name="д2_1_3">#REF!</definedName>
    <definedName name="д2_3">#REF!</definedName>
    <definedName name="д3">#REF!</definedName>
    <definedName name="д3_1">#REF!</definedName>
    <definedName name="д3_1_1">#REF!</definedName>
    <definedName name="д3_1_3">#REF!</definedName>
    <definedName name="д3_3">#REF!</definedName>
    <definedName name="д4">#REF!</definedName>
    <definedName name="д4_1">#REF!</definedName>
    <definedName name="д4_1_1">#REF!</definedName>
    <definedName name="д4_1_3">#REF!</definedName>
    <definedName name="д4_3">#REF!</definedName>
    <definedName name="д5">#REF!</definedName>
    <definedName name="д5_1">#REF!</definedName>
    <definedName name="д5_1_1">#REF!</definedName>
    <definedName name="д5_1_3">#REF!</definedName>
    <definedName name="д5_3">#REF!</definedName>
    <definedName name="д6">#REF!</definedName>
    <definedName name="д6_1">#REF!</definedName>
    <definedName name="д6_1_1">#REF!</definedName>
    <definedName name="д6_1_3">#REF!</definedName>
    <definedName name="д6_3">#REF!</definedName>
    <definedName name="д7">#REF!</definedName>
    <definedName name="д7_1">#REF!</definedName>
    <definedName name="д7_1_1">#REF!</definedName>
    <definedName name="д7_1_3">#REF!</definedName>
    <definedName name="д7_3">#REF!</definedName>
    <definedName name="д8">#REF!</definedName>
    <definedName name="д8_1">#REF!</definedName>
    <definedName name="д8_1_1">#REF!</definedName>
    <definedName name="д8_1_3">#REF!</definedName>
    <definedName name="д8_3">#REF!</definedName>
    <definedName name="Дефл_ц_пред_год">'[30]Текущие цены'!$AT$36:$BK$58</definedName>
    <definedName name="Дефлятор_годовой">'[30]Текущие цены'!$Y$4:$AP$27</definedName>
    <definedName name="Дефлятор_цепной">'[30]Текущие цены'!$Y$36:$AP$58</definedName>
    <definedName name="Диаметры">#REF!</definedName>
    <definedName name="Диаметры_1">#REF!</definedName>
    <definedName name="Диаметры_3">#REF!</definedName>
    <definedName name="до_0_01_включительно">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ДС">#REF!</definedName>
    <definedName name="Заводы">#REF!</definedName>
    <definedName name="Заводы_1">#REF!</definedName>
    <definedName name="Заводы_3">#REF!</definedName>
    <definedName name="_xlnm.Print_Titles" localSheetId="0">'Приложение №1 (2.7) ОБЩАЯ'!$A:$C,'Приложение №1 (2.7) ОБЩАЯ'!$7:$9</definedName>
    <definedName name="ЗП1">[34]Лист13!$A$2</definedName>
    <definedName name="ЗП2">[34]Лист13!$B$2</definedName>
    <definedName name="ЗП3">[34]Лист13!$C$2</definedName>
    <definedName name="ЗП4">[34]Лист13!$D$2</definedName>
    <definedName name="Изол_вход">#REF!</definedName>
    <definedName name="Изол_вход_1">#REF!</definedName>
    <definedName name="Изол_вход_3">#REF!</definedName>
    <definedName name="иии">#REF!</definedName>
    <definedName name="ииииииииииииииииииииииииииииииииииииииииииииииииииииииииииииии" localSheetId="0">'Приложение №1 (2.7) ОБЩАЯ'!ииииииииииииииииииииииииииииииииииииииииииииииииииииииииииииии</definedName>
    <definedName name="ииииииииииииииииииииииииииииииииииииииииииииииииииииииииииииии">[0]!ииииииииииииииииииииииииииииииииииииииииииииииииииииииииииииии</definedName>
    <definedName name="ииииииииииииииииииииииииииииииииииииииииииииииииииииииииииииии_3" localSheetId="0">'Приложение №1 (2.7) ОБЩАЯ'!ииииииииииииииииииииииииииииииииииииииииииииииииииииииииииииии_3</definedName>
    <definedName name="ииииииииииииииииииииииииииииииииииииииииииииииииииииииииииииии_3">ииииииииииииииииииииииииииииииииииииииииииииииииииииииииииииии_3</definedName>
    <definedName name="ииииииииииииииииииииииииииииииииииииииииииииииииииииииииииииии_4" localSheetId="0">'Приложение №1 (2.7) ОБЩАЯ'!ииииииииииииииииииииииииииииииииииииииииииииииииииииииииииииии_4</definedName>
    <definedName name="ииииииииииииииииииииииииииииииииииииииииииииииииииииииииииииии_4">ииииииииииииииииииииииииииииииииииииииииииииииииииииииииииииии_4</definedName>
    <definedName name="ииииииииииииииииииииииииииииииииииииииииииииииииииииииииииииии_5" localSheetId="0">'Приложение №1 (2.7) ОБЩАЯ'!ииииииииииииииииииииииииииииииииииииииииииииииииииииииииииииии_5</definedName>
    <definedName name="ииииииииииииииииииииииииииииииииииииииииииииииииииииииииииииии_5">ииииииииииииииииииииииииииииииииииииииииииииииииииииииииииииии_5</definedName>
    <definedName name="ииииииииииииииииииииииииииииииииииииииииииииииииииииииииииииии_6" localSheetId="0">'Приложение №1 (2.7) ОБЩАЯ'!ииииииииииииииииииииииииииииииииииииииииииииииииииииииииииииии_6</definedName>
    <definedName name="ииииииииииииииииииииииииииииииииииииииииииииииииииииииииииииии_6">ииииииииииииииииииииииииииииииииииииииииииииииииииииииииииииии_6</definedName>
    <definedName name="ииииииииииииииииииииииииииииииииииииииииииииииииииииииииииииии_7" localSheetId="0">'Приложение №1 (2.7) ОБЩАЯ'!ииииииииииииииииииииииииииииииииииииииииииииииииииииииииииииии_7</definedName>
    <definedName name="ииииииииииииииииииииииииииииииииииииииииииииииииииииииииииииии_7">ииииииииииииииииииииииииииииииииииииииииииииииииииииииииииииии_7</definedName>
    <definedName name="ииииииииииииииииииииииииииииииииииииииииииииииииииииииииииииии_8" localSheetId="0">'Приложение №1 (2.7) ОБЩАЯ'!ииииииииииииииииииииииииииииииииииииииииииииииииииииииииииииии_8</definedName>
    <definedName name="ииииииииииииииииииииииииииииииииииииииииииииииииииииииииииииии_8">ииииииииииииииииииииииииииииииииииииииииииииииииииииииииииииии_8</definedName>
    <definedName name="ииииииииииииииииииииииииииииииииииииииииииииииииииииииииииииии_9" localSheetId="0">'Приложение №1 (2.7) ОБЩАЯ'!ииииииииииииииииииииииииииииииииииииииииииииииииииииииииииииии_9</definedName>
    <definedName name="ииииииииииииииииииииииииииииииииииииииииииииииииииииииииииииии_9">ииииииииииииииииииииииииииииииииииииииииииииииииииииииииииииии_9</definedName>
    <definedName name="индекс">#REF!</definedName>
    <definedName name="индекс_1">#REF!</definedName>
    <definedName name="индекс_1_1">#REF!</definedName>
    <definedName name="индекс_1_3">#REF!</definedName>
    <definedName name="индекс_3">#REF!</definedName>
    <definedName name="инн">[31]Список!#REF!</definedName>
    <definedName name="инн_1">[32]Список!#REF!</definedName>
    <definedName name="инн_3">[31]Список!#REF!</definedName>
    <definedName name="инсп">#REF!</definedName>
    <definedName name="инсп_1">#REF!</definedName>
    <definedName name="инсп_3">#REF!</definedName>
    <definedName name="ио" localSheetId="0">'Приложение №1 (2.7) ОБЩАЯ'!ио</definedName>
    <definedName name="ио">[0]!ио</definedName>
    <definedName name="ио_3" localSheetId="0">'Приложение №1 (2.7) ОБЩАЯ'!ио_3</definedName>
    <definedName name="ио_3">ио_3</definedName>
    <definedName name="ио_4" localSheetId="0">'Приложение №1 (2.7) ОБЩАЯ'!ио_4</definedName>
    <definedName name="ио_4">ио_4</definedName>
    <definedName name="ио_5" localSheetId="0">'Приложение №1 (2.7) ОБЩАЯ'!ио_5</definedName>
    <definedName name="ио_5">ио_5</definedName>
    <definedName name="ио_6" localSheetId="0">'Приложение №1 (2.7) ОБЩАЯ'!ио_6</definedName>
    <definedName name="ио_6">ио_6</definedName>
    <definedName name="ио_7" localSheetId="0">'Приложение №1 (2.7) ОБЩАЯ'!ио_7</definedName>
    <definedName name="ио_7">ио_7</definedName>
    <definedName name="ио_8" localSheetId="0">'Приложение №1 (2.7) ОБЩАЯ'!ио_8</definedName>
    <definedName name="ио_8">ио_8</definedName>
    <definedName name="ио_9" localSheetId="0">'Приложение №1 (2.7) ОБЩАЯ'!ио_9</definedName>
    <definedName name="ио_9">ио_9</definedName>
    <definedName name="ирина">#N/A</definedName>
    <definedName name="ирина_1">#N/A</definedName>
    <definedName name="ирина_2">#N/A</definedName>
    <definedName name="ирина_3">#N/A</definedName>
    <definedName name="й" localSheetId="0">P1_SCOPE_16_PRT,P2_SCOPE_16_PRT</definedName>
    <definedName name="й">P1_SCOPE_16_PRT,P2_SCOPE_16_PRT</definedName>
    <definedName name="й_1">#N/A</definedName>
    <definedName name="й_2">#N/A</definedName>
    <definedName name="й_3">#N/A</definedName>
    <definedName name="й_4" localSheetId="0">'Приложение №1 (2.7) ОБЩАЯ'!й_4</definedName>
    <definedName name="й_4">й_4</definedName>
    <definedName name="й_5" localSheetId="0">'Приложение №1 (2.7) ОБЩАЯ'!й_5</definedName>
    <definedName name="й_5">й_5</definedName>
    <definedName name="й_6" localSheetId="0">'Приложение №1 (2.7) ОБЩАЯ'!й_6</definedName>
    <definedName name="й_6">й_6</definedName>
    <definedName name="й_7" localSheetId="0">'Приложение №1 (2.7) ОБЩАЯ'!й_7</definedName>
    <definedName name="й_7">й_7</definedName>
    <definedName name="й_8" localSheetId="0">'Приложение №1 (2.7) ОБЩАЯ'!й_8</definedName>
    <definedName name="й_8">й_8</definedName>
    <definedName name="й_9" localSheetId="0">'Приложение №1 (2.7) ОБЩАЯ'!й_9</definedName>
    <definedName name="й_9">й_9</definedName>
    <definedName name="йй">#N/A</definedName>
    <definedName name="йй_1">#N/A</definedName>
    <definedName name="йй_2">#N/A</definedName>
    <definedName name="йй_3">#N/A</definedName>
    <definedName name="йй_4" localSheetId="0">'Приложение №1 (2.7) ОБЩАЯ'!йй_4</definedName>
    <definedName name="йй_4">йй_4</definedName>
    <definedName name="йй_5" localSheetId="0">'Приложение №1 (2.7) ОБЩАЯ'!йй_5</definedName>
    <definedName name="йй_5">йй_5</definedName>
    <definedName name="йй_6" localSheetId="0">'Приложение №1 (2.7) ОБЩАЯ'!йй_6</definedName>
    <definedName name="йй_6">йй_6</definedName>
    <definedName name="йй_7" localSheetId="0">'Приложение №1 (2.7) ОБЩАЯ'!йй_7</definedName>
    <definedName name="йй_7">йй_7</definedName>
    <definedName name="йй_8" localSheetId="0">'Приложение №1 (2.7) ОБЩАЯ'!йй_8</definedName>
    <definedName name="йй_8">йй_8</definedName>
    <definedName name="йй_9" localSheetId="0">'Приложение №1 (2.7) ОБЩАЯ'!йй_9</definedName>
    <definedName name="йй_9">йй_9</definedName>
    <definedName name="ййй" localSheetId="0">'Приложение №1 (2.7) ОБЩАЯ'!ййй</definedName>
    <definedName name="ййй">[0]!ййй</definedName>
    <definedName name="ййй_3" localSheetId="0">'Приложение №1 (2.7) ОБЩАЯ'!ййй_3</definedName>
    <definedName name="ййй_3">ййй_3</definedName>
    <definedName name="ййй_4" localSheetId="0">'Приложение №1 (2.7) ОБЩАЯ'!ййй_4</definedName>
    <definedName name="ййй_4">ййй_4</definedName>
    <definedName name="ййй_5" localSheetId="0">'Приложение №1 (2.7) ОБЩАЯ'!ййй_5</definedName>
    <definedName name="ййй_5">ййй_5</definedName>
    <definedName name="ййй_6" localSheetId="0">'Приложение №1 (2.7) ОБЩАЯ'!ййй_6</definedName>
    <definedName name="ййй_6">ййй_6</definedName>
    <definedName name="ййй_7" localSheetId="0">'Приложение №1 (2.7) ОБЩАЯ'!ййй_7</definedName>
    <definedName name="ййй_7">ййй_7</definedName>
    <definedName name="ййй_8" localSheetId="0">'Приложение №1 (2.7) ОБЩАЯ'!ййй_8</definedName>
    <definedName name="ййй_8">ййй_8</definedName>
    <definedName name="ййй_9" localSheetId="0">'Приложение №1 (2.7) ОБЩАЯ'!ййй_9</definedName>
    <definedName name="ййй_9">ййй_9</definedName>
    <definedName name="йййййййййййййййййййййййййййййййййййййййййййййййййййййй" localSheetId="0">'Приложение №1 (2.7) ОБЩАЯ'!йййййййййййййййййййййййййййййййййййййййййййййййййййййй</definedName>
    <definedName name="йййййййййййййййййййййййййййййййййййййййййййййййййййййй">[0]!йййййййййййййййййййййййййййййййййййййййййййййййййййййй</definedName>
    <definedName name="йййййййййййййййййййййййййййййййййййййййййййййййййййййй_3" localSheetId="0">'Приложение №1 (2.7) ОБЩАЯ'!йййййййййййййййййййййййййййййййййййййййййййййййййййййй_3</definedName>
    <definedName name="йййййййййййййййййййййййййййййййййййййййййййййййййййййй_3">йййййййййййййййййййййййййййййййййййййййййййййййййййййй_3</definedName>
    <definedName name="йййййййййййййййййййййййййййййййййййййййййййййййййййййй_4" localSheetId="0">'Приложение №1 (2.7) ОБЩАЯ'!йййййййййййййййййййййййййййййййййййййййййййййййййййййй_4</definedName>
    <definedName name="йййййййййййййййййййййййййййййййййййййййййййййййййййййй_4">йййййййййййййййййййййййййййййййййййййййййййййййййййййй_4</definedName>
    <definedName name="йййййййййййййййййййййййййййййййййййййййййййййййййййййй_5" localSheetId="0">'Приложение №1 (2.7) ОБЩАЯ'!йййййййййййййййййййййййййййййййййййййййййййййййййййййй_5</definedName>
    <definedName name="йййййййййййййййййййййййййййййййййййййййййййййййййййййй_5">йййййййййййййййййййййййййййййййййййййййййййййййййййййй_5</definedName>
    <definedName name="йййййййййййййййййййййййййййййййййййййййййййййййййййййй_6" localSheetId="0">'Приложение №1 (2.7) ОБЩАЯ'!йййййййййййййййййййййййййййййййййййййййййййййййййййййй_6</definedName>
    <definedName name="йййййййййййййййййййййййййййййййййййййййййййййййййййййй_6">йййййййййййййййййййййййййййййййййййййййййййййййййййййй_6</definedName>
    <definedName name="йййййййййййййййййййййййййййййййййййййййййййййййййййййй_7" localSheetId="0">'Приложение №1 (2.7) ОБЩАЯ'!йййййййййййййййййййййййййййййййййййййййййййййййййййййй_7</definedName>
    <definedName name="йййййййййййййййййййййййййййййййййййййййййййййййййййййй_7">йййййййййййййййййййййййййййййййййййййййййййййййййййййй_7</definedName>
    <definedName name="йййййййййййййййййййййййййййййййййййййййййййййййййййййй_8" localSheetId="0">'Приложение №1 (2.7) ОБЩАЯ'!йййййййййййййййййййййййййййййййййййййййййййййййййййййй_8</definedName>
    <definedName name="йййййййййййййййййййййййййййййййййййййййййййййййййййййй_8">йййййййййййййййййййййййййййййййййййййййййййййййййййййй_8</definedName>
    <definedName name="йййййййййййййййййййййййййййййййййййййййййййййййййййййй_9" localSheetId="0">'Приложение №1 (2.7) ОБЩАЯ'!йййййййййййййййййййййййййййййййййййййййййййййййййййййй_9</definedName>
    <definedName name="йййййййййййййййййййййййййййййййййййййййййййййййййййййй_9">йййййййййййййййййййййййййййййййййййййййййййййййййййййй_9</definedName>
    <definedName name="кв">#REF!</definedName>
    <definedName name="кв_1">#REF!</definedName>
    <definedName name="кв_1_1">#REF!</definedName>
    <definedName name="кв_1_3">#REF!</definedName>
    <definedName name="кв_3">#REF!</definedName>
    <definedName name="ке">#N/A</definedName>
    <definedName name="ке_1">#N/A</definedName>
    <definedName name="ке_2">#N/A</definedName>
    <definedName name="ке_3">#N/A</definedName>
    <definedName name="ке_4" localSheetId="0">'Приложение №1 (2.7) ОБЩАЯ'!ке_4</definedName>
    <definedName name="ке_4">ке_4</definedName>
    <definedName name="ке_5" localSheetId="0">'Приложение №1 (2.7) ОБЩАЯ'!ке_5</definedName>
    <definedName name="ке_5">ке_5</definedName>
    <definedName name="ке_6" localSheetId="0">'Приложение №1 (2.7) ОБЩАЯ'!ке_6</definedName>
    <definedName name="ке_6">ке_6</definedName>
    <definedName name="ке_7" localSheetId="0">'Приложение №1 (2.7) ОБЩАЯ'!ке_7</definedName>
    <definedName name="ке_7">ке_7</definedName>
    <definedName name="ке_8" localSheetId="0">'Приложение №1 (2.7) ОБЩАЯ'!ке_8</definedName>
    <definedName name="ке_8">ке_8</definedName>
    <definedName name="ке_9" localSheetId="0">'Приложение №1 (2.7) ОБЩАЯ'!ке_9</definedName>
    <definedName name="ке_9">ке_9</definedName>
    <definedName name="код">#REF!</definedName>
    <definedName name="код_1">#REF!</definedName>
    <definedName name="код_1_1">#REF!</definedName>
    <definedName name="код_1_3">#REF!</definedName>
    <definedName name="код_3">#REF!</definedName>
    <definedName name="коэф1">#REF!</definedName>
    <definedName name="коэф2">#REF!</definedName>
    <definedName name="коэф3">#REF!</definedName>
    <definedName name="коэф4">#REF!</definedName>
    <definedName name="кпгэс">#N/A</definedName>
    <definedName name="кпгэс_1">#N/A</definedName>
    <definedName name="кпгэс_2">#N/A</definedName>
    <definedName name="кпгэс_3">#N/A</definedName>
    <definedName name="кпп">#REF!</definedName>
    <definedName name="кпп_1">#REF!</definedName>
    <definedName name="кпп_3">#REF!</definedName>
    <definedName name="лдл" localSheetId="0">'Приложение №1 (2.7) ОБЩАЯ'!лдл</definedName>
    <definedName name="лдл">[0]!лдл</definedName>
    <definedName name="лист">#REF!</definedName>
    <definedName name="лист_1">#REF!</definedName>
    <definedName name="ллл">#REF!</definedName>
    <definedName name="лллл">#N/A</definedName>
    <definedName name="лллл_1">#N/A</definedName>
    <definedName name="лллл_2">#N/A</definedName>
    <definedName name="лллл_3">#N/A</definedName>
    <definedName name="м1">#REF!</definedName>
    <definedName name="м1_1">#REF!</definedName>
    <definedName name="м1_3">#REF!</definedName>
    <definedName name="м2">#REF!</definedName>
    <definedName name="м2_1">#REF!</definedName>
    <definedName name="м2_3">#REF!</definedName>
    <definedName name="м3">#REF!</definedName>
    <definedName name="м3_1">#REF!</definedName>
    <definedName name="м3_3">#REF!</definedName>
    <definedName name="м4">#REF!</definedName>
    <definedName name="м4_1">#REF!</definedName>
    <definedName name="м4_3">#REF!</definedName>
    <definedName name="Марки_Стали">#REF!</definedName>
    <definedName name="Марки_Стали_1">#REF!</definedName>
    <definedName name="Марки_Стали_3">#REF!</definedName>
    <definedName name="Месяц">#REF!</definedName>
    <definedName name="Месяц_1">#REF!</definedName>
    <definedName name="Месяц_3">#REF!</definedName>
    <definedName name="месяцы">#REF!</definedName>
    <definedName name="месяцы_1">#REF!</definedName>
    <definedName name="месяцы_1_1">#REF!</definedName>
    <definedName name="месяцы_1_3">#REF!</definedName>
    <definedName name="месяцы_3">#REF!</definedName>
    <definedName name="Метод">#REF!</definedName>
    <definedName name="Метод_1">#REF!</definedName>
    <definedName name="Метод_3">#REF!</definedName>
    <definedName name="мк1">#REF!</definedName>
    <definedName name="мк1_1">#REF!</definedName>
    <definedName name="мк1_1_1">#REF!</definedName>
    <definedName name="мк1_1_3">#REF!</definedName>
    <definedName name="мк1_3">#REF!</definedName>
    <definedName name="мк2">#REF!</definedName>
    <definedName name="мк2_1">#REF!</definedName>
    <definedName name="мк2_1_1">#REF!</definedName>
    <definedName name="мк2_1_3">#REF!</definedName>
    <definedName name="мк2_3">#REF!</definedName>
    <definedName name="мк3">#REF!</definedName>
    <definedName name="мк3_1">#REF!</definedName>
    <definedName name="мк3_1_1">#REF!</definedName>
    <definedName name="мк3_1_3">#REF!</definedName>
    <definedName name="мк3_3">#REF!</definedName>
    <definedName name="ммммммммммммммммммммммммммммммммммммммммммммм" localSheetId="0">'Приложение №1 (2.7) ОБЩАЯ'!ммммммммммммммммммммммммммммммммммммммммммммм</definedName>
    <definedName name="ммммммммммммммммммммммммммммммммммммммммммммм">[0]!ммммммммммммммммммммммммммммммммммммммммммммм</definedName>
    <definedName name="ммммммммммммммммммммммммммммммммммммммммммммм_3" localSheetId="0">'Приложение №1 (2.7) ОБЩАЯ'!ммммммммммммммммммммммммммммммммммммммммммммм_3</definedName>
    <definedName name="ммммммммммммммммммммммммммммммммммммммммммммм_3">ммммммммммммммммммммммммммммммммммммммммммммм_3</definedName>
    <definedName name="ммммммммммммммммммммммммммммммммммммммммммммм_4" localSheetId="0">'Приложение №1 (2.7) ОБЩАЯ'!ммммммммммммммммммммммммммммммммммммммммммммм_4</definedName>
    <definedName name="ммммммммммммммммммммммммммммммммммммммммммммм_4">ммммммммммммммммммммммммммммммммммммммммммммм_4</definedName>
    <definedName name="ммммммммммммммммммммммммммммммммммммммммммммм_5" localSheetId="0">'Приложение №1 (2.7) ОБЩАЯ'!ммммммммммммммммммммммммммммммммммммммммммммм_5</definedName>
    <definedName name="ммммммммммммммммммммммммммммммммммммммммммммм_5">ммммммммммммммммммммммммммммммммммммммммммммм_5</definedName>
    <definedName name="ммммммммммммммммммммммммммммммммммммммммммммм_6" localSheetId="0">'Приложение №1 (2.7) ОБЩАЯ'!ммммммммммммммммммммммммммммммммммммммммммммм_6</definedName>
    <definedName name="ммммммммммммммммммммммммммммммммммммммммммммм_6">ммммммммммммммммммммммммммммммммммммммммммммм_6</definedName>
    <definedName name="ммммммммммммммммммммммммммммммммммммммммммммм_7" localSheetId="0">'Приложение №1 (2.7) ОБЩАЯ'!ммммммммммммммммммммммммммммммммммммммммммммм_7</definedName>
    <definedName name="ммммммммммммммммммммммммммммммммммммммммммммм_7">ммммммммммммммммммммммммммммммммммммммммммммм_7</definedName>
    <definedName name="ммммммммммммммммммммммммммммммммммммммммммммм_8" localSheetId="0">'Приложение №1 (2.7) ОБЩАЯ'!ммммммммммммммммммммммммммммммммммммммммммммм_8</definedName>
    <definedName name="ммммммммммммммммммммммммммммммммммммммммммммм_8">ммммммммммммммммммммммммммммммммммммммммммммм_8</definedName>
    <definedName name="ммммммммммммммммммммммммммммммммммммммммммммм_9" localSheetId="0">'Приложение №1 (2.7) ОБЩАЯ'!ммммммммммммммммммммммммммммммммммммммммммммм_9</definedName>
    <definedName name="ммммммммммммммммммммммммммммммммммммммммммммм_9">ммммммммммммммммммммммммммммммммммммммммммммм_9</definedName>
    <definedName name="Модель2">#REF!</definedName>
    <definedName name="Мониторинг1">'[35]Гр5(о)'!#REF!</definedName>
    <definedName name="мпод">#REF!</definedName>
    <definedName name="мпод_1">#REF!</definedName>
    <definedName name="мпод_1_1">#REF!</definedName>
    <definedName name="мпод_1_3">#REF!</definedName>
    <definedName name="мпод_3">#REF!</definedName>
    <definedName name="мро">#REF!</definedName>
    <definedName name="мро_1">#REF!</definedName>
    <definedName name="мро_1_1">#REF!</definedName>
    <definedName name="мро_1_3">#REF!</definedName>
    <definedName name="мро_3">#REF!</definedName>
    <definedName name="мрпоп" localSheetId="0">P1_SCOPE_16_PRT,P2_SCOPE_16_PRT</definedName>
    <definedName name="мрпоп">P1_SCOPE_16_PRT,P2_SCOPE_16_PRT</definedName>
    <definedName name="мым">#N/A</definedName>
    <definedName name="мым_1">#N/A</definedName>
    <definedName name="мым_2">#N/A</definedName>
    <definedName name="мым_3">#N/A</definedName>
    <definedName name="мым_4" localSheetId="0">'Приложение №1 (2.7) ОБЩАЯ'!мым_4</definedName>
    <definedName name="мым_4">мым_4</definedName>
    <definedName name="мым_5" localSheetId="0">'Приложение №1 (2.7) ОБЩАЯ'!мым_5</definedName>
    <definedName name="мым_5">мым_5</definedName>
    <definedName name="мым_6" localSheetId="0">'Приложение №1 (2.7) ОБЩАЯ'!мым_6</definedName>
    <definedName name="мым_6">мым_6</definedName>
    <definedName name="мым_7" localSheetId="0">'Приложение №1 (2.7) ОБЩАЯ'!мым_7</definedName>
    <definedName name="мым_7">мым_7</definedName>
    <definedName name="мым_8" localSheetId="0">'Приложение №1 (2.7) ОБЩАЯ'!мым_8</definedName>
    <definedName name="мым_8">мым_8</definedName>
    <definedName name="мым_9" localSheetId="0">'Приложение №1 (2.7) ОБЩАЯ'!мым_9</definedName>
    <definedName name="мым_9">мым_9</definedName>
    <definedName name="Назначение">#REF!</definedName>
    <definedName name="Назначение_1">#REF!</definedName>
    <definedName name="Назначение_3">#REF!</definedName>
    <definedName name="нд">#REF!</definedName>
    <definedName name="нд_1">#REF!</definedName>
    <definedName name="нд_1_1">#REF!</definedName>
    <definedName name="нд_1_3">#REF!</definedName>
    <definedName name="нд_3">#REF!</definedName>
    <definedName name="нк">'[36]6_52_свод'!$T$1</definedName>
    <definedName name="ннн">#N/A</definedName>
    <definedName name="ннн_1">#N/A</definedName>
    <definedName name="ннн_2">#N/A</definedName>
    <definedName name="ннн_3">#N/A</definedName>
    <definedName name="НННН">#N/A</definedName>
    <definedName name="НННН_1">#N/A</definedName>
    <definedName name="НННН_2">#N/A</definedName>
    <definedName name="НННН_3">#N/A</definedName>
    <definedName name="ннннннннннн">#N/A</definedName>
    <definedName name="ннннннннннн_1">#N/A</definedName>
    <definedName name="ннннннннннн_2">#N/A</definedName>
    <definedName name="ннннннннннн_3">#N/A</definedName>
    <definedName name="нннннннннннннннннннннннннннннннннннннннннннннннннннннннннннннннн" localSheetId="0">'Приложение №1 (2.7) ОБЩАЯ'!нннннннннннннннннннннннннннннннннннннннннннннннннннннннннннннннн</definedName>
    <definedName name="нннннннннннннннннннннннннннннннннннннннннннннннннннннннннннннннн">[0]!нннннннннннннннннннннннннннннннннннннннннннннннннннннннннннннннн</definedName>
    <definedName name="нннннннннннннннннннннннннннннннннннннннннннннннннннннннннннннннн_3" localSheetId="0">'Приложение №1 (2.7) ОБЩАЯ'!нннннннннннннннннннннннннннннннннннннннннннннннннннннннннннннннн_3</definedName>
    <definedName name="нннннннннннннннннннннннннннннннннннннннннннннннннннннннннннннннн_3">нннннннннннннннннннннннннннннннннннннннннннннннннннннннннннннннн_3</definedName>
    <definedName name="нннннннннннннннннннннннннннннннннннннннннннннннннннннннннннннннн_4" localSheetId="0">'Приложение №1 (2.7) ОБЩАЯ'!нннннннннннннннннннннннннннннннннннннннннннннннннннннннннннннннн_4</definedName>
    <definedName name="нннннннннннннннннннннннннннннннннннннннннннннннннннннннннннннннн_4">нннннннннннннннннннннннннннннннннннннннннннннннннннннннннннннннн_4</definedName>
    <definedName name="нннннннннннннннннннннннннннннннннннннннннннннннннннннннннннннннн_5" localSheetId="0">'Приложение №1 (2.7) ОБЩАЯ'!нннннннннннннннннннннннннннннннннннннннннннннннннннннннннннннннн_5</definedName>
    <definedName name="нннннннннннннннннннннннннннннннннннннннннннннннннннннннннннннннн_5">нннннннннннннннннннннннннннннннннннннннннннннннннннннннннннннннн_5</definedName>
    <definedName name="нннннннннннннннннннннннннннннннннннннннннннннннннннннннннннннннн_6" localSheetId="0">'Приложение №1 (2.7) ОБЩАЯ'!нннннннннннннннннннннннннннннннннннннннннннннннннннннннннннннннн_6</definedName>
    <definedName name="нннннннннннннннннннннннннннннннннннннннннннннннннннннннннннннннн_6">нннннннннннннннннннннннннннннннннннннннннннннннннннннннннннннннн_6</definedName>
    <definedName name="нннннннннннннннннннннннннннннннннннннннннннннннннннннннннннннннн_7" localSheetId="0">'Приложение №1 (2.7) ОБЩАЯ'!нннннннннннннннннннннннннннннннннннннннннннннннннннннннннннннннн_7</definedName>
    <definedName name="нннннннннннннннннннннннннннннннннннннннннннннннннннннннннннннннн_7">нннннннннннннннннннннннннннннннннннннннннннннннннннннннннннннннн_7</definedName>
    <definedName name="нннннннннннннннннннннннннннннннннннннннннннннннннннннннннннннннн_8" localSheetId="0">'Приложение №1 (2.7) ОБЩАЯ'!нннннннннннннннннннннннннннннннннннннннннннннннннннннннннннннннн_8</definedName>
    <definedName name="нннннннннннннннннннннннннннннннннннннннннннннннннннннннннннннннн_8">нннннннннннннннннннннннннннннннннннннннннннннннннннннннннннннннн_8</definedName>
    <definedName name="нннннннннннннннннннннннннннннннннннннннннннннннннннннннннннннннн_9" localSheetId="0">'Приложение №1 (2.7) ОБЩАЯ'!нннннннннннннннннннннннннннннннннннннннннннннннннннннннннннннннн_9</definedName>
    <definedName name="нннннннннннннннннннннннннннннннннннннннннннннннннннннннннннннннн_9">нннннннннннннннннннннннннннннннннннннннннннннннннннннннннннннннн_9</definedName>
    <definedName name="но">#REF!</definedName>
    <definedName name="но_1">#REF!</definedName>
    <definedName name="но_3">#REF!</definedName>
    <definedName name="нов" localSheetId="0">'Приложение №1 (2.7) ОБЩАЯ'!нов</definedName>
    <definedName name="нов">[0]!нов</definedName>
    <definedName name="нов_3" localSheetId="0">'Приложение №1 (2.7) ОБЩАЯ'!нов_3</definedName>
    <definedName name="нов_3">нов_3</definedName>
    <definedName name="нов_4" localSheetId="0">'Приложение №1 (2.7) ОБЩАЯ'!нов_4</definedName>
    <definedName name="нов_4">нов_4</definedName>
    <definedName name="нов_5" localSheetId="0">'Приложение №1 (2.7) ОБЩАЯ'!нов_5</definedName>
    <definedName name="нов_5">нов_5</definedName>
    <definedName name="нов_6" localSheetId="0">'Приложение №1 (2.7) ОБЩАЯ'!нов_6</definedName>
    <definedName name="нов_6">нов_6</definedName>
    <definedName name="нов_7" localSheetId="0">'Приложение №1 (2.7) ОБЩАЯ'!нов_7</definedName>
    <definedName name="нов_7">нов_7</definedName>
    <definedName name="нов_8" localSheetId="0">'Приложение №1 (2.7) ОБЩАЯ'!нов_8</definedName>
    <definedName name="нов_8">нов_8</definedName>
    <definedName name="нов_9" localSheetId="0">'Приложение №1 (2.7) ОБЩАЯ'!нов_9</definedName>
    <definedName name="нов_9">нов_9</definedName>
    <definedName name="новое" localSheetId="0">'Приложение №1 (2.7) ОБЩАЯ'!новое</definedName>
    <definedName name="новое">[0]!новое</definedName>
    <definedName name="новые_ОФ_2003">[30]рабочий!$F$305:$W$327</definedName>
    <definedName name="новые_ОФ_2004">[30]рабочий!$F$335:$W$357</definedName>
    <definedName name="новые_ОФ_а_всего">[30]рабочий!$F$767:$V$789</definedName>
    <definedName name="новые_ОФ_всего">[30]рабочий!$F$1331:$V$1353</definedName>
    <definedName name="новые_ОФ_п_всего">[30]рабочий!$F$1293:$V$1315</definedName>
    <definedName name="номнал">#REF!</definedName>
    <definedName name="номнал_1">#REF!</definedName>
    <definedName name="номнал_3">#REF!</definedName>
    <definedName name="нпд">#REF!</definedName>
    <definedName name="нпд_1">[37]Стр1По!$R$3</definedName>
    <definedName name="нпд_1_1">[38]Стр1По!$R$3</definedName>
    <definedName name="нпд_3">#REF!</definedName>
    <definedName name="нпрд">#REF!</definedName>
    <definedName name="нпрд_1">#REF!</definedName>
    <definedName name="нпрд_3">#REF!</definedName>
    <definedName name="нчп">#REF!</definedName>
    <definedName name="нчп_1">#REF!</definedName>
    <definedName name="нчп_1_1">#REF!</definedName>
    <definedName name="нчп_1_3">#REF!</definedName>
    <definedName name="нчп_3">#REF!</definedName>
    <definedName name="о">#REF!</definedName>
    <definedName name="о_1">#REF!</definedName>
    <definedName name="о_3">#REF!</definedName>
    <definedName name="О843">'[39]2002'!#REF!</definedName>
    <definedName name="О843_3">'[40]2002'!#REF!</definedName>
    <definedName name="О843_6">"'file:///A:/2002.XLS'#$'2002'.$#ССЫЛ!$#ССЫЛ!"</definedName>
    <definedName name="ОАО_МН">#REF!</definedName>
    <definedName name="ОАО_МН_1">#REF!</definedName>
    <definedName name="ОАО_МН_3">#REF!</definedName>
    <definedName name="_xlnm.Print_Area" localSheetId="2">Газ!$A$1:$Q$167</definedName>
    <definedName name="_xlnm.Print_Area" localSheetId="7">Метрология!$A$1:$T$799</definedName>
    <definedName name="_xlnm.Print_Area" localSheetId="1">прейскурант!$A$1:$E$20</definedName>
    <definedName name="_xlnm.Print_Area" localSheetId="0">'Приложение №1 (2.7) ОБЩАЯ'!$A$1:$BI$120</definedName>
    <definedName name="_xlnm.Print_Area" localSheetId="4">Электрика!$A$1:$Q$572</definedName>
    <definedName name="общехоз." localSheetId="0">'Приложение №1 (2.7) ОБЩАЯ'!общехоз.</definedName>
    <definedName name="общехоз.">[0]!общехоз.</definedName>
    <definedName name="общехоз._3" localSheetId="0">'Приложение №1 (2.7) ОБЩАЯ'!общехоз._3</definedName>
    <definedName name="общехоз._3">общехоз._3</definedName>
    <definedName name="общехоз._4" localSheetId="0">'Приложение №1 (2.7) ОБЩАЯ'!общехоз._4</definedName>
    <definedName name="общехоз._4">общехоз._4</definedName>
    <definedName name="общехоз._5" localSheetId="0">'Приложение №1 (2.7) ОБЩАЯ'!общехоз._5</definedName>
    <definedName name="общехоз._5">общехоз._5</definedName>
    <definedName name="общехоз._6" localSheetId="0">'Приложение №1 (2.7) ОБЩАЯ'!общехоз._6</definedName>
    <definedName name="общехоз._6">общехоз._6</definedName>
    <definedName name="общехоз._7" localSheetId="0">'Приложение №1 (2.7) ОБЩАЯ'!общехоз._7</definedName>
    <definedName name="общехоз._7">общехоз._7</definedName>
    <definedName name="общехоз._8" localSheetId="0">'Приложение №1 (2.7) ОБЩАЯ'!общехоз._8</definedName>
    <definedName name="общехоз._8">общехоз._8</definedName>
    <definedName name="общехоз._9" localSheetId="0">'Приложение №1 (2.7) ОБЩАЯ'!общехоз._9</definedName>
    <definedName name="общехоз._9">общехоз._9</definedName>
    <definedName name="окраска_05">[30]окраска!$C$7:$Z$30</definedName>
    <definedName name="окраска_06">[30]окраска!$C$35:$Z$58</definedName>
    <definedName name="окраска_07">[30]окраска!$C$63:$Z$86</definedName>
    <definedName name="окраска_08">[30]окраска!$C$91:$Z$114</definedName>
    <definedName name="окраска_09">[30]окраска!$C$119:$Z$142</definedName>
    <definedName name="окраска_10">[30]окраска!$C$147:$Z$170</definedName>
    <definedName name="окраска_11">[30]окраска!$C$175:$Z$198</definedName>
    <definedName name="окраска_12">[30]окраска!$C$203:$Z$226</definedName>
    <definedName name="окраска_13">[30]окраска!$C$231:$Z$254</definedName>
    <definedName name="окраска_14">[30]окраска!$C$259:$Z$282</definedName>
    <definedName name="окраска_15">[30]окраска!$C$287:$Z$310</definedName>
    <definedName name="олд">#REF!</definedName>
    <definedName name="олд_3">#REF!</definedName>
    <definedName name="олд_6">"$#ССЫЛ!.$#ССЫЛ!$#ССЫЛ!"</definedName>
    <definedName name="олд1">#REF!</definedName>
    <definedName name="олд1_3">#REF!</definedName>
    <definedName name="олд1_6">"$#ССЫЛ!.$#ССЫЛ!$#ССЫЛ!"</definedName>
    <definedName name="олд2">#REF!</definedName>
    <definedName name="олд2_3">#REF!</definedName>
    <definedName name="олд2_6">"$#ССЫЛ!.$#ССЫЛ!$#ССЫЛ!"</definedName>
    <definedName name="олд3">#REF!</definedName>
    <definedName name="олд3_3">#REF!</definedName>
    <definedName name="олд3_6">"$#ССЫЛ!.$#ССЫЛ!$#ССЫЛ!"</definedName>
    <definedName name="олд4">#REF!</definedName>
    <definedName name="олд4_3">#REF!</definedName>
    <definedName name="олд4_6">"$#ССЫЛ!.$#ССЫЛ!$#ССЫЛ!"</definedName>
    <definedName name="олд5">#REF!</definedName>
    <definedName name="олд5_3">#REF!</definedName>
    <definedName name="олд5_6">"$#ССЫЛ!.$#ССЫЛ!$#ССЫЛ!"</definedName>
    <definedName name="олд6">#REF!</definedName>
    <definedName name="олд6_3">#REF!</definedName>
    <definedName name="олд6_6">"$#ССЫЛ!.$#ССЫЛ!$#ССЫЛ!"</definedName>
    <definedName name="олд7">#REF!</definedName>
    <definedName name="олд7_3">#REF!</definedName>
    <definedName name="олд7_6">"$#ССЫЛ!.$#ССЫЛ!$#ССЫЛ!"</definedName>
    <definedName name="оло">#REF!</definedName>
    <definedName name="оло_1">#REF!</definedName>
    <definedName name="оло_3">#REF!</definedName>
    <definedName name="оно">#REF!</definedName>
    <definedName name="оно_1">#REF!</definedName>
    <definedName name="оно_3">#REF!</definedName>
    <definedName name="оо">[41]База!$C$6:$L$32</definedName>
    <definedName name="ооо">#REF!</definedName>
    <definedName name="Отоп">[33]отопл!$E$11</definedName>
    <definedName name="отч">#REF!</definedName>
    <definedName name="отч_1">#REF!</definedName>
    <definedName name="отч_1_1">#REF!</definedName>
    <definedName name="отч_1_3">#REF!</definedName>
    <definedName name="отч_3">#REF!</definedName>
    <definedName name="отчгод">#REF!</definedName>
    <definedName name="отчгод_1">#REF!</definedName>
    <definedName name="отчгод_1_1">#REF!</definedName>
    <definedName name="отчгод_1_3">#REF!</definedName>
    <definedName name="отчгод_3">#REF!</definedName>
    <definedName name="ОФ_а_с_пц">[30]рабочий!$CI$121:$CY$143</definedName>
    <definedName name="оф_н_а_2003_пц">'[30]Текущие цены'!#REF!</definedName>
    <definedName name="оф_н_а_2004">'[30]Текущие цены'!#REF!</definedName>
    <definedName name="п" localSheetId="0">'Приложение №1 (2.7) ОБЩАЯ'!п</definedName>
    <definedName name="п">[0]!п</definedName>
    <definedName name="п_3" localSheetId="0">'Приложение №1 (2.7) ОБЩАЯ'!п_3</definedName>
    <definedName name="п_3">п_3</definedName>
    <definedName name="п_4" localSheetId="0">'Приложение №1 (2.7) ОБЩАЯ'!п_4</definedName>
    <definedName name="п_4">п_4</definedName>
    <definedName name="п_5" localSheetId="0">'Приложение №1 (2.7) ОБЩАЯ'!п_5</definedName>
    <definedName name="п_5">п_5</definedName>
    <definedName name="п_6" localSheetId="0">'Приложение №1 (2.7) ОБЩАЯ'!п_6</definedName>
    <definedName name="п_6">п_6</definedName>
    <definedName name="п_7" localSheetId="0">'Приложение №1 (2.7) ОБЩАЯ'!п_7</definedName>
    <definedName name="п_7">п_7</definedName>
    <definedName name="п_8" localSheetId="0">'Приложение №1 (2.7) ОБЩАЯ'!п_8</definedName>
    <definedName name="п_8">п_8</definedName>
    <definedName name="п_9" localSheetId="0">'Приложение №1 (2.7) ОБЩАЯ'!п_9</definedName>
    <definedName name="п_9">п_9</definedName>
    <definedName name="пд">#REF!</definedName>
    <definedName name="пд_1">#REF!</definedName>
    <definedName name="пд_1_1">#REF!</definedName>
    <definedName name="пд_1_3">#REF!</definedName>
    <definedName name="пд_3">#REF!</definedName>
    <definedName name="первый">#REF!</definedName>
    <definedName name="период">#REF!</definedName>
    <definedName name="период_1">#REF!</definedName>
    <definedName name="период_1_1">#REF!</definedName>
    <definedName name="период_1_3">#REF!</definedName>
    <definedName name="период_3">#REF!</definedName>
    <definedName name="подразделение">#REF!</definedName>
    <definedName name="подразделение_1">#REF!</definedName>
    <definedName name="подразделение_3">#REF!</definedName>
    <definedName name="Подрядчики">[42]Подрядчики!$B$2:$B$19</definedName>
    <definedName name="ПОКАЗАТЕЛИ_ДОЛГОСР.ПРОГНОЗА">'[43]2002(v2)'!#REF!</definedName>
    <definedName name="ПОКАЗАТЕЛИ_ДОЛГОСР.ПРОГНОЗА_1">'[44]2002_v2_'!#REF!</definedName>
    <definedName name="ПОКАЗАТЕЛИ_ДОЛГОСР.ПРОГНОЗА_3">'[43]2002_v2_'!#REF!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ст">'[45]5'!$B$9</definedName>
    <definedName name="пост1">#REF!</definedName>
    <definedName name="пост2">#REF!</definedName>
    <definedName name="пост3">#REF!</definedName>
    <definedName name="пост4">#REF!</definedName>
    <definedName name="пост5">#REF!</definedName>
    <definedName name="ПОТР._РЫНОКДП">[6]vec!#REF!</definedName>
    <definedName name="Потреб_вып_всего">'[30]Текущие цены'!#REF!</definedName>
    <definedName name="Потреб_вып_оф_н_цпг">'[30]Текущие цены'!#REF!</definedName>
    <definedName name="пп" localSheetId="0">'Приложение №1 (2.7) ОБЩАЯ'!пп</definedName>
    <definedName name="пп">[0]!пп</definedName>
    <definedName name="ппп">#REF!</definedName>
    <definedName name="ппп_1">#REF!</definedName>
    <definedName name="пппп" localSheetId="0">'Приложение №1 (2.7) ОБЩАЯ'!пппп</definedName>
    <definedName name="пппп">[0]!пппп</definedName>
    <definedName name="ппппп">#N/A</definedName>
    <definedName name="ппппп_1">#N/A</definedName>
    <definedName name="ппппп_2">#N/A</definedName>
    <definedName name="ппппп_3">#N/A</definedName>
    <definedName name="ппппппппппп">#N/A</definedName>
    <definedName name="ппппппппппп_1">#N/A</definedName>
    <definedName name="ппппппппппп_2">#N/A</definedName>
    <definedName name="ппппппппппп_3">#N/A</definedName>
    <definedName name="прд">#REF!</definedName>
    <definedName name="прд_1">#REF!</definedName>
    <definedName name="прд_1_1">#REF!</definedName>
    <definedName name="прд_1_3">#REF!</definedName>
    <definedName name="прд_3">#REF!</definedName>
    <definedName name="прил1.2">#N/A</definedName>
    <definedName name="прил1.2_1">#N/A</definedName>
    <definedName name="прил1.2_2">#N/A</definedName>
    <definedName name="прил1.2_3">#N/A</definedName>
    <definedName name="Прилож3">#N/A</definedName>
    <definedName name="Прилож3_1">#N/A</definedName>
    <definedName name="Прилож3_2">#N/A</definedName>
    <definedName name="Прилож3_3">#N/A</definedName>
    <definedName name="Приложение8">#N/A</definedName>
    <definedName name="Приложение8_1">#N/A</definedName>
    <definedName name="Приложение8_2">#N/A</definedName>
    <definedName name="Приложение8_3">#N/A</definedName>
    <definedName name="прм">#REF!</definedName>
    <definedName name="прм_1">#REF!</definedName>
    <definedName name="прм_1_1">#REF!</definedName>
    <definedName name="прм_1_3">#REF!</definedName>
    <definedName name="прм_3">#REF!</definedName>
    <definedName name="про" localSheetId="0">P1_SCOPE_SV_PRT,P2_SCOPE_SV_PRT,P3_SCOPE_SV_PRT</definedName>
    <definedName name="про">P1_SCOPE_SV_PRT,P2_SCOPE_SV_PRT,P3_SCOPE_SV_PRT</definedName>
    <definedName name="про_1" localSheetId="0">P1_SCOPE_SV_PRT,P2_SCOPE_SV_PRT,P3_SCOPE_SV_PRT</definedName>
    <definedName name="про_1">P1_SCOPE_SV_PRT,P2_SCOPE_SV_PRT,P3_SCOPE_SV_PRT</definedName>
    <definedName name="Прогноз_Вып_пц">[30]рабочий!$Y$240:$AP$262</definedName>
    <definedName name="Прогноз_вып_цпг">'[30]Текущие цены'!#REF!</definedName>
    <definedName name="Прогноз97">[46]ПРОГНОЗ_1!#REF!</definedName>
    <definedName name="просто">#N/A</definedName>
    <definedName name="просто_1">#N/A</definedName>
    <definedName name="просто111">#N/A</definedName>
    <definedName name="просто111_1">#N/A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пункт">#REF!</definedName>
    <definedName name="пункт_1">#REF!</definedName>
    <definedName name="пункт_1_1">#REF!</definedName>
    <definedName name="пункт_1_3">#REF!</definedName>
    <definedName name="пункт_3">#REF!</definedName>
    <definedName name="р" localSheetId="0">P5_SCOPE_PER_PRT,P6_SCOPE_PER_PRT,P7_SCOPE_PER_PRT,'Приложение №1 (2.7) ОБЩАЯ'!P8_SCOPE_PER_PRT</definedName>
    <definedName name="р">P5_SCOPE_PER_PRT,P6_SCOPE_PER_PRT,P7_SCOPE_PER_PRT,P8_SCOPE_PER_PRT</definedName>
    <definedName name="р_1">#N/A</definedName>
    <definedName name="р_2">#N/A</definedName>
    <definedName name="р_3">#N/A</definedName>
    <definedName name="р_4" localSheetId="0">'Приложение №1 (2.7) ОБЩАЯ'!р_4</definedName>
    <definedName name="р_4">р_4</definedName>
    <definedName name="р_5" localSheetId="0">'Приложение №1 (2.7) ОБЩАЯ'!р_5</definedName>
    <definedName name="р_5">р_5</definedName>
    <definedName name="р_6" localSheetId="0">'Приложение №1 (2.7) ОБЩАЯ'!р_6</definedName>
    <definedName name="р_6">р_6</definedName>
    <definedName name="р_7" localSheetId="0">'Приложение №1 (2.7) ОБЩАЯ'!р_7</definedName>
    <definedName name="р_7">р_7</definedName>
    <definedName name="р_8" localSheetId="0">'Приложение №1 (2.7) ОБЩАЯ'!р_8</definedName>
    <definedName name="р_8">р_8</definedName>
    <definedName name="р_9" localSheetId="0">'Приложение №1 (2.7) ОБЩАЯ'!р_9</definedName>
    <definedName name="р_9">р_9</definedName>
    <definedName name="район">#REF!</definedName>
    <definedName name="район_1">#REF!</definedName>
    <definedName name="район_1_1">#REF!</definedName>
    <definedName name="район_1_3">#REF!</definedName>
    <definedName name="район_3">#REF!</definedName>
    <definedName name="ро">#N/A</definedName>
    <definedName name="ро_1">#N/A</definedName>
    <definedName name="ро_2">#N/A</definedName>
    <definedName name="ро_3">#N/A</definedName>
    <definedName name="ррр">#REF!</definedName>
    <definedName name="ррр_1">#REF!</definedName>
    <definedName name="рррр">#REF!</definedName>
    <definedName name="рррр_1">#REF!</definedName>
    <definedName name="с">#N/A</definedName>
    <definedName name="с_1">#N/A</definedName>
    <definedName name="с_2">#N/A</definedName>
    <definedName name="с_3">#N/A</definedName>
    <definedName name="с_4" localSheetId="0">'Приложение №1 (2.7) ОБЩАЯ'!с_4</definedName>
    <definedName name="с_4">с_4</definedName>
    <definedName name="с_5" localSheetId="0">'Приложение №1 (2.7) ОБЩАЯ'!с_5</definedName>
    <definedName name="с_5">с_5</definedName>
    <definedName name="с_6" localSheetId="0">'Приложение №1 (2.7) ОБЩАЯ'!с_6</definedName>
    <definedName name="с_6">с_6</definedName>
    <definedName name="с_7" localSheetId="0">'Приложение №1 (2.7) ОБЩАЯ'!с_7</definedName>
    <definedName name="с_7">с_7</definedName>
    <definedName name="с_8" localSheetId="0">'Приложение №1 (2.7) ОБЩАЯ'!с_8</definedName>
    <definedName name="с_8">с_8</definedName>
    <definedName name="с_9" localSheetId="0">'Приложение №1 (2.7) ОБЩАЯ'!с_9</definedName>
    <definedName name="с_9">с_9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110л10">#REF!</definedName>
    <definedName name="с110л10_1">#REF!</definedName>
    <definedName name="с110л10_1_1">#REF!</definedName>
    <definedName name="с110л10_1_3">#REF!</definedName>
    <definedName name="с110л10_3">#REF!</definedName>
    <definedName name="с120л05">#REF!</definedName>
    <definedName name="с120л05_1">#REF!</definedName>
    <definedName name="с120л05_1_1">#REF!</definedName>
    <definedName name="с120л05_1_3">#REF!</definedName>
    <definedName name="с120л05_3">#REF!</definedName>
    <definedName name="с120л06">#REF!</definedName>
    <definedName name="с120л06_1">#REF!</definedName>
    <definedName name="с120л06_1_1">#REF!</definedName>
    <definedName name="с120л06_1_3">#REF!</definedName>
    <definedName name="с120л06_3">#REF!</definedName>
    <definedName name="с140л02">#REF!</definedName>
    <definedName name="с140л02_1">#REF!</definedName>
    <definedName name="с140л02_1_1">#REF!</definedName>
    <definedName name="с140л02_1_3">#REF!</definedName>
    <definedName name="с140л02_3">#REF!</definedName>
    <definedName name="с230л07">#REF!</definedName>
    <definedName name="с230л07_1">#REF!</definedName>
    <definedName name="с230л07_1_1">#REF!</definedName>
    <definedName name="с230л07_1_3">#REF!</definedName>
    <definedName name="с230л07_3">#REF!</definedName>
    <definedName name="с590л11">#REF!</definedName>
    <definedName name="с590л11_1">#REF!</definedName>
    <definedName name="с590л11_1_1">#REF!</definedName>
    <definedName name="с590л11_1_3">#REF!</definedName>
    <definedName name="с590л11_3">#REF!</definedName>
    <definedName name="Саратов">#REF!</definedName>
    <definedName name="см">#REF!</definedName>
    <definedName name="см_1">#REF!</definedName>
    <definedName name="см_3">#REF!</definedName>
    <definedName name="см1">#REF!</definedName>
    <definedName name="см1_1">#REF!</definedName>
    <definedName name="см1_3">#REF!</definedName>
    <definedName name="Составляющие_плана">#REF!</definedName>
    <definedName name="Составляющие_плана_1">#REF!</definedName>
    <definedName name="Составляющие_плана_3">#REF!</definedName>
    <definedName name="срок">#REF!</definedName>
    <definedName name="срок_1">#REF!</definedName>
    <definedName name="срок_1_1">#REF!</definedName>
    <definedName name="срок_1_3">#REF!</definedName>
    <definedName name="срок_3">#REF!</definedName>
    <definedName name="сс">#N/A</definedName>
    <definedName name="сс_1">#N/A</definedName>
    <definedName name="сс_2">#N/A</definedName>
    <definedName name="сс_3">#N/A</definedName>
    <definedName name="сс_4" localSheetId="0">'Приложение №1 (2.7) ОБЩАЯ'!сс_4</definedName>
    <definedName name="сс_4">сс_4</definedName>
    <definedName name="сс_5" localSheetId="0">'Приложение №1 (2.7) ОБЩАЯ'!сс_5</definedName>
    <definedName name="сс_5">сс_5</definedName>
    <definedName name="сс_6" localSheetId="0">'Приложение №1 (2.7) ОБЩАЯ'!сс_6</definedName>
    <definedName name="сс_6">сс_6</definedName>
    <definedName name="сс_7" localSheetId="0">'Приложение №1 (2.7) ОБЩАЯ'!сс_7</definedName>
    <definedName name="сс_7">сс_7</definedName>
    <definedName name="сс_8" localSheetId="0">'Приложение №1 (2.7) ОБЩАЯ'!сс_8</definedName>
    <definedName name="сс_8">сс_8</definedName>
    <definedName name="сс_9" localSheetId="0">'Приложение №1 (2.7) ОБЩАЯ'!сс_9</definedName>
    <definedName name="сс_9">сс_9</definedName>
    <definedName name="сссс">#N/A</definedName>
    <definedName name="сссс_1">#N/A</definedName>
    <definedName name="сссс_2">#N/A</definedName>
    <definedName name="сссс_3">#N/A</definedName>
    <definedName name="сссс_4" localSheetId="0">'Приложение №1 (2.7) ОБЩАЯ'!сссс_4</definedName>
    <definedName name="сссс_4">сссс_4</definedName>
    <definedName name="сссс_5" localSheetId="0">'Приложение №1 (2.7) ОБЩАЯ'!сссс_5</definedName>
    <definedName name="сссс_5">сссс_5</definedName>
    <definedName name="сссс_6" localSheetId="0">'Приложение №1 (2.7) ОБЩАЯ'!сссс_6</definedName>
    <definedName name="сссс_6">сссс_6</definedName>
    <definedName name="сссс_7" localSheetId="0">'Приложение №1 (2.7) ОБЩАЯ'!сссс_7</definedName>
    <definedName name="сссс_7">сссс_7</definedName>
    <definedName name="сссс_8" localSheetId="0">'Приложение №1 (2.7) ОБЩАЯ'!сссс_8</definedName>
    <definedName name="сссс_8">сссс_8</definedName>
    <definedName name="сссс_9" localSheetId="0">'Приложение №1 (2.7) ОБЩАЯ'!сссс_9</definedName>
    <definedName name="сссс_9">сссс_9</definedName>
    <definedName name="сссссссссссссссссссссссссссссссссссссссссс" localSheetId="0">'Приложение №1 (2.7) ОБЩАЯ'!сссссссссссссссссссссссссссссссссссссссссс</definedName>
    <definedName name="сссссссссссссссссссссссссссссссссссссссссс">[0]!сссссссссссссссссссссссссссссссссссссссссс</definedName>
    <definedName name="сссссссссссссссссссссссссссссссссссссссссс_3" localSheetId="0">'Приложение №1 (2.7) ОБЩАЯ'!сссссссссссссссссссссссссссссссссссссссссс_3</definedName>
    <definedName name="сссссссссссссссссссссссссссссссссссссссссс_3">сссссссссссссссссссссссссссссссссссссссссс_3</definedName>
    <definedName name="сссссссссссссссссссссссссссссссссссссссссс_4" localSheetId="0">'Приложение №1 (2.7) ОБЩАЯ'!сссссссссссссссссссссссссссссссссссссссссс_4</definedName>
    <definedName name="сссссссссссссссссссссссссссссссссссссссссс_4">сссссссссссссссссссссссссссссссссссссссссс_4</definedName>
    <definedName name="сссссссссссссссссссссссссссссссссссссссссс_5" localSheetId="0">'Приложение №1 (2.7) ОБЩАЯ'!сссссссссссссссссссссссссссссссссссссссссс_5</definedName>
    <definedName name="сссссссссссссссссссссссссссссссссссссссссс_5">сссссссссссссссссссссссссссссссссссссссссс_5</definedName>
    <definedName name="сссссссссссссссссссссссссссссссссссссссссс_6" localSheetId="0">'Приложение №1 (2.7) ОБЩАЯ'!сссссссссссссссссссссссссссссссссссссссссс_6</definedName>
    <definedName name="сссссссссссссссссссссссссссссссссссссссссс_6">сссссссссссссссссссссссссссссссссссссссссс_6</definedName>
    <definedName name="сссссссссссссссссссссссссссссссссссссссссс_7" localSheetId="0">'Приложение №1 (2.7) ОБЩАЯ'!сссссссссссссссссссссссссссссссссссссссссс_7</definedName>
    <definedName name="сссссссссссссссссссссссссссссссссссссссссс_7">сссссссссссссссссссссссссссссссссссссссссс_7</definedName>
    <definedName name="сссссссссссссссссссссссссссссссссссссссссс_8" localSheetId="0">'Приложение №1 (2.7) ОБЩАЯ'!сссссссссссссссссссссссссссссссссссссссссс_8</definedName>
    <definedName name="сссссссссссссссссссссссссссссссссссссссссс_8">сссссссссссссссссссссссссссссссссссссссссс_8</definedName>
    <definedName name="сссссссссссссссссссссссссссссссссссссссссс_9" localSheetId="0">'Приложение №1 (2.7) ОБЩАЯ'!сссссссссссссссссссссссссссссссссссссссссс_9</definedName>
    <definedName name="сссссссссссссссссссссссссссссссссссссссссс_9">сссссссссссссссссссссссссссссссссссссссссс_9</definedName>
    <definedName name="ссы">#N/A</definedName>
    <definedName name="ссы_1">#N/A</definedName>
    <definedName name="ссы_2">#N/A</definedName>
    <definedName name="ссы_3">#N/A</definedName>
    <definedName name="ссы_4" localSheetId="0">'Приложение №1 (2.7) ОБЩАЯ'!ссы_4</definedName>
    <definedName name="ссы_4">ссы_4</definedName>
    <definedName name="ссы_5" localSheetId="0">'Приложение №1 (2.7) ОБЩАЯ'!ссы_5</definedName>
    <definedName name="ссы_5">ссы_5</definedName>
    <definedName name="ссы_6" localSheetId="0">'Приложение №1 (2.7) ОБЩАЯ'!ссы_6</definedName>
    <definedName name="ссы_6">ссы_6</definedName>
    <definedName name="ссы_7" localSheetId="0">'Приложение №1 (2.7) ОБЩАЯ'!ссы_7</definedName>
    <definedName name="ссы_7">ссы_7</definedName>
    <definedName name="ссы_8" localSheetId="0">'Приложение №1 (2.7) ОБЩАЯ'!ссы_8</definedName>
    <definedName name="ссы_8">ссы_8</definedName>
    <definedName name="ссы_9" localSheetId="0">'Приложение №1 (2.7) ОБЩАЯ'!ссы_9</definedName>
    <definedName name="ссы_9">ссы_9</definedName>
    <definedName name="Стандарт">#REF!</definedName>
    <definedName name="Стандарт_1">#REF!</definedName>
    <definedName name="Стандарт_3">#REF!</definedName>
    <definedName name="сто">#REF!</definedName>
    <definedName name="сто_3">#REF!</definedName>
    <definedName name="сто_6">"$#ССЫЛ!.$#ССЫЛ!$#ССЫЛ!"</definedName>
    <definedName name="сто_проц_ф">#REF!</definedName>
    <definedName name="сто_процентов">#REF!</definedName>
    <definedName name="субъект">#REF!</definedName>
    <definedName name="субъект_1">#REF!</definedName>
    <definedName name="субъект_3">#REF!</definedName>
    <definedName name="тар">#N/A</definedName>
    <definedName name="тар_1">#N/A</definedName>
    <definedName name="тар_2">#N/A</definedName>
    <definedName name="тар_3">#N/A</definedName>
    <definedName name="ТАР2">#N/A</definedName>
    <definedName name="ТАР2_1">#N/A</definedName>
    <definedName name="ТАР2_2">#N/A</definedName>
    <definedName name="ТАР2_3">#N/A</definedName>
    <definedName name="Тариф3">#N/A</definedName>
    <definedName name="Тариф3_1">#N/A</definedName>
    <definedName name="Тариф3_2">#N/A</definedName>
    <definedName name="Тариф3_3">#N/A</definedName>
    <definedName name="тел">#REF!</definedName>
    <definedName name="тел_1">#REF!</definedName>
    <definedName name="тел_1_1">#REF!</definedName>
    <definedName name="тел_1_3">#REF!</definedName>
    <definedName name="тел_3">#REF!</definedName>
    <definedName name="тепло_проц_ф">#REF!</definedName>
    <definedName name="тепло_процент">#REF!</definedName>
    <definedName name="Тип_объекта">#REF!</definedName>
    <definedName name="Тип_объекта_1">#REF!</definedName>
    <definedName name="Тип_объекта_3">#REF!</definedName>
    <definedName name="третий">#REF!</definedName>
    <definedName name="ттт">#REF!</definedName>
    <definedName name="ТЭЦ">#N/A</definedName>
    <definedName name="ТЭЦ_1">#N/A</definedName>
    <definedName name="ТЭЦ_2">#N/A</definedName>
    <definedName name="ТЭЦ_3">#N/A</definedName>
    <definedName name="у">#N/A</definedName>
    <definedName name="у_1">#N/A</definedName>
    <definedName name="у_2">#N/A</definedName>
    <definedName name="у_3">#N/A</definedName>
    <definedName name="у_4" localSheetId="0">'Приложение №1 (2.7) ОБЩАЯ'!у_4</definedName>
    <definedName name="у_4">у_4</definedName>
    <definedName name="у_5" localSheetId="0">'Приложение №1 (2.7) ОБЩАЯ'!у_5</definedName>
    <definedName name="у_5">у_5</definedName>
    <definedName name="у_6" localSheetId="0">'Приложение №1 (2.7) ОБЩАЯ'!у_6</definedName>
    <definedName name="у_6">у_6</definedName>
    <definedName name="у_7" localSheetId="0">'Приложение №1 (2.7) ОБЩАЯ'!у_7</definedName>
    <definedName name="у_7">у_7</definedName>
    <definedName name="у_8" localSheetId="0">'Приложение №1 (2.7) ОБЩАЯ'!у_8</definedName>
    <definedName name="у_8">у_8</definedName>
    <definedName name="у_9" localSheetId="0">'Приложение №1 (2.7) ОБЩАЯ'!у_9</definedName>
    <definedName name="у_9">у_9</definedName>
    <definedName name="УА" localSheetId="0">'Приложение №1 (2.7) ОБЩАЯ'!УА</definedName>
    <definedName name="УА">[0]!УА</definedName>
    <definedName name="ул">#REF!</definedName>
    <definedName name="ул_1">#REF!</definedName>
    <definedName name="ул_1_1">#REF!</definedName>
    <definedName name="ул_1_3">#REF!</definedName>
    <definedName name="ул_3">#REF!</definedName>
    <definedName name="УП" localSheetId="0">'Приложение №1 (2.7) ОБЩАЯ'!УП</definedName>
    <definedName name="УП">[0]!УП</definedName>
    <definedName name="УП_3" localSheetId="0">'Приложение №1 (2.7) ОБЩАЯ'!УП_3</definedName>
    <definedName name="УП_3">УП_3</definedName>
    <definedName name="УП_4" localSheetId="0">'Приложение №1 (2.7) ОБЩАЯ'!УП_4</definedName>
    <definedName name="УП_4">УП_4</definedName>
    <definedName name="УП_5" localSheetId="0">'Приложение №1 (2.7) ОБЩАЯ'!УП_5</definedName>
    <definedName name="УП_5">УП_5</definedName>
    <definedName name="УП_6" localSheetId="0">'Приложение №1 (2.7) ОБЩАЯ'!УП_6</definedName>
    <definedName name="УП_6">УП_6</definedName>
    <definedName name="УП_7" localSheetId="0">'Приложение №1 (2.7) ОБЩАЯ'!УП_7</definedName>
    <definedName name="УП_7">УП_7</definedName>
    <definedName name="УП_8" localSheetId="0">'Приложение №1 (2.7) ОБЩАЯ'!УП_8</definedName>
    <definedName name="УП_8">УП_8</definedName>
    <definedName name="УП_9" localSheetId="0">'Приложение №1 (2.7) ОБЩАЯ'!УП_9</definedName>
    <definedName name="УП_9">УП_9</definedName>
    <definedName name="уфэ" localSheetId="0">'Приложение №1 (2.7) ОБЩАЯ'!уфэ</definedName>
    <definedName name="уфэ">[0]!уфэ</definedName>
    <definedName name="уфэ_3" localSheetId="0">'Приложение №1 (2.7) ОБЩАЯ'!уфэ_3</definedName>
    <definedName name="уфэ_3">уфэ_3</definedName>
    <definedName name="уфэ_4" localSheetId="0">'Приложение №1 (2.7) ОБЩАЯ'!уфэ_4</definedName>
    <definedName name="уфэ_4">уфэ_4</definedName>
    <definedName name="уфэ_5" localSheetId="0">'Приложение №1 (2.7) ОБЩАЯ'!уфэ_5</definedName>
    <definedName name="уфэ_5">уфэ_5</definedName>
    <definedName name="уфэ_6" localSheetId="0">'Приложение №1 (2.7) ОБЩАЯ'!уфэ_6</definedName>
    <definedName name="уфэ_6">уфэ_6</definedName>
    <definedName name="уфэ_7" localSheetId="0">'Приложение №1 (2.7) ОБЩАЯ'!уфэ_7</definedName>
    <definedName name="уфэ_7">уфэ_7</definedName>
    <definedName name="уфэ_8" localSheetId="0">'Приложение №1 (2.7) ОБЩАЯ'!уфэ_8</definedName>
    <definedName name="уфэ_8">уфэ_8</definedName>
    <definedName name="уфэ_9" localSheetId="0">'Приложение №1 (2.7) ОБЩАЯ'!уфэ_9</definedName>
    <definedName name="уфэ_9">уфэ_9</definedName>
    <definedName name="фо_а_н_пц">[30]рабочий!$AR$240:$BI$263</definedName>
    <definedName name="фо_а_с_пц">[30]рабочий!$AS$202:$BI$224</definedName>
    <definedName name="фо_н_03">[30]рабочий!$X$305:$X$327</definedName>
    <definedName name="фо_н_04">[30]рабочий!$X$335:$X$357</definedName>
    <definedName name="форма">#N/A</definedName>
    <definedName name="форма_1">#N/A</definedName>
    <definedName name="форма_2">#N/A</definedName>
    <definedName name="форма_3">#N/A</definedName>
    <definedName name="фф">'[47]Гр5(о)'!#REF!</definedName>
    <definedName name="ффф">#REF!</definedName>
    <definedName name="фыв" localSheetId="0">'Приложение №1 (2.7) ОБЩАЯ'!фыв</definedName>
    <definedName name="фыв">[0]!фыв</definedName>
    <definedName name="фыв_3" localSheetId="0">'Приложение №1 (2.7) ОБЩАЯ'!фыв_3</definedName>
    <definedName name="фыв_3">фыв_3</definedName>
    <definedName name="фыв_4" localSheetId="0">'Приложение №1 (2.7) ОБЩАЯ'!фыв_4</definedName>
    <definedName name="фыв_4">фыв_4</definedName>
    <definedName name="фыв_5" localSheetId="0">'Приложение №1 (2.7) ОБЩАЯ'!фыв_5</definedName>
    <definedName name="фыв_5">фыв_5</definedName>
    <definedName name="фыв_6" localSheetId="0">'Приложение №1 (2.7) ОБЩАЯ'!фыв_6</definedName>
    <definedName name="фыв_6">фыв_6</definedName>
    <definedName name="фыв_7" localSheetId="0">'Приложение №1 (2.7) ОБЩАЯ'!фыв_7</definedName>
    <definedName name="фыв_7">фыв_7</definedName>
    <definedName name="фыв_8" localSheetId="0">'Приложение №1 (2.7) ОБЩАЯ'!фыв_8</definedName>
    <definedName name="фыв_8">фыв_8</definedName>
    <definedName name="фыв_9" localSheetId="0">'Приложение №1 (2.7) ОБЩАЯ'!фыв_9</definedName>
    <definedName name="фыв_9">фыв_9</definedName>
    <definedName name="ц">#N/A</definedName>
    <definedName name="ц.">#N/A</definedName>
    <definedName name="ц._1">#N/A</definedName>
    <definedName name="ц._2">#N/A</definedName>
    <definedName name="ц._3">#N/A</definedName>
    <definedName name="ц_1">#N/A</definedName>
    <definedName name="ц_2">#N/A</definedName>
    <definedName name="ц_3">#N/A</definedName>
    <definedName name="ц_4" localSheetId="0">'Приложение №1 (2.7) ОБЩАЯ'!ц_4</definedName>
    <definedName name="ц_4">ц_4</definedName>
    <definedName name="ц_5" localSheetId="0">'Приложение №1 (2.7) ОБЩАЯ'!ц_5</definedName>
    <definedName name="ц_5">ц_5</definedName>
    <definedName name="ц_6" localSheetId="0">'Приложение №1 (2.7) ОБЩАЯ'!ц_6</definedName>
    <definedName name="ц_6">ц_6</definedName>
    <definedName name="ц_7" localSheetId="0">'Приложение №1 (2.7) ОБЩАЯ'!ц_7</definedName>
    <definedName name="ц_7">ц_7</definedName>
    <definedName name="ц_8" localSheetId="0">'Приложение №1 (2.7) ОБЩАЯ'!ц_8</definedName>
    <definedName name="ц_8">ц_8</definedName>
    <definedName name="ц_9" localSheetId="0">'Приложение №1 (2.7) ОБЩАЯ'!ц_9</definedName>
    <definedName name="ц_9">ц_9</definedName>
    <definedName name="цены">#REF!</definedName>
    <definedName name="цу">#N/A</definedName>
    <definedName name="цу_1">#N/A</definedName>
    <definedName name="цу_2">#N/A</definedName>
    <definedName name="цу_3">#N/A</definedName>
    <definedName name="цу_4" localSheetId="0">'Приложение №1 (2.7) ОБЩАЯ'!цу_4</definedName>
    <definedName name="цу_4">цу_4</definedName>
    <definedName name="цу_5" localSheetId="0">'Приложение №1 (2.7) ОБЩАЯ'!цу_5</definedName>
    <definedName name="цу_5">цу_5</definedName>
    <definedName name="цу_6" localSheetId="0">'Приложение №1 (2.7) ОБЩАЯ'!цу_6</definedName>
    <definedName name="цу_6">цу_6</definedName>
    <definedName name="цу_7" localSheetId="0">'Приложение №1 (2.7) ОБЩАЯ'!цу_7</definedName>
    <definedName name="цу_7">цу_7</definedName>
    <definedName name="цу_8" localSheetId="0">'Приложение №1 (2.7) ОБЩАЯ'!цу_8</definedName>
    <definedName name="цу_8">цу_8</definedName>
    <definedName name="цу_9" localSheetId="0">'Приложение №1 (2.7) ОБЩАЯ'!цу_9</definedName>
    <definedName name="цу_9">цу_9</definedName>
    <definedName name="четвертый">#REF!</definedName>
    <definedName name="ччxxxxxxxxxxxxxxxxxxxxxxxxxxxxxxxx" localSheetId="0">'Приложение №1 (2.7) ОБЩАЯ'!ччxxxxxxxxxxxxxxxxxxxxxxxxxxxxxxxx</definedName>
    <definedName name="ччxxxxxxxxxxxxxxxxxxxxxxxxxxxxxxxx">[0]!ччxxxxxxxxxxxxxxxxxxxxxxxxxxxxxxxx</definedName>
    <definedName name="ччxxxxxxxxxxxxxxxxxxxxxxxxxxxxxxxx_3" localSheetId="0">'Приложение №1 (2.7) ОБЩАЯ'!ччxxxxxxxxxxxxxxxxxxxxxxxxxxxxxxxx_3</definedName>
    <definedName name="ччxxxxxxxxxxxxxxxxxxxxxxxxxxxxxxxx_3">ччxxxxxxxxxxxxxxxxxxxxxxxxxxxxxxxx_3</definedName>
    <definedName name="ччxxxxxxxxxxxxxxxxxxxxxxxxxxxxxxxx_4" localSheetId="0">'Приложение №1 (2.7) ОБЩАЯ'!ччxxxxxxxxxxxxxxxxxxxxxxxxxxxxxxxx_4</definedName>
    <definedName name="ччxxxxxxxxxxxxxxxxxxxxxxxxxxxxxxxx_4">ччxxxxxxxxxxxxxxxxxxxxxxxxxxxxxxxx_4</definedName>
    <definedName name="ччxxxxxxxxxxxxxxxxxxxxxxxxxxxxxxxx_5" localSheetId="0">'Приложение №1 (2.7) ОБЩАЯ'!ччxxxxxxxxxxxxxxxxxxxxxxxxxxxxxxxx_5</definedName>
    <definedName name="ччxxxxxxxxxxxxxxxxxxxxxxxxxxxxxxxx_5">ччxxxxxxxxxxxxxxxxxxxxxxxxxxxxxxxx_5</definedName>
    <definedName name="ччxxxxxxxxxxxxxxxxxxxxxxxxxxxxxxxx_6" localSheetId="0">'Приложение №1 (2.7) ОБЩАЯ'!ччxxxxxxxxxxxxxxxxxxxxxxxxxxxxxxxx_6</definedName>
    <definedName name="ччxxxxxxxxxxxxxxxxxxxxxxxxxxxxxxxx_6">ччxxxxxxxxxxxxxxxxxxxxxxxxxxxxxxxx_6</definedName>
    <definedName name="ччxxxxxxxxxxxxxxxxxxxxxxxxxxxxxxxx_7" localSheetId="0">'Приложение №1 (2.7) ОБЩАЯ'!ччxxxxxxxxxxxxxxxxxxxxxxxxxxxxxxxx_7</definedName>
    <definedName name="ччxxxxxxxxxxxxxxxxxxxxxxxxxxxxxxxx_7">ччxxxxxxxxxxxxxxxxxxxxxxxxxxxxxxxx_7</definedName>
    <definedName name="ччxxxxxxxxxxxxxxxxxxxxxxxxxxxxxxxx_8" localSheetId="0">'Приложение №1 (2.7) ОБЩАЯ'!ччxxxxxxxxxxxxxxxxxxxxxxxxxxxxxxxx_8</definedName>
    <definedName name="ччxxxxxxxxxxxxxxxxxxxxxxxxxxxxxxxx_8">ччxxxxxxxxxxxxxxxxxxxxxxxxxxxxxxxx_8</definedName>
    <definedName name="ччxxxxxxxxxxxxxxxxxxxxxxxxxxxxxxxx_9" localSheetId="0">'Приложение №1 (2.7) ОБЩАЯ'!ччxxxxxxxxxxxxxxxxxxxxxxxxxxxxxxxx_9</definedName>
    <definedName name="ччxxxxxxxxxxxxxxxxxxxxxxxxxxxxxxxx_9">ччxxxxxxxxxxxxxxxxxxxxxxxxxxxxxxxx_9</definedName>
    <definedName name="щ">#N/A</definedName>
    <definedName name="щ_1">#N/A</definedName>
    <definedName name="щ_2">#N/A</definedName>
    <definedName name="щ_3">#N/A</definedName>
    <definedName name="ъ">#N/A</definedName>
    <definedName name="ъ_1">#N/A</definedName>
    <definedName name="ъ_2">#N/A</definedName>
    <definedName name="ъ_3">#N/A</definedName>
    <definedName name="ъъъъъъъъъъъъъъъъъъъъъъъъъъъъъъъъъъъъъъъъъъъъъъъъъъъъъъъъъъъъъъъъъ" localSheetId="0">'Приложение №1 (2.7) ОБЩАЯ'!ъъъъъъъъъъъъъъъъъъъъъъъъъъъъъъъъъъъъъъъъъъъъъъъъъъъъъъъъъъъъъъъъъ</definedName>
    <definedName name="ъъъъъъъъъъъъъъъъъъъъъъъъъъъъъъъъъъъъъъъъъъъъъъъъъъъъъъъъъъъъъъъъъ">[0]!ъъъъъъъъъъъъъъъъъъъъъъъъъъъъъъъъъъъъъъъъъъъъъъъъъъъъъъъъъъъъъъъъъ</definedName>
    <definedName name="ъъъъъъъъъъъъъъъъъъъъъъъъъъъъъъъъъъъъъъъъъъъъъъъъъъъъъъъъъъъъъъъъъ_3" localSheetId="0">'Приложение №1 (2.7) ОБЩАЯ'!ъъъъъъъъъъъъъъъъъъъъъъъъъъъъъъъъъъъъъъъъъъъъъъъъъъъъъъъъъъъъъъъъъ_3</definedName>
    <definedName name="ъъъъъъъъъъъъъъъъъъъъъъъъъъъъъъъъъъъъъъъъъъъъъъъъъъъъъъъъъъъъъъъъъ_3">ъъъъъъъъъъъъъъъъъъъъъъъъъъъъъъъъъъъъъъъъъъъъъъъъъъъъъъъъъъъъъъъъъ_3</definedName>
    <definedName name="ъъъъъъъъъъъъъъъъъъъъъъъъъъъъъъъъъъъъъъъъъъъъъъъъъъъъъъъъъъъъъъъъъ_4" localSheetId="0">'Приложение №1 (2.7) ОБЩАЯ'!ъъъъъъъъъъъъъъъъъъъъъъъъъъъъъъъъъъъъъъъъъъъъъъъъъъъъъъъъъъъъъъъъъ_4</definedName>
    <definedName name="ъъъъъъъъъъъъъъъъъъъъъъъъъъъъъъъъъъъъъъъъъъъъъъъъъъъъъъъъъъъъъъъъъ_4">ъъъъъъъъъъъъъъъъъъъъъъъъъъъъъъъъъъъъъъъъъъъъъъъъъъъъъъъъъъъъъъъъъ_4</definedName>
    <definedName name="ъъъъъъъъъъъъъъъъъъъъъъъъъъъъъъъъъъъъъъъъъъъъъъъъъъъъъъъъъъъъъъъъъ_5" localSheetId="0">'Приложение №1 (2.7) ОБЩАЯ'!ъъъъъъъъъъъъъъъъъъъъъъъъъъъъъъъъъъъъъъъъъъъъъъъъъъъъъъъъъъъъъъъъъ_5</definedName>
    <definedName name="ъъъъъъъъъъъъъъъъъъъъъъъъъъъъъъъъъъъъъъъъъъъъъъъъъъъъъъъъъъъъъъъъъ_5">ъъъъъъъъъъъъъъъъъъъъъъъъъъъъъъъъъъъъъъъъъъъъъъъъъъъъъъъъъъъъъъъъъ_5</definedName>
    <definedName name="ъъъъъъъъъъъъъъъъъъъъъъъъъъъъъъъъъъъъъъъъъъъъъъъъъъъъъъъъъъъъъъъъъ_6" localSheetId="0">'Приложение №1 (2.7) ОБЩАЯ'!ъъъъъъъъъъъъъъъъъъъъъъъъъъъъъъъъъъъъъъъъъъъъъъъъъъъъъъъъъъъъъъъъъ_6</definedName>
    <definedName name="ъъъъъъъъъъъъъъъъъъъъъъъъъъъъъъъъъъъъъъъъъъъъъъъъъъъъъъъъъъъъъъъъъ_6">ъъъъъъъъъъъъъъъъъъъъъъъъъъъъъъъъъъъъъъъъъъъъъъъъъъъъъъъъъъъъъъъъъ_6</definedName>
    <definedName name="ъъъъъъъъъъъъъъъъъъъъъъъъъъъъъъъъъъъъъъъъъъъъъъъъъъъъъъъъъъъъъъъъъ_7" localSheetId="0">'Приложение №1 (2.7) ОБЩАЯ'!ъъъъъъъъъъъъъъъъъъъъъъъъъъъъъъъъъъъъъъъъъъъъъъъъъъъъъъъъъъъъъъъъъ_7</definedName>
    <definedName name="ъъъъъъъъъъъъъъъъъъъъъъъъъъъъъъъъъъъъъъъъъъъъъъъъъъъъъъъъъъъъъъъъъ_7">ъъъъъъъъъъъъъъъъъъъъъъъъъъъъъъъъъъъъъъъъъъъъъъъъъъъъъъъъъъъъъъъъъ_7</definedName>
    <definedName name="ъъъъъъъъъъъъъъъъъъъъъъъъъъъъъъъъъъъъъъъъъъъъъъъъъъъъъъъъъъъъъъъъъ_8" localSheetId="0">'Приложение №1 (2.7) ОБЩАЯ'!ъъъъъъъъъъъъъъъъъъъъъъъъъъъъъъъъъъъъъъъъъъъъъъъъъъъъъъъъъъъъъъъъъ_8</definedName>
    <definedName name="ъъъъъъъъъъъъъъъъъъъъъъъъъъъъъъъъъъъъъъъъъъъъъъъъъъъъъъъъъъъъъъъъъ_8">ъъъъъъъъъъъъъъъъъъъъъъъъъъъъъъъъъъъъъъъъъъъъъъъъъъъъъъъъъъъъъъъъъ_8</definedName>
    <definedName name="ъъъъъъъъъъъъъъъъъъъъъъъъъъъъъъъъъъъъъъъъъъъъъъъъъъъъъъъъъъъъъъъъъ_9" localSheetId="0">'Приложение №1 (2.7) ОБЩАЯ'!ъъъъъъъъъъъъъъъъъъъъъъъъъъъъъъъъъъъъъъъъъъъъъъъъъъъъъъъъъъъъъъъъъ_9</definedName>
    <definedName name="ъъъъъъъъъъъъъъъъъъъъъъъъъъъъъъъъъъъъъъъъъъъъъъъъъъъъъъъъъъъъъъъъъ_9">ъъъъъъъъъъъъъъъъъъъъъъъъъъъъъъъъъъъъъъъъъъъъъъъъъъъъъъъъъъъъъъъъъ_9</definedName>
    <definedName name="ъъъъъъъъъъъъъъъъъъъъъъьь" localSheetId="0">'Приложение №1 (2.7) ОБЩАЯ'!ъъъъъъъъъъъъъъъъъъъъъъьь</definedName>
    <definedName name="ъъъъъъъъъъъъъъъъъъъъъъьь">[0]!ъъъъъъъъъъъъъъъъъъъъъъьь</definedName>
    <definedName name="ъъъъъъъъъъъъъъъъъъъъъъьь_3" localSheetId="0">'Приложение №1 (2.7) ОБЩАЯ'!ъъъъъъъъъъъъъъъъъъъъъъьь_3</definedName>
    <definedName name="ъъъъъъъъъъъъъъъъъъъъъъьь_3">ъъъъъъъъъъъъъъъъъъъъъъьь_3</definedName>
    <definedName name="ъъъъъъъъъъъъъъъъъъъъъъьь_4" localSheetId="0">'Приложение №1 (2.7) ОБЩАЯ'!ъъъъъъъъъъъъъъъъъъъъъъьь_4</definedName>
    <definedName name="ъъъъъъъъъъъъъъъъъъъъъъьь_4">ъъъъъъъъъъъъъъъъъъъъъъьь_4</definedName>
    <definedName name="ъъъъъъъъъъъъъъъъъъъъъъьь_5" localSheetId="0">'Приложение №1 (2.7) ОБЩАЯ'!ъъъъъъъъъъъъъъъъъъъъъъьь_5</definedName>
    <definedName name="ъъъъъъъъъъъъъъъъъъъъъъьь_5">ъъъъъъъъъъъъъъъъъъъъъъьь_5</definedName>
    <definedName name="ъъъъъъъъъъъъъъъъъъъъъъьь_6" localSheetId="0">'Приложение №1 (2.7) ОБЩАЯ'!ъъъъъъъъъъъъъъъъъъъъъъьь_6</definedName>
    <definedName name="ъъъъъъъъъъъъъъъъъъъъъъьь_6">ъъъъъъъъъъъъъъъъъъъъъъьь_6</definedName>
    <definedName name="ъъъъъъъъъъъъъъъъъъъъъъьь_7" localSheetId="0">'Приложение №1 (2.7) ОБЩАЯ'!ъъъъъъъъъъъъъъъъъъъъъъьь_7</definedName>
    <definedName name="ъъъъъъъъъъъъъъъъъъъъъъьь_7">ъъъъъъъъъъъъъъъъъъъъъъьь_7</definedName>
    <definedName name="ъъъъъъъъъъъъъъъъъъъъъъьь_8" localSheetId="0">'Приложение №1 (2.7) ОБЩАЯ'!ъъъъъъъъъъъъъъъъъъъъъъьь_8</definedName>
    <definedName name="ъъъъъъъъъъъъъъъъъъъъъъьь_8">ъъъъъъъъъъъъъъъъъъъъъъьь_8</definedName>
    <definedName name="ъъъъъъъъъъъъъъъъъъъъъъьь_9" localSheetId="0">'Приложение №1 (2.7) ОБЩАЯ'!ъъъъъъъъъъъъъъъъъъъъъъьь_9</definedName>
    <definedName name="ъъъъъъъъъъъъъъъъъъъъъъьь_9">ъъъъъъъъъъъъъъъъъъъъъъьь_9</definedName>
    <definedName name="ъъъъъъъъъььььььььь" localSheetId="0">'Приложение №1 (2.7) ОБЩАЯ'!ъъъъъъъъъььььььььь</definedName>
    <definedName name="ъъъъъъъъъььььььььь">[0]!ъъъъъъъъъььььььььь</definedName>
    <definedName name="ъъъъъъъъъььььььььь_3" localSheetId="0">'Приложение №1 (2.7) ОБЩАЯ'!ъъъъъъъъъььььььььь_3</definedName>
    <definedName name="ъъъъъъъъъььььььььь_3">ъъъъъъъъъььььььььь_3</definedName>
    <definedName name="ъъъъъъъъъььььььььь_4" localSheetId="0">'Приложение №1 (2.7) ОБЩАЯ'!ъъъъъъъъъььььььььь_4</definedName>
    <definedName name="ъъъъъъъъъььььььььь_4">ъъъъъъъъъььььььььь_4</definedName>
    <definedName name="ъъъъъъъъъььььььььь_5" localSheetId="0">'Приложение №1 (2.7) ОБЩАЯ'!ъъъъъъъъъььььььььь_5</definedName>
    <definedName name="ъъъъъъъъъььььььььь_5">ъъъъъъъъъььььььььь_5</definedName>
    <definedName name="ъъъъъъъъъььььььььь_6" localSheetId="0">'Приложение №1 (2.7) ОБЩАЯ'!ъъъъъъъъъььььььььь_6</definedName>
    <definedName name="ъъъъъъъъъььььььььь_6">ъъъъъъъъъььььььььь_6</definedName>
    <definedName name="ъъъъъъъъъььььььььь_7" localSheetId="0">'Приложение №1 (2.7) ОБЩАЯ'!ъъъъъъъъъььььььььь_7</definedName>
    <definedName name="ъъъъъъъъъььььььььь_7">ъъъъъъъъъььььььььь_7</definedName>
    <definedName name="ъъъъъъъъъььььььььь_8" localSheetId="0">'Приложение №1 (2.7) ОБЩАЯ'!ъъъъъъъъъььььььььь_8</definedName>
    <definedName name="ъъъъъъъъъььььььььь_8">ъъъъъъъъъььььььььь_8</definedName>
    <definedName name="ъъъъъъъъъььььььььь_9" localSheetId="0">'Приложение №1 (2.7) ОБЩАЯ'!ъъъъъъъъъььььььььь_9</definedName>
    <definedName name="ъъъъъъъъъььььььььь_9">ъъъъъъъъъььььььььь_9</definedName>
    <definedName name="ъъъъъъъъъьььььььььььььььььььььъъъъъъъъъъъъъъъъъъъъъъъъъъъъъъъъъъъъъъъъъъъъъъъъъъъъъъъъъъъъъъъъъ" localSheetId="0">'Приложение №1 (2.7) ОБЩАЯ'!ъъъъъъъъъьььььььььььььььььььььъъъъъъъъъъъъъъъъъъъъъъъъъъъъъъъъъъъъъъъъъъъъъъъъъъъъъъъъъъъъъъъъъ</definedName>
    <definedName name="ъъъъъъъъъьььььььььььььььььььььъъъъъъъъъъъъъъъъъъъъъъъъъъъъъъъъъъъъъъъъъъъъъъъъъъъъъъъъъъъъъъъъъ">[0]!ъъъъъъъъъьььььььььььььььььььььъъъъъъъъъъъъъъъъъъъъъъъъъъъъъъъъъъъъъъъъъъъъъъъъъъъъъъъъъъъъъъъъъ</definedName>
    <definedName name="ъъъъъъъъъьььььььььььььььььььььъъъъъъъъъъъъъъъъъъъъъъъъъъъъъъъъъъъъъъъъъъъъъъъъъъъъъъъъъъъъъъъъъ_3" localSheetId="0">'Приложение №1 (2.7) ОБЩАЯ'!ъъъъъъъъъьььььььььььььььььььььъъъъъъъъъъъъъъъъъъъъъъъъъъъъъъъъъъъъъъъъъъъъъъъъъъъъъъъъъъъъъъъъъ_3</definedName>
    <definedName name="ъъъъъъъъъьььььььььььььььььььььъъъъъъъъъъъъъъъъъъъъъъъъъъъъъъъъъъъъъъъъъъъъъъъъъъъъъъъъъъъъъъъъъ_3">ъъъъъъъъъьььььььььььььььььььььъъъъъъъъъъъъъъъъъъъъъъъъъъъъъъъъъъъъъъъъъъъъъъъъъъъъъъъъъъъъъъъъъ_3</definedName>
    <definedName name="ъъъъъъъъъьььььььььььььььььььььъъъъъъъъъъъъъъъъъъъъъъъъъъъъъъъъъъъъъъъъъъъъъъъъъъъъъъъъъъъъъъъъъ_4" localSheetId="0">'Приложение №1 (2.7) ОБЩАЯ'!ъъъъъъъъъьььььььььььььььььььььъъъъъъъъъъъъъъъъъъъъъъъъъъъъъъъъъъъъъъъъъъъъъъъъъъъъъъъъъъъъъъъъъ_4</definedName>
    <definedName name="ъъъъъъъъъьььььььььььььььььььььъъъъъъъъъъъъъъъъъъъъъъъъъъъъъъъъъъъъъъъъъъъъъъъъъъъъъъъъъъъъъъъъъ_4">ъъъъъъъъъьььььььььььььььььььььъъъъъъъъъъъъъъъъъъъъъъъъъъъъъъъъъъъъъъъъъъъъъъъъъъъъъъъъъъъъъъъъъ_4</definedName>
    <definedName name="ъъъъъъъъъьььььььььььььььььььььъъъъъъъъъъъъъъъъъъъъъъъъъъъъъъъъъъъъъъъъъъъъъъъъъъъъъъъъъъъъъъъъъ_5" localSheetId="0">'Приложение №1 (2.7) ОБЩАЯ'!ъъъъъъъъъьььььььььььььььььььььъъъъъъъъъъъъъъъъъъъъъъъъъъъъъъъъъъъъъъъъъъъъъъъъъъъъъъъъъъъъъъъъъ_5</definedName>
    <definedName name="ъъъъъъъъъьььььььььььььььььььььъъъъъъъъъъъъъъъъъъъъъъъъъъъъъъъъъъъъъъъъъъъъъъъъъъъъъъъъъъъъъъъъъ_5">ъъъъъъъъъьььььььььььььььььььььъъъъъъъъъъъъъъъъъъъъъъъъъъъъъъъъъъъъъъъъъъъъъъъъъъъъъъъъъъъъъъъъъ_5</definedName>
    <definedName name="ъъъъъъъъъьььььььььььььььььььььъъъъъъъъъъъъъъъъъъъъъъъъъъъъъъъъъъъъъъъъъъъъъъъъъъъъъъъъъъъъъъъъъ_6" localSheetId="0">'Приложение №1 (2.7) ОБЩАЯ'!ъъъъъъъъъьььььььььььььььььььььъъъъъъъъъъъъъъъъъъъъъъъъъъъъъъъъъъъъъъъъъъъъъъъъъъъъъъъъъъъъъъъъъ_6</definedName>
    <definedName name="ъъъъъъъъъьььььььььььььььььььььъъъъъъъъъъъъъъъъъъъъъъъъъъъъъъъъъъъъъъъъъъъъъъъъъъъъъъъъъъъъъъъъъ_6">ъъъъъъъъъьььььььььььььььььььььъъъъъъъъъъъъъъъъъъъъъъъъъъъъъъъъъъъъъъъъъъъъъъъъъъъъъъъъъъъъъъъъъ_6</definedName>
    <definedName name="ъъъъъъъъъьььььььььььььььььььььъъъъъъъъъъъъъъъъъъъъъъъъъъъъъъъъъъъъъъъъъъъъъъъъъъъъъъъъъъъъъъъъъ_7" localSheetId="0">'Приложение №1 (2.7) ОБЩАЯ'!ъъъъъъъъъьььььььььььььььььььььъъъъъъъъъъъъъъъъъъъъъъъъъъъъъъъъъъъъъъъъъъъъъъъъъъъъъъъъъъъъъъъъъ_7</definedName>
    <definedName name="ъъъъъъъъъьььььььььььььььььььььъъъъъъъъъъъъъъъъъъъъъъъъъъъъъъъъъъъъъъъъъъъъъъъъъъъъъъъъъъъъъъъъъ_7">ъъъъъъъъъьььььььььььььььььььььъъъъъъъъъъъъъъъъъъъъъъъъъъъъъъъъъъъъъъъъъъъъъъъъъъъъъъъъъъъъъъъъъ_7</definedName>
    <definedName name="ъъъъъъъъъьььььььььььььььььььььъъъъъъъъъъъъъъъъъъъъъъъъъъъъъъъъъъъъъъъъъъъъъъъъъъъъъъъъъъъъъъъъъ_8" localSheetId="0">'Приложение №1 (2.7) ОБЩАЯ'!ъъъъъъъъъьььььььььььььььььььььъъъъъъъъъъъъъъъъъъъъъъъъъъъъъъъъъъъъъъъъъъъъъъъъъъъъъъъъъъъъъъъъъ_8</definedName>
    <definedName name="ъъъъъъъъъьььььььььььььььььььььъъъъъъъъъъъъъъъъъъъъъъъъъъъъъъъъъъъъъъъъъъъъъъъъъъъъъъъъъъъъъъъъъ_8">ъъъъъъъъъьььььььььььььььььььььъъъъъъъъъъъъъъъъъъъъъъъъъъъъъъъъъъъъъъъъъъъъъъъъъъъъъъъъъъъъъъъъъ_8</definedName>
    <definedName name="ъъъъъъъъъьььььььььььььььььььььъъъъъъъъъъъъъъъъъъъъъъъъъъъъъъъъъъъъъъъъъъъъъъъъъъъъъъъъъъъъъъъъъ_9" localSheetId="0">'Приложение №1 (2.7) ОБЩАЯ'!ъъъъъъъъъьььььььььььььььььььььъъъъъъъъъъъъъъъъъъъъъъъъъъъъъъъъъъъъъъъъъъъъъъъъъъъъъъъъъъъъъъъъъ_9</definedName>
    <definedName name="ъъъъъъъъъьььььььььььььььььььььъъъъъъъъъъъъъъъъъъъъъъъъъъъъъъъъъъъъъъъъъъъъъъъъъъъъъъъъъъъъъъъъъ_9">ъъъъъъъъъьььььььььььььььььььььъъъъъъъъъъъъъъъъъъъъъъъъъъъъъъъъъъъъъъъъъъъъъъъъъъъъъъъъъъъъъъъъъ_9</definedName>
    <definedName name="ыв">#N/A</definedName>
    <definedName name="ыв_1">#N/A</definedName>
    <definedName name="ыв_2">#N/A</definedName>
    <definedName name="ыв_3">#N/A</definedName>
    <definedName name="ыв_4" localSheetId="0">'Приложение №1 (2.7) ОБЩАЯ'!ыв_4</definedName>
    <definedName name="ыв_4">ыв_4</definedName>
    <definedName name="ыв_5" localSheetId="0">'Приложение №1 (2.7) ОБЩАЯ'!ыв_5</definedName>
    <definedName name="ыв_5">ыв_5</definedName>
    <definedName name="ыв_6" localSheetId="0">'Приложение №1 (2.7) ОБЩАЯ'!ыв_6</definedName>
    <definedName name="ыв_6">ыв_6</definedName>
    <definedName name="ыв_7" localSheetId="0">'Приложение №1 (2.7) ОБЩАЯ'!ыв_7</definedName>
    <definedName name="ыв_7">ыв_7</definedName>
    <definedName name="ыв_8" localSheetId="0">'Приложение №1 (2.7) ОБЩАЯ'!ыв_8</definedName>
    <definedName name="ыв_8">ыв_8</definedName>
    <definedName name="ыв_9" localSheetId="0">'Приложение №1 (2.7) ОБЩАЯ'!ыв_9</definedName>
    <definedName name="ыв_9">ыв_9</definedName>
    <definedName name="ыыыы">#N/A</definedName>
    <definedName name="ыыыы_1">#N/A</definedName>
    <definedName name="ыыыы_2">#N/A</definedName>
    <definedName name="ыыыы_3">#N/A</definedName>
    <definedName name="ыыыы_4" localSheetId="0">'Приложение №1 (2.7) ОБЩАЯ'!ыыыы_4</definedName>
    <definedName name="ыыыы_4">ыыыы_4</definedName>
    <definedName name="ыыыы_5" localSheetId="0">'Приложение №1 (2.7) ОБЩАЯ'!ыыыы_5</definedName>
    <definedName name="ыыыы_5">ыыыы_5</definedName>
    <definedName name="ыыыы_6" localSheetId="0">'Приложение №1 (2.7) ОБЩАЯ'!ыыыы_6</definedName>
    <definedName name="ыыыы_6">ыыыы_6</definedName>
    <definedName name="ыыыы_7" localSheetId="0">'Приложение №1 (2.7) ОБЩАЯ'!ыыыы_7</definedName>
    <definedName name="ыыыы_7">ыыыы_7</definedName>
    <definedName name="ыыыы_8" localSheetId="0">'Приложение №1 (2.7) ОБЩАЯ'!ыыыы_8</definedName>
    <definedName name="ыыыы_8">ыыыы_8</definedName>
    <definedName name="ыыыы_9" localSheetId="0">'Приложение №1 (2.7) ОБЩАЯ'!ыыыы_9</definedName>
    <definedName name="ыыыы_9">ыыыы_9</definedName>
    <definedName name="ььь">#REF!</definedName>
    <definedName name="э">#REF!</definedName>
    <definedName name="электро_проц_ф">#REF!</definedName>
    <definedName name="электро_процент">#REF!</definedName>
    <definedName name="юююю">#REF!</definedName>
    <definedName name="яяяяяяяяяяяяяяяяяяяяяяяяяяяяяяяяяяяяя" localSheetId="0">'Приложение №1 (2.7) ОБЩАЯ'!яяяяяяяяяяяяяяяяяяяяяяяяяяяяяяяяяяяяя</definedName>
    <definedName name="яяяяяяяяяяяяяяяяяяяяяяяяяяяяяяяяяяяяя">[0]!яяяяяяяяяяяяяяяяяяяяяяяяяяяяяяяяяяяяя</definedName>
    <definedName name="яяяяяяяяяяяяяяяяяяяяяяяяяяяяяяяяяяяяя_3" localSheetId="0">'Приложение №1 (2.7) ОБЩАЯ'!яяяяяяяяяяяяяяяяяяяяяяяяяяяяяяяяяяяяя_3</definedName>
    <definedName name="яяяяяяяяяяяяяяяяяяяяяяяяяяяяяяяяяяяяя_3">яяяяяяяяяяяяяяяяяяяяяяяяяяяяяяяяяяяяя_3</definedName>
    <definedName name="яяяяяяяяяяяяяяяяяяяяяяяяяяяяяяяяяяяяя_4" localSheetId="0">'Приложение №1 (2.7) ОБЩАЯ'!яяяяяяяяяяяяяяяяяяяяяяяяяяяяяяяяяяяяя_4</definedName>
    <definedName name="яяяяяяяяяяяяяяяяяяяяяяяяяяяяяяяяяяяяя_4">яяяяяяяяяяяяяяяяяяяяяяяяяяяяяяяяяяяяя_4</definedName>
    <definedName name="яяяяяяяяяяяяяяяяяяяяяяяяяяяяяяяяяяяяя_5" localSheetId="0">'Приложение №1 (2.7) ОБЩАЯ'!яяяяяяяяяяяяяяяяяяяяяяяяяяяяяяяяяяяяя_5</definedName>
    <definedName name="яяяяяяяяяяяяяяяяяяяяяяяяяяяяяяяяяяяяя_5">яяяяяяяяяяяяяяяяяяяяяяяяяяяяяяяяяяяяя_5</definedName>
    <definedName name="яяяяяяяяяяяяяяяяяяяяяяяяяяяяяяяяяяяяя_6" localSheetId="0">'Приложение №1 (2.7) ОБЩАЯ'!яяяяяяяяяяяяяяяяяяяяяяяяяяяяяяяяяяяяя_6</definedName>
    <definedName name="яяяяяяяяяяяяяяяяяяяяяяяяяяяяяяяяяяяяя_6">яяяяяяяяяяяяяяяяяяяяяяяяяяяяяяяяяяяяя_6</definedName>
    <definedName name="яяяяяяяяяяяяяяяяяяяяяяяяяяяяяяяяяяяяя_7" localSheetId="0">'Приложение №1 (2.7) ОБЩАЯ'!яяяяяяяяяяяяяяяяяяяяяяяяяяяяяяяяяяяяя_7</definedName>
    <definedName name="яяяяяяяяяяяяяяяяяяяяяяяяяяяяяяяяяяяяя_7">яяяяяяяяяяяяяяяяяяяяяяяяяяяяяяяяяяяяя_7</definedName>
    <definedName name="яяяяяяяяяяяяяяяяяяяяяяяяяяяяяяяяяяяяя_8" localSheetId="0">'Приложение №1 (2.7) ОБЩАЯ'!яяяяяяяяяяяяяяяяяяяяяяяяяяяяяяяяяяяяя_8</definedName>
    <definedName name="яяяяяяяяяяяяяяяяяяяяяяяяяяяяяяяяяяяяя_8">яяяяяяяяяяяяяяяяяяяяяяяяяяяяяяяяяяяяя_8</definedName>
    <definedName name="яяяяяяяяяяяяяяяяяяяяяяяяяяяяяяяяяяяяя_9" localSheetId="0">'Приложение №1 (2.7) ОБЩАЯ'!яяяяяяяяяяяяяяяяяяяяяяяяяяяяяяяяяяяяя_9</definedName>
    <definedName name="яяяяяяяяяяяяяяяяяяяяяяяяяяяяяяяяяяяяя_9">яяяяяяяяяяяяяяяяяяяяяяяяяяяяяяяяяяяяя_9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5" l="1"/>
  <c r="B4" i="25"/>
  <c r="B7" i="25"/>
  <c r="I770" i="11"/>
  <c r="L770" i="11" s="1"/>
  <c r="I771" i="11"/>
  <c r="L771" i="11" s="1"/>
  <c r="I748" i="11"/>
  <c r="L748" i="11" s="1"/>
  <c r="O793" i="12" l="1"/>
  <c r="O104" i="12"/>
  <c r="P159" i="16" l="1"/>
  <c r="Q566" i="14"/>
  <c r="Q565" i="14"/>
  <c r="Q560" i="14"/>
  <c r="Q559" i="14"/>
  <c r="Q558" i="14"/>
  <c r="Q557" i="14"/>
  <c r="Q556" i="14"/>
  <c r="Q555" i="14"/>
  <c r="Q554" i="14"/>
  <c r="Q553" i="14"/>
  <c r="Q552" i="14"/>
  <c r="Q551" i="14"/>
  <c r="Q550" i="14"/>
  <c r="Q549" i="14"/>
  <c r="Q548" i="14"/>
  <c r="Q547" i="14"/>
  <c r="Q544" i="14"/>
  <c r="Q543" i="14"/>
  <c r="Q540" i="14"/>
  <c r="Q539" i="14"/>
  <c r="Q538" i="14"/>
  <c r="Q537" i="14"/>
  <c r="Q536" i="14"/>
  <c r="Q535" i="14"/>
  <c r="Q534" i="14"/>
  <c r="Q533" i="14"/>
  <c r="Q532" i="14"/>
  <c r="Q531" i="14"/>
  <c r="Q530" i="14"/>
  <c r="Q529" i="14"/>
  <c r="Q528" i="14"/>
  <c r="Q527" i="14"/>
  <c r="Q526" i="14"/>
  <c r="Q525" i="14"/>
  <c r="Q524" i="14"/>
  <c r="Q523" i="14"/>
  <c r="Q522" i="14"/>
  <c r="Q521" i="14"/>
  <c r="Q520" i="14"/>
  <c r="Q519" i="14"/>
  <c r="Q518" i="14"/>
  <c r="Q517" i="14"/>
  <c r="Q516" i="14"/>
  <c r="Q515" i="14"/>
  <c r="Q514" i="14"/>
  <c r="Q513" i="14"/>
  <c r="Q512" i="14"/>
  <c r="Q511" i="14"/>
  <c r="Q510" i="14"/>
  <c r="Q509" i="14"/>
  <c r="Q508" i="14"/>
  <c r="Q507" i="14"/>
  <c r="Q506" i="14"/>
  <c r="Q505" i="14"/>
  <c r="Q502" i="14"/>
  <c r="Q501" i="14"/>
  <c r="Q500" i="14"/>
  <c r="Q499" i="14"/>
  <c r="Q496" i="14"/>
  <c r="Q495" i="14"/>
  <c r="Q494" i="14"/>
  <c r="Q493" i="14"/>
  <c r="Q492" i="14"/>
  <c r="Q491" i="14"/>
  <c r="Q490" i="14"/>
  <c r="Q489" i="14"/>
  <c r="Q488" i="14"/>
  <c r="Q487" i="14"/>
  <c r="Q486" i="14"/>
  <c r="Q485" i="14"/>
  <c r="Q484" i="14"/>
  <c r="Q483" i="14"/>
  <c r="Q482" i="14"/>
  <c r="Q481" i="14"/>
  <c r="Q480" i="14"/>
  <c r="Q479" i="14"/>
  <c r="Q478" i="14"/>
  <c r="Q477" i="14"/>
  <c r="Q476" i="14"/>
  <c r="Q475" i="14"/>
  <c r="Q474" i="14"/>
  <c r="Q473" i="14"/>
  <c r="Q472" i="14"/>
  <c r="Q471" i="14"/>
  <c r="Q470" i="14"/>
  <c r="Q469" i="14"/>
  <c r="Q468" i="14"/>
  <c r="Q467" i="14"/>
  <c r="Q464" i="14"/>
  <c r="Q463" i="14"/>
  <c r="Q462" i="14"/>
  <c r="Q461" i="14"/>
  <c r="Q460" i="14"/>
  <c r="Q459" i="14"/>
  <c r="Q458" i="14"/>
  <c r="Q457" i="14"/>
  <c r="Q456" i="14"/>
  <c r="Q455" i="14"/>
  <c r="Q454" i="14"/>
  <c r="Q453" i="14"/>
  <c r="Q452" i="14"/>
  <c r="Q451" i="14"/>
  <c r="Q450" i="14"/>
  <c r="Q449" i="14"/>
  <c r="Q448" i="14"/>
  <c r="Q447" i="14"/>
  <c r="Q446" i="14"/>
  <c r="Q445" i="14"/>
  <c r="Q444" i="14"/>
  <c r="Q443" i="14"/>
  <c r="Q442" i="14"/>
  <c r="Q441" i="14"/>
  <c r="Q440" i="14"/>
  <c r="Q439" i="14"/>
  <c r="Q438" i="14"/>
  <c r="Q437" i="14"/>
  <c r="Q436" i="14"/>
  <c r="Q435" i="14"/>
  <c r="Q434" i="14"/>
  <c r="Q433" i="14"/>
  <c r="Q430" i="14"/>
  <c r="Q429" i="14"/>
  <c r="Q428" i="14"/>
  <c r="Q427" i="14"/>
  <c r="Q424" i="14"/>
  <c r="Q423" i="14"/>
  <c r="Q422" i="14"/>
  <c r="Q421" i="14"/>
  <c r="Q420" i="14"/>
  <c r="Q419" i="14"/>
  <c r="Q418" i="14"/>
  <c r="Q417" i="14"/>
  <c r="Q416" i="14"/>
  <c r="Q415" i="14"/>
  <c r="Q414" i="14"/>
  <c r="Q413" i="14"/>
  <c r="Q412" i="14"/>
  <c r="Q411" i="14"/>
  <c r="Q410" i="14"/>
  <c r="Q409" i="14"/>
  <c r="Q408" i="14"/>
  <c r="Q407" i="14"/>
  <c r="Q406" i="14"/>
  <c r="Q405" i="14"/>
  <c r="Q404" i="14"/>
  <c r="Q403" i="14"/>
  <c r="Q402" i="14"/>
  <c r="Q401" i="14"/>
  <c r="Q400" i="14"/>
  <c r="Q399" i="14"/>
  <c r="Q387" i="14"/>
  <c r="Q388" i="14"/>
  <c r="Q389" i="14"/>
  <c r="Q390" i="14"/>
  <c r="Q391" i="14"/>
  <c r="Q392" i="14"/>
  <c r="Q393" i="14"/>
  <c r="Q394" i="14"/>
  <c r="Q395" i="14"/>
  <c r="Q396" i="14"/>
  <c r="Q385" i="14"/>
  <c r="Q386" i="14"/>
  <c r="Q365" i="14"/>
  <c r="Q366" i="14"/>
  <c r="Q367" i="14"/>
  <c r="Q368" i="14"/>
  <c r="Q369" i="14"/>
  <c r="Q370" i="14"/>
  <c r="Q371" i="14"/>
  <c r="Q372" i="14"/>
  <c r="Q373" i="14"/>
  <c r="Q374" i="14"/>
  <c r="Q377" i="14"/>
  <c r="Q378" i="14"/>
  <c r="Q379" i="14"/>
  <c r="Q380" i="14"/>
  <c r="Q381" i="14"/>
  <c r="Q382" i="14"/>
  <c r="Q383" i="14"/>
  <c r="Q384" i="14"/>
  <c r="Q363" i="14"/>
  <c r="Q364" i="14"/>
  <c r="Q361" i="14"/>
  <c r="Q362" i="14"/>
  <c r="Q359" i="14"/>
  <c r="Q360" i="14"/>
  <c r="Q357" i="14"/>
  <c r="Q358" i="14"/>
  <c r="Q355" i="14"/>
  <c r="Q356" i="14"/>
  <c r="Q353" i="14"/>
  <c r="Q354" i="14"/>
  <c r="Q351" i="14"/>
  <c r="Q352" i="14"/>
  <c r="Q133" i="14"/>
  <c r="Q350" i="14"/>
  <c r="Q349" i="14"/>
  <c r="Q348" i="14"/>
  <c r="Q347" i="14"/>
  <c r="Q346" i="14"/>
  <c r="Q345" i="14"/>
  <c r="Q344" i="14"/>
  <c r="Q343" i="14"/>
  <c r="P150" i="16"/>
  <c r="P149" i="16"/>
  <c r="P148" i="16"/>
  <c r="P147" i="16"/>
  <c r="P146" i="16"/>
  <c r="P145" i="16"/>
  <c r="P132" i="16"/>
  <c r="P133" i="16"/>
  <c r="P134" i="16"/>
  <c r="P135" i="16"/>
  <c r="P136" i="16"/>
  <c r="P131" i="16"/>
  <c r="P128" i="16"/>
  <c r="P127" i="16"/>
  <c r="P126" i="16"/>
  <c r="P125" i="16"/>
  <c r="P124" i="16"/>
  <c r="P123" i="16"/>
  <c r="P121" i="16"/>
  <c r="P122" i="16"/>
  <c r="P117" i="16"/>
  <c r="P118" i="16"/>
  <c r="P119" i="16"/>
  <c r="P120" i="16"/>
  <c r="P115" i="16"/>
  <c r="P116" i="16"/>
  <c r="P114" i="16"/>
  <c r="P113" i="16"/>
  <c r="P112" i="16"/>
  <c r="P111" i="16"/>
  <c r="P110" i="16"/>
  <c r="P109" i="16"/>
  <c r="P108" i="16"/>
  <c r="P107" i="16"/>
  <c r="P106" i="16"/>
  <c r="P105" i="16"/>
  <c r="P104" i="16"/>
  <c r="P103" i="16"/>
  <c r="P101" i="16"/>
  <c r="P99" i="16"/>
  <c r="P97" i="16"/>
  <c r="P95" i="16"/>
  <c r="S5" i="12" l="1"/>
  <c r="Q305" i="14"/>
  <c r="K117" i="16" l="1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H158" i="16"/>
  <c r="K158" i="16" s="1"/>
  <c r="H157" i="16"/>
  <c r="K157" i="16" s="1"/>
  <c r="H156" i="16"/>
  <c r="K156" i="16" s="1"/>
  <c r="H155" i="16"/>
  <c r="K155" i="16" s="1"/>
  <c r="H154" i="16"/>
  <c r="K154" i="16" s="1"/>
  <c r="H153" i="16"/>
  <c r="K153" i="16" s="1"/>
  <c r="H152" i="16"/>
  <c r="K152" i="16" s="1"/>
  <c r="H151" i="16"/>
  <c r="K151" i="16" s="1"/>
  <c r="H150" i="16"/>
  <c r="K150" i="16" s="1"/>
  <c r="H149" i="16"/>
  <c r="K149" i="16" s="1"/>
  <c r="H148" i="16"/>
  <c r="K148" i="16" s="1"/>
  <c r="H147" i="16"/>
  <c r="K147" i="16" s="1"/>
  <c r="H146" i="16"/>
  <c r="K146" i="16" s="1"/>
  <c r="H145" i="16"/>
  <c r="K145" i="16" s="1"/>
  <c r="H144" i="16"/>
  <c r="K144" i="16" s="1"/>
  <c r="H143" i="16"/>
  <c r="K143" i="16" s="1"/>
  <c r="H142" i="16"/>
  <c r="K142" i="16" s="1"/>
  <c r="H141" i="16"/>
  <c r="K141" i="16" s="1"/>
  <c r="H140" i="16"/>
  <c r="K140" i="16" s="1"/>
  <c r="H139" i="16"/>
  <c r="K139" i="16" s="1"/>
  <c r="H138" i="16"/>
  <c r="K138" i="16" s="1"/>
  <c r="H137" i="16"/>
  <c r="K137" i="16" s="1"/>
  <c r="H136" i="16"/>
  <c r="K136" i="16" s="1"/>
  <c r="H135" i="16"/>
  <c r="K135" i="16" s="1"/>
  <c r="H134" i="16"/>
  <c r="K134" i="16" s="1"/>
  <c r="H133" i="16"/>
  <c r="K133" i="16" s="1"/>
  <c r="H132" i="16"/>
  <c r="K132" i="16" s="1"/>
  <c r="H131" i="16"/>
  <c r="K131" i="16" s="1"/>
  <c r="F115" i="16" l="1"/>
  <c r="F116" i="16" s="1"/>
  <c r="H116" i="16" s="1"/>
  <c r="K116" i="16" s="1"/>
  <c r="F113" i="16"/>
  <c r="F114" i="16" s="1"/>
  <c r="H114" i="16" s="1"/>
  <c r="K114" i="16" s="1"/>
  <c r="F111" i="16"/>
  <c r="H111" i="16" s="1"/>
  <c r="K111" i="16" s="1"/>
  <c r="F109" i="16"/>
  <c r="F110" i="16" s="1"/>
  <c r="H110" i="16" s="1"/>
  <c r="K110" i="16" s="1"/>
  <c r="F107" i="16"/>
  <c r="F108" i="16" s="1"/>
  <c r="H108" i="16" s="1"/>
  <c r="K108" i="16" s="1"/>
  <c r="F105" i="16"/>
  <c r="H105" i="16" s="1"/>
  <c r="K105" i="16" s="1"/>
  <c r="F103" i="16"/>
  <c r="F104" i="16" s="1"/>
  <c r="H104" i="16" s="1"/>
  <c r="K104" i="16" s="1"/>
  <c r="F101" i="16"/>
  <c r="F102" i="16" s="1"/>
  <c r="H102" i="16" s="1"/>
  <c r="K102" i="16" s="1"/>
  <c r="F99" i="16"/>
  <c r="F100" i="16" s="1"/>
  <c r="H100" i="16" s="1"/>
  <c r="K100" i="16" s="1"/>
  <c r="F97" i="16"/>
  <c r="H97" i="16" s="1"/>
  <c r="K97" i="16" s="1"/>
  <c r="F95" i="16"/>
  <c r="F96" i="16" s="1"/>
  <c r="H96" i="16" s="1"/>
  <c r="K96" i="16" s="1"/>
  <c r="G566" i="14"/>
  <c r="I566" i="14" s="1"/>
  <c r="M566" i="14" s="1"/>
  <c r="I565" i="14"/>
  <c r="G563" i="14"/>
  <c r="G564" i="14" s="1"/>
  <c r="I564" i="14" s="1"/>
  <c r="G561" i="14"/>
  <c r="G562" i="14" s="1"/>
  <c r="I562" i="14" s="1"/>
  <c r="G559" i="14"/>
  <c r="G560" i="14" s="1"/>
  <c r="I560" i="14" s="1"/>
  <c r="G557" i="14"/>
  <c r="G558" i="14" s="1"/>
  <c r="I558" i="14" s="1"/>
  <c r="G555" i="14"/>
  <c r="G556" i="14" s="1"/>
  <c r="I556" i="14" s="1"/>
  <c r="G553" i="14"/>
  <c r="G554" i="14" s="1"/>
  <c r="I554" i="14" s="1"/>
  <c r="G551" i="14"/>
  <c r="I551" i="14" s="1"/>
  <c r="G549" i="14"/>
  <c r="G550" i="14" s="1"/>
  <c r="I550" i="14" s="1"/>
  <c r="G547" i="14"/>
  <c r="G548" i="14" s="1"/>
  <c r="I548" i="14" s="1"/>
  <c r="G545" i="14"/>
  <c r="I545" i="14" s="1"/>
  <c r="G543" i="14"/>
  <c r="G544" i="14" s="1"/>
  <c r="I544" i="14" s="1"/>
  <c r="G541" i="14"/>
  <c r="G542" i="14" s="1"/>
  <c r="I542" i="14" s="1"/>
  <c r="G539" i="14"/>
  <c r="G540" i="14" s="1"/>
  <c r="I540" i="14" s="1"/>
  <c r="G537" i="14"/>
  <c r="I537" i="14" s="1"/>
  <c r="G535" i="14"/>
  <c r="G536" i="14" s="1"/>
  <c r="I536" i="14" s="1"/>
  <c r="G533" i="14"/>
  <c r="G534" i="14" s="1"/>
  <c r="I534" i="14" s="1"/>
  <c r="G531" i="14"/>
  <c r="G532" i="14" s="1"/>
  <c r="I532" i="14" s="1"/>
  <c r="G529" i="14"/>
  <c r="I529" i="14" s="1"/>
  <c r="G527" i="14"/>
  <c r="I527" i="14" s="1"/>
  <c r="M527" i="14" s="1"/>
  <c r="G525" i="14"/>
  <c r="G526" i="14" s="1"/>
  <c r="I526" i="14" s="1"/>
  <c r="G523" i="14"/>
  <c r="G524" i="14" s="1"/>
  <c r="I524" i="14" s="1"/>
  <c r="G521" i="14"/>
  <c r="I521" i="14" s="1"/>
  <c r="G519" i="14"/>
  <c r="G520" i="14" s="1"/>
  <c r="I520" i="14" s="1"/>
  <c r="G517" i="14"/>
  <c r="G518" i="14" s="1"/>
  <c r="I518" i="14" s="1"/>
  <c r="G515" i="14"/>
  <c r="G516" i="14" s="1"/>
  <c r="I516" i="14" s="1"/>
  <c r="G513" i="14"/>
  <c r="G514" i="14" s="1"/>
  <c r="I514" i="14" s="1"/>
  <c r="G511" i="14"/>
  <c r="I511" i="14" s="1"/>
  <c r="M511" i="14" s="1"/>
  <c r="G509" i="14"/>
  <c r="I509" i="14" s="1"/>
  <c r="G507" i="14"/>
  <c r="G508" i="14" s="1"/>
  <c r="I508" i="14" s="1"/>
  <c r="G505" i="14"/>
  <c r="I505" i="14" s="1"/>
  <c r="G503" i="14"/>
  <c r="G504" i="14" s="1"/>
  <c r="I504" i="14" s="1"/>
  <c r="G501" i="14"/>
  <c r="G502" i="14" s="1"/>
  <c r="I502" i="14" s="1"/>
  <c r="G499" i="14"/>
  <c r="G500" i="14" s="1"/>
  <c r="I500" i="14" s="1"/>
  <c r="G497" i="14"/>
  <c r="I497" i="14" s="1"/>
  <c r="G495" i="14"/>
  <c r="G496" i="14" s="1"/>
  <c r="I496" i="14" s="1"/>
  <c r="G493" i="14"/>
  <c r="G494" i="14" s="1"/>
  <c r="I494" i="14" s="1"/>
  <c r="G491" i="14"/>
  <c r="G492" i="14" s="1"/>
  <c r="I492" i="14" s="1"/>
  <c r="G489" i="14"/>
  <c r="G490" i="14" s="1"/>
  <c r="I490" i="14" s="1"/>
  <c r="G487" i="14"/>
  <c r="G488" i="14" s="1"/>
  <c r="I488" i="14" s="1"/>
  <c r="G485" i="14"/>
  <c r="G486" i="14" s="1"/>
  <c r="I486" i="14" s="1"/>
  <c r="G483" i="14"/>
  <c r="I483" i="14" s="1"/>
  <c r="G481" i="14"/>
  <c r="G482" i="14" s="1"/>
  <c r="I482" i="14" s="1"/>
  <c r="G479" i="14"/>
  <c r="G480" i="14" s="1"/>
  <c r="I480" i="14" s="1"/>
  <c r="G477" i="14"/>
  <c r="G478" i="14" s="1"/>
  <c r="I478" i="14" s="1"/>
  <c r="G475" i="14"/>
  <c r="I475" i="14" s="1"/>
  <c r="G473" i="14"/>
  <c r="G474" i="14" s="1"/>
  <c r="I474" i="14" s="1"/>
  <c r="G471" i="14"/>
  <c r="G472" i="14" s="1"/>
  <c r="I472" i="14" s="1"/>
  <c r="G469" i="14"/>
  <c r="G470" i="14" s="1"/>
  <c r="I470" i="14" s="1"/>
  <c r="G467" i="14"/>
  <c r="I467" i="14" s="1"/>
  <c r="G465" i="14"/>
  <c r="G466" i="14" s="1"/>
  <c r="I466" i="14" s="1"/>
  <c r="G463" i="14"/>
  <c r="G464" i="14" s="1"/>
  <c r="I464" i="14" s="1"/>
  <c r="G461" i="14"/>
  <c r="G462" i="14" s="1"/>
  <c r="I462" i="14" s="1"/>
  <c r="G459" i="14"/>
  <c r="G460" i="14" s="1"/>
  <c r="I460" i="14" s="1"/>
  <c r="G457" i="14"/>
  <c r="I457" i="14" s="1"/>
  <c r="G455" i="14"/>
  <c r="G456" i="14" s="1"/>
  <c r="I456" i="14" s="1"/>
  <c r="G453" i="14"/>
  <c r="G454" i="14" s="1"/>
  <c r="I454" i="14" s="1"/>
  <c r="G451" i="14"/>
  <c r="I451" i="14" s="1"/>
  <c r="G449" i="14"/>
  <c r="G450" i="14" s="1"/>
  <c r="I450" i="14" s="1"/>
  <c r="G447" i="14"/>
  <c r="G448" i="14" s="1"/>
  <c r="I448" i="14" s="1"/>
  <c r="G445" i="14"/>
  <c r="G446" i="14" s="1"/>
  <c r="I446" i="14" s="1"/>
  <c r="G443" i="14"/>
  <c r="G444" i="14" s="1"/>
  <c r="I444" i="14" s="1"/>
  <c r="G441" i="14"/>
  <c r="I441" i="14" s="1"/>
  <c r="G439" i="14"/>
  <c r="G440" i="14" s="1"/>
  <c r="I440" i="14" s="1"/>
  <c r="G437" i="14"/>
  <c r="I437" i="14" s="1"/>
  <c r="G435" i="14"/>
  <c r="G436" i="14" s="1"/>
  <c r="I436" i="14" s="1"/>
  <c r="G433" i="14"/>
  <c r="G434" i="14" s="1"/>
  <c r="I434" i="14" s="1"/>
  <c r="G431" i="14"/>
  <c r="G432" i="14" s="1"/>
  <c r="I432" i="14" s="1"/>
  <c r="G429" i="14"/>
  <c r="G430" i="14" s="1"/>
  <c r="I430" i="14" s="1"/>
  <c r="G427" i="14"/>
  <c r="G428" i="14" s="1"/>
  <c r="I428" i="14" s="1"/>
  <c r="G425" i="14"/>
  <c r="I425" i="14" s="1"/>
  <c r="G423" i="14"/>
  <c r="G424" i="14" s="1"/>
  <c r="I424" i="14" s="1"/>
  <c r="G421" i="14"/>
  <c r="G422" i="14" s="1"/>
  <c r="I422" i="14" s="1"/>
  <c r="G419" i="14"/>
  <c r="G420" i="14" s="1"/>
  <c r="I420" i="14" s="1"/>
  <c r="G417" i="14"/>
  <c r="I417" i="14" s="1"/>
  <c r="G415" i="14"/>
  <c r="G416" i="14" s="1"/>
  <c r="I416" i="14" s="1"/>
  <c r="G413" i="14"/>
  <c r="G414" i="14" s="1"/>
  <c r="I414" i="14" s="1"/>
  <c r="G411" i="14"/>
  <c r="I411" i="14" s="1"/>
  <c r="G409" i="14"/>
  <c r="G410" i="14" s="1"/>
  <c r="I410" i="14" s="1"/>
  <c r="G407" i="14"/>
  <c r="G408" i="14" s="1"/>
  <c r="I408" i="14" s="1"/>
  <c r="G405" i="14"/>
  <c r="I405" i="14" s="1"/>
  <c r="G403" i="14"/>
  <c r="I403" i="14" s="1"/>
  <c r="G401" i="14"/>
  <c r="G402" i="14" s="1"/>
  <c r="I402" i="14" s="1"/>
  <c r="G399" i="14"/>
  <c r="G400" i="14" s="1"/>
  <c r="I400" i="14" s="1"/>
  <c r="G397" i="14"/>
  <c r="I397" i="14" s="1"/>
  <c r="G395" i="14"/>
  <c r="G396" i="14" s="1"/>
  <c r="I396" i="14" s="1"/>
  <c r="G393" i="14"/>
  <c r="I393" i="14" s="1"/>
  <c r="G391" i="14"/>
  <c r="G392" i="14" s="1"/>
  <c r="I392" i="14" s="1"/>
  <c r="G389" i="14"/>
  <c r="G390" i="14" s="1"/>
  <c r="I390" i="14" s="1"/>
  <c r="G387" i="14"/>
  <c r="G388" i="14" s="1"/>
  <c r="I388" i="14" s="1"/>
  <c r="G385" i="14"/>
  <c r="I385" i="14" s="1"/>
  <c r="G383" i="14"/>
  <c r="G384" i="14" s="1"/>
  <c r="I384" i="14" s="1"/>
  <c r="G381" i="14"/>
  <c r="I381" i="14" s="1"/>
  <c r="G379" i="14"/>
  <c r="I379" i="14" s="1"/>
  <c r="G377" i="14"/>
  <c r="G378" i="14" s="1"/>
  <c r="I378" i="14" s="1"/>
  <c r="G375" i="14"/>
  <c r="G376" i="14" s="1"/>
  <c r="I376" i="14" s="1"/>
  <c r="G373" i="14"/>
  <c r="I373" i="14" s="1"/>
  <c r="G371" i="14"/>
  <c r="G372" i="14" s="1"/>
  <c r="I372" i="14" s="1"/>
  <c r="G369" i="14"/>
  <c r="G370" i="14" s="1"/>
  <c r="I370" i="14" s="1"/>
  <c r="G367" i="14"/>
  <c r="G368" i="14" s="1"/>
  <c r="I368" i="14" s="1"/>
  <c r="G365" i="14"/>
  <c r="I365" i="14" s="1"/>
  <c r="M558" i="14" l="1"/>
  <c r="M550" i="14"/>
  <c r="M542" i="14"/>
  <c r="M534" i="14"/>
  <c r="M526" i="14"/>
  <c r="M518" i="14"/>
  <c r="M502" i="14"/>
  <c r="M494" i="14"/>
  <c r="M486" i="14"/>
  <c r="M478" i="14"/>
  <c r="M470" i="14"/>
  <c r="M462" i="14"/>
  <c r="M454" i="14"/>
  <c r="M446" i="14"/>
  <c r="M430" i="14"/>
  <c r="M422" i="14"/>
  <c r="M414" i="14"/>
  <c r="M390" i="14"/>
  <c r="M565" i="14"/>
  <c r="M509" i="14"/>
  <c r="M437" i="14"/>
  <c r="M405" i="14"/>
  <c r="M397" i="14"/>
  <c r="M381" i="14"/>
  <c r="M373" i="14"/>
  <c r="M365" i="14"/>
  <c r="M551" i="14"/>
  <c r="M564" i="14"/>
  <c r="M556" i="14"/>
  <c r="M548" i="14"/>
  <c r="M540" i="14"/>
  <c r="M532" i="14"/>
  <c r="M524" i="14"/>
  <c r="M516" i="14"/>
  <c r="M508" i="14"/>
  <c r="M500" i="14"/>
  <c r="M492" i="14"/>
  <c r="M460" i="14"/>
  <c r="M444" i="14"/>
  <c r="M436" i="14"/>
  <c r="M428" i="14"/>
  <c r="M420" i="14"/>
  <c r="M396" i="14"/>
  <c r="M388" i="14"/>
  <c r="M372" i="14"/>
  <c r="M483" i="14"/>
  <c r="M475" i="14"/>
  <c r="M467" i="14"/>
  <c r="M451" i="14"/>
  <c r="M411" i="14"/>
  <c r="M403" i="14"/>
  <c r="M379" i="14"/>
  <c r="M562" i="14"/>
  <c r="M554" i="14"/>
  <c r="M514" i="14"/>
  <c r="M490" i="14"/>
  <c r="M482" i="14"/>
  <c r="M474" i="14"/>
  <c r="M466" i="14"/>
  <c r="M450" i="14"/>
  <c r="M434" i="14"/>
  <c r="M410" i="14"/>
  <c r="M402" i="14"/>
  <c r="M378" i="14"/>
  <c r="M370" i="14"/>
  <c r="F98" i="16"/>
  <c r="H98" i="16" s="1"/>
  <c r="K98" i="16" s="1"/>
  <c r="F112" i="16"/>
  <c r="H112" i="16" s="1"/>
  <c r="K112" i="16" s="1"/>
  <c r="M545" i="14"/>
  <c r="M537" i="14"/>
  <c r="M529" i="14"/>
  <c r="M521" i="14"/>
  <c r="M505" i="14"/>
  <c r="M497" i="14"/>
  <c r="M457" i="14"/>
  <c r="M441" i="14"/>
  <c r="M425" i="14"/>
  <c r="M417" i="14"/>
  <c r="M393" i="14"/>
  <c r="M385" i="14"/>
  <c r="M560" i="14"/>
  <c r="M544" i="14"/>
  <c r="M536" i="14"/>
  <c r="M520" i="14"/>
  <c r="M504" i="14"/>
  <c r="M496" i="14"/>
  <c r="M488" i="14"/>
  <c r="M480" i="14"/>
  <c r="M472" i="14"/>
  <c r="M464" i="14"/>
  <c r="M456" i="14"/>
  <c r="M448" i="14"/>
  <c r="M440" i="14"/>
  <c r="M432" i="14"/>
  <c r="M424" i="14"/>
  <c r="M416" i="14"/>
  <c r="M408" i="14"/>
  <c r="M400" i="14"/>
  <c r="M392" i="14"/>
  <c r="M384" i="14"/>
  <c r="M376" i="14"/>
  <c r="M368" i="14"/>
  <c r="H95" i="16"/>
  <c r="K95" i="16" s="1"/>
  <c r="H103" i="16"/>
  <c r="K103" i="16" s="1"/>
  <c r="F106" i="16"/>
  <c r="H106" i="16" s="1"/>
  <c r="K106" i="16" s="1"/>
  <c r="H101" i="16"/>
  <c r="K101" i="16" s="1"/>
  <c r="H109" i="16"/>
  <c r="K109" i="16" s="1"/>
  <c r="H113" i="16"/>
  <c r="K113" i="16" s="1"/>
  <c r="H99" i="16"/>
  <c r="K99" i="16" s="1"/>
  <c r="H107" i="16"/>
  <c r="K107" i="16" s="1"/>
  <c r="H115" i="16"/>
  <c r="K115" i="16" s="1"/>
  <c r="I463" i="14"/>
  <c r="G510" i="14"/>
  <c r="I510" i="14" s="1"/>
  <c r="I517" i="14"/>
  <c r="I503" i="14"/>
  <c r="I479" i="14"/>
  <c r="I455" i="14"/>
  <c r="I525" i="14"/>
  <c r="I471" i="14"/>
  <c r="I447" i="14"/>
  <c r="I495" i="14"/>
  <c r="I439" i="14"/>
  <c r="I487" i="14"/>
  <c r="G528" i="14"/>
  <c r="I528" i="14" s="1"/>
  <c r="G512" i="14"/>
  <c r="I512" i="14" s="1"/>
  <c r="I561" i="14"/>
  <c r="I519" i="14"/>
  <c r="G552" i="14"/>
  <c r="I552" i="14" s="1"/>
  <c r="G506" i="14"/>
  <c r="I506" i="14" s="1"/>
  <c r="G538" i="14"/>
  <c r="I538" i="14" s="1"/>
  <c r="I553" i="14"/>
  <c r="I535" i="14"/>
  <c r="I513" i="14"/>
  <c r="G530" i="14"/>
  <c r="I530" i="14" s="1"/>
  <c r="G522" i="14"/>
  <c r="I522" i="14" s="1"/>
  <c r="G546" i="14"/>
  <c r="I546" i="14" s="1"/>
  <c r="I507" i="14"/>
  <c r="I515" i="14"/>
  <c r="I523" i="14"/>
  <c r="I531" i="14"/>
  <c r="I539" i="14"/>
  <c r="I547" i="14"/>
  <c r="I555" i="14"/>
  <c r="I563" i="14"/>
  <c r="I559" i="14"/>
  <c r="I543" i="14"/>
  <c r="I533" i="14"/>
  <c r="M533" i="14" s="1"/>
  <c r="I541" i="14"/>
  <c r="I549" i="14"/>
  <c r="I557" i="14"/>
  <c r="I489" i="14"/>
  <c r="G458" i="14"/>
  <c r="I458" i="14" s="1"/>
  <c r="G476" i="14"/>
  <c r="I476" i="14" s="1"/>
  <c r="I433" i="14"/>
  <c r="I465" i="14"/>
  <c r="I443" i="14"/>
  <c r="G452" i="14"/>
  <c r="I452" i="14" s="1"/>
  <c r="I473" i="14"/>
  <c r="G442" i="14"/>
  <c r="I442" i="14" s="1"/>
  <c r="I491" i="14"/>
  <c r="G468" i="14"/>
  <c r="I468" i="14" s="1"/>
  <c r="I453" i="14"/>
  <c r="I461" i="14"/>
  <c r="I469" i="14"/>
  <c r="I477" i="14"/>
  <c r="I485" i="14"/>
  <c r="I493" i="14"/>
  <c r="I501" i="14"/>
  <c r="I449" i="14"/>
  <c r="G498" i="14"/>
  <c r="I498" i="14" s="1"/>
  <c r="G484" i="14"/>
  <c r="I484" i="14" s="1"/>
  <c r="I435" i="14"/>
  <c r="I459" i="14"/>
  <c r="I499" i="14"/>
  <c r="I445" i="14"/>
  <c r="G438" i="14"/>
  <c r="I438" i="14" s="1"/>
  <c r="I481" i="14"/>
  <c r="I409" i="14"/>
  <c r="G386" i="14"/>
  <c r="I386" i="14" s="1"/>
  <c r="I427" i="14"/>
  <c r="I369" i="14"/>
  <c r="G380" i="14"/>
  <c r="I380" i="14" s="1"/>
  <c r="G426" i="14"/>
  <c r="I426" i="14" s="1"/>
  <c r="I419" i="14"/>
  <c r="I377" i="14"/>
  <c r="G394" i="14"/>
  <c r="I394" i="14" s="1"/>
  <c r="I395" i="14"/>
  <c r="G418" i="14"/>
  <c r="I418" i="14" s="1"/>
  <c r="I371" i="14"/>
  <c r="G404" i="14"/>
  <c r="I404" i="14" s="1"/>
  <c r="I421" i="14"/>
  <c r="I429" i="14"/>
  <c r="I401" i="14"/>
  <c r="I387" i="14"/>
  <c r="I389" i="14"/>
  <c r="I413" i="14"/>
  <c r="G366" i="14"/>
  <c r="I366" i="14" s="1"/>
  <c r="G374" i="14"/>
  <c r="I374" i="14" s="1"/>
  <c r="G382" i="14"/>
  <c r="I382" i="14" s="1"/>
  <c r="G398" i="14"/>
  <c r="I398" i="14" s="1"/>
  <c r="G406" i="14"/>
  <c r="I406" i="14" s="1"/>
  <c r="G412" i="14"/>
  <c r="I412" i="14" s="1"/>
  <c r="I367" i="14"/>
  <c r="I375" i="14"/>
  <c r="I383" i="14"/>
  <c r="I391" i="14"/>
  <c r="I399" i="14"/>
  <c r="I407" i="14"/>
  <c r="I415" i="14"/>
  <c r="I423" i="14"/>
  <c r="I431" i="14"/>
  <c r="M398" i="14" l="1"/>
  <c r="M563" i="14"/>
  <c r="M382" i="14"/>
  <c r="M421" i="14"/>
  <c r="M426" i="14"/>
  <c r="M445" i="14"/>
  <c r="M493" i="14"/>
  <c r="M442" i="14"/>
  <c r="M489" i="14"/>
  <c r="M555" i="14"/>
  <c r="M522" i="14"/>
  <c r="M519" i="14"/>
  <c r="M471" i="14"/>
  <c r="M438" i="14"/>
  <c r="M552" i="14"/>
  <c r="M391" i="14"/>
  <c r="M374" i="14"/>
  <c r="M404" i="14"/>
  <c r="M380" i="14"/>
  <c r="M499" i="14"/>
  <c r="M485" i="14"/>
  <c r="M473" i="14"/>
  <c r="M557" i="14"/>
  <c r="M547" i="14"/>
  <c r="M530" i="14"/>
  <c r="M561" i="14"/>
  <c r="M525" i="14"/>
  <c r="M407" i="14"/>
  <c r="M546" i="14"/>
  <c r="M383" i="14"/>
  <c r="M366" i="14"/>
  <c r="M371" i="14"/>
  <c r="M369" i="14"/>
  <c r="M459" i="14"/>
  <c r="M477" i="14"/>
  <c r="M452" i="14"/>
  <c r="M549" i="14"/>
  <c r="M539" i="14"/>
  <c r="M513" i="14"/>
  <c r="M512" i="14"/>
  <c r="M455" i="14"/>
  <c r="M501" i="14"/>
  <c r="M463" i="14"/>
  <c r="M427" i="14"/>
  <c r="M443" i="14"/>
  <c r="M541" i="14"/>
  <c r="M531" i="14"/>
  <c r="M535" i="14"/>
  <c r="M528" i="14"/>
  <c r="M479" i="14"/>
  <c r="M458" i="14"/>
  <c r="M418" i="14"/>
  <c r="M431" i="14"/>
  <c r="M386" i="14"/>
  <c r="M484" i="14"/>
  <c r="M461" i="14"/>
  <c r="M465" i="14"/>
  <c r="M523" i="14"/>
  <c r="M553" i="14"/>
  <c r="M487" i="14"/>
  <c r="M503" i="14"/>
  <c r="M419" i="14"/>
  <c r="M413" i="14"/>
  <c r="M469" i="14"/>
  <c r="M389" i="14"/>
  <c r="M423" i="14"/>
  <c r="M387" i="14"/>
  <c r="M394" i="14"/>
  <c r="M409" i="14"/>
  <c r="M498" i="14"/>
  <c r="M453" i="14"/>
  <c r="M433" i="14"/>
  <c r="M543" i="14"/>
  <c r="M515" i="14"/>
  <c r="M538" i="14"/>
  <c r="M439" i="14"/>
  <c r="M517" i="14"/>
  <c r="M429" i="14"/>
  <c r="M491" i="14"/>
  <c r="M447" i="14"/>
  <c r="M399" i="14"/>
  <c r="M375" i="14"/>
  <c r="M435" i="14"/>
  <c r="M367" i="14"/>
  <c r="M395" i="14"/>
  <c r="M412" i="14"/>
  <c r="M415" i="14"/>
  <c r="M406" i="14"/>
  <c r="M401" i="14"/>
  <c r="M377" i="14"/>
  <c r="M481" i="14"/>
  <c r="M449" i="14"/>
  <c r="M468" i="14"/>
  <c r="M476" i="14"/>
  <c r="M559" i="14"/>
  <c r="M507" i="14"/>
  <c r="M506" i="14"/>
  <c r="M495" i="14"/>
  <c r="M510" i="14"/>
  <c r="G363" i="14"/>
  <c r="G364" i="14" s="1"/>
  <c r="I364" i="14" s="1"/>
  <c r="G361" i="14"/>
  <c r="G362" i="14" s="1"/>
  <c r="I362" i="14" s="1"/>
  <c r="G359" i="14"/>
  <c r="G360" i="14" s="1"/>
  <c r="I360" i="14" s="1"/>
  <c r="G357" i="14"/>
  <c r="G358" i="14" s="1"/>
  <c r="I358" i="14" s="1"/>
  <c r="G355" i="14"/>
  <c r="G356" i="14" s="1"/>
  <c r="I356" i="14" s="1"/>
  <c r="M356" i="14" s="1"/>
  <c r="G353" i="14"/>
  <c r="G354" i="14" s="1"/>
  <c r="I354" i="14" s="1"/>
  <c r="M354" i="14" s="1"/>
  <c r="G351" i="14"/>
  <c r="G352" i="14" s="1"/>
  <c r="I352" i="14" s="1"/>
  <c r="G349" i="14"/>
  <c r="G350" i="14" s="1"/>
  <c r="I350" i="14" s="1"/>
  <c r="M350" i="14" s="1"/>
  <c r="G347" i="14"/>
  <c r="G348" i="14" s="1"/>
  <c r="I348" i="14" s="1"/>
  <c r="M348" i="14" s="1"/>
  <c r="G345" i="14"/>
  <c r="G346" i="14" s="1"/>
  <c r="I346" i="14" s="1"/>
  <c r="M346" i="14" s="1"/>
  <c r="G343" i="14"/>
  <c r="G344" i="14" s="1"/>
  <c r="I344" i="14" s="1"/>
  <c r="M344" i="14" s="1"/>
  <c r="L854" i="11"/>
  <c r="I853" i="11"/>
  <c r="L853" i="11" s="1"/>
  <c r="I852" i="11"/>
  <c r="L852" i="11" s="1"/>
  <c r="I851" i="11"/>
  <c r="L851" i="11" s="1"/>
  <c r="I833" i="11"/>
  <c r="L833" i="11" s="1"/>
  <c r="I834" i="11"/>
  <c r="L834" i="11" s="1"/>
  <c r="I835" i="11"/>
  <c r="L835" i="11" s="1"/>
  <c r="I836" i="11"/>
  <c r="L836" i="11" s="1"/>
  <c r="I837" i="11"/>
  <c r="L837" i="11" s="1"/>
  <c r="I838" i="11"/>
  <c r="L838" i="11" s="1"/>
  <c r="I839" i="11"/>
  <c r="L839" i="11" s="1"/>
  <c r="I840" i="11"/>
  <c r="L840" i="11" s="1"/>
  <c r="I841" i="11"/>
  <c r="L841" i="11" s="1"/>
  <c r="I842" i="11"/>
  <c r="L842" i="11" s="1"/>
  <c r="I843" i="11"/>
  <c r="L843" i="11" s="1"/>
  <c r="I844" i="11"/>
  <c r="L844" i="11" s="1"/>
  <c r="I845" i="11"/>
  <c r="L845" i="11" s="1"/>
  <c r="I846" i="11"/>
  <c r="L846" i="11" s="1"/>
  <c r="I847" i="11"/>
  <c r="L847" i="11" s="1"/>
  <c r="I848" i="11"/>
  <c r="L848" i="11" s="1"/>
  <c r="I849" i="11"/>
  <c r="L849" i="11" s="1"/>
  <c r="I850" i="11"/>
  <c r="L850" i="11" s="1"/>
  <c r="I832" i="11"/>
  <c r="L832" i="11" s="1"/>
  <c r="I831" i="11"/>
  <c r="L831" i="11" s="1"/>
  <c r="I825" i="11"/>
  <c r="L825" i="11" s="1"/>
  <c r="I830" i="11"/>
  <c r="L830" i="11" s="1"/>
  <c r="I829" i="11"/>
  <c r="L829" i="11" s="1"/>
  <c r="I828" i="11"/>
  <c r="L828" i="11" s="1"/>
  <c r="I827" i="11"/>
  <c r="L827" i="11" s="1"/>
  <c r="I826" i="11"/>
  <c r="L826" i="11" s="1"/>
  <c r="I824" i="11"/>
  <c r="L824" i="11" s="1"/>
  <c r="I822" i="11"/>
  <c r="L822" i="11" s="1"/>
  <c r="I820" i="11"/>
  <c r="L820" i="11" s="1"/>
  <c r="I818" i="11"/>
  <c r="L818" i="11" s="1"/>
  <c r="I816" i="11"/>
  <c r="L816" i="11" s="1"/>
  <c r="I814" i="11"/>
  <c r="L814" i="11" s="1"/>
  <c r="I812" i="11"/>
  <c r="L812" i="11" s="1"/>
  <c r="I810" i="11"/>
  <c r="L810" i="11" s="1"/>
  <c r="I808" i="11"/>
  <c r="L808" i="11" s="1"/>
  <c r="I806" i="11"/>
  <c r="L806" i="11" s="1"/>
  <c r="I804" i="11"/>
  <c r="L804" i="11" s="1"/>
  <c r="I802" i="11"/>
  <c r="L802" i="11" s="1"/>
  <c r="I776" i="11"/>
  <c r="L776" i="11" s="1"/>
  <c r="M352" i="14" l="1"/>
  <c r="M358" i="14"/>
  <c r="M360" i="14"/>
  <c r="M362" i="14"/>
  <c r="M364" i="14"/>
  <c r="I355" i="14"/>
  <c r="M355" i="14" s="1"/>
  <c r="I345" i="14"/>
  <c r="M345" i="14" s="1"/>
  <c r="I359" i="14"/>
  <c r="I351" i="14"/>
  <c r="I343" i="14"/>
  <c r="M343" i="14" s="1"/>
  <c r="I353" i="14"/>
  <c r="I361" i="14"/>
  <c r="I347" i="14"/>
  <c r="I363" i="14"/>
  <c r="I349" i="14"/>
  <c r="I357" i="14"/>
  <c r="M359" i="14" l="1"/>
  <c r="M357" i="14"/>
  <c r="M353" i="14"/>
  <c r="M351" i="14"/>
  <c r="M363" i="14"/>
  <c r="M347" i="14"/>
  <c r="M349" i="14"/>
  <c r="M361" i="14"/>
  <c r="I801" i="11"/>
  <c r="L801" i="11" s="1"/>
  <c r="I800" i="11"/>
  <c r="L800" i="11" s="1"/>
  <c r="I799" i="11"/>
  <c r="L799" i="11" s="1"/>
  <c r="I797" i="11"/>
  <c r="L797" i="11" s="1"/>
  <c r="I798" i="11"/>
  <c r="L798" i="11" s="1"/>
  <c r="I779" i="11"/>
  <c r="L779" i="11" s="1"/>
  <c r="I780" i="11"/>
  <c r="L780" i="11" s="1"/>
  <c r="I781" i="11"/>
  <c r="L781" i="11" s="1"/>
  <c r="I782" i="11"/>
  <c r="L782" i="11" s="1"/>
  <c r="I783" i="11"/>
  <c r="L783" i="11" s="1"/>
  <c r="I784" i="11"/>
  <c r="L784" i="11" s="1"/>
  <c r="I785" i="11"/>
  <c r="L785" i="11" s="1"/>
  <c r="I786" i="11"/>
  <c r="L786" i="11" s="1"/>
  <c r="I787" i="11"/>
  <c r="L787" i="11" s="1"/>
  <c r="I788" i="11"/>
  <c r="L788" i="11" s="1"/>
  <c r="I789" i="11"/>
  <c r="L789" i="11" s="1"/>
  <c r="I790" i="11"/>
  <c r="L790" i="11" s="1"/>
  <c r="I791" i="11"/>
  <c r="L791" i="11" s="1"/>
  <c r="I792" i="11"/>
  <c r="L792" i="11" s="1"/>
  <c r="I793" i="11"/>
  <c r="L793" i="11" s="1"/>
  <c r="I794" i="11"/>
  <c r="L794" i="11" s="1"/>
  <c r="I795" i="11"/>
  <c r="L795" i="11" s="1"/>
  <c r="I796" i="11"/>
  <c r="L796" i="11" s="1"/>
  <c r="I778" i="11"/>
  <c r="L778" i="11" s="1"/>
  <c r="I728" i="11"/>
  <c r="L728" i="11" s="1"/>
  <c r="I729" i="11"/>
  <c r="L729" i="11" s="1"/>
  <c r="I730" i="11"/>
  <c r="L730" i="11" s="1"/>
  <c r="I731" i="11"/>
  <c r="L731" i="11" s="1"/>
  <c r="I732" i="11"/>
  <c r="L732" i="11" s="1"/>
  <c r="I733" i="11"/>
  <c r="L733" i="11" s="1"/>
  <c r="I734" i="11"/>
  <c r="L734" i="11" s="1"/>
  <c r="I735" i="11"/>
  <c r="L735" i="11" s="1"/>
  <c r="I736" i="11"/>
  <c r="L736" i="11" s="1"/>
  <c r="I737" i="11"/>
  <c r="L737" i="11" s="1"/>
  <c r="I738" i="11"/>
  <c r="L738" i="11" s="1"/>
  <c r="I739" i="11"/>
  <c r="L739" i="11" s="1"/>
  <c r="I740" i="11"/>
  <c r="L740" i="11" s="1"/>
  <c r="I741" i="11"/>
  <c r="L741" i="11" s="1"/>
  <c r="I742" i="11"/>
  <c r="L742" i="11" s="1"/>
  <c r="I743" i="11"/>
  <c r="L743" i="11" s="1"/>
  <c r="I744" i="11"/>
  <c r="L744" i="11" s="1"/>
  <c r="I745" i="11"/>
  <c r="L745" i="11" s="1"/>
  <c r="I746" i="11"/>
  <c r="L746" i="11" s="1"/>
  <c r="I747" i="11"/>
  <c r="L747" i="11" s="1"/>
  <c r="I749" i="11"/>
  <c r="L749" i="11" s="1"/>
  <c r="I750" i="11"/>
  <c r="L750" i="11" s="1"/>
  <c r="I751" i="11"/>
  <c r="L751" i="11" s="1"/>
  <c r="I752" i="11"/>
  <c r="L752" i="11" s="1"/>
  <c r="I753" i="11"/>
  <c r="L753" i="11" s="1"/>
  <c r="I754" i="11"/>
  <c r="L754" i="11" s="1"/>
  <c r="I755" i="11"/>
  <c r="L755" i="11" s="1"/>
  <c r="I756" i="11"/>
  <c r="L756" i="11" s="1"/>
  <c r="I757" i="11"/>
  <c r="L757" i="11" s="1"/>
  <c r="I758" i="11"/>
  <c r="L758" i="11" s="1"/>
  <c r="I759" i="11"/>
  <c r="L759" i="11" s="1"/>
  <c r="I760" i="11"/>
  <c r="L760" i="11" s="1"/>
  <c r="I761" i="11"/>
  <c r="L761" i="11" s="1"/>
  <c r="I762" i="11"/>
  <c r="L762" i="11" s="1"/>
  <c r="I763" i="11"/>
  <c r="L763" i="11" s="1"/>
  <c r="I764" i="11"/>
  <c r="L764" i="11" s="1"/>
  <c r="I765" i="11"/>
  <c r="L765" i="11" s="1"/>
  <c r="I766" i="11"/>
  <c r="L766" i="11" s="1"/>
  <c r="I767" i="11"/>
  <c r="L767" i="11" s="1"/>
  <c r="I768" i="11"/>
  <c r="L768" i="11" s="1"/>
  <c r="I769" i="11"/>
  <c r="L769" i="11" s="1"/>
  <c r="I772" i="11"/>
  <c r="L772" i="11" s="1"/>
  <c r="I773" i="11"/>
  <c r="L773" i="11" s="1"/>
  <c r="I774" i="11"/>
  <c r="L774" i="11" s="1"/>
  <c r="I775" i="11"/>
  <c r="L775" i="11" s="1"/>
  <c r="G793" i="12"/>
  <c r="I793" i="12" s="1"/>
  <c r="G792" i="12"/>
  <c r="I792" i="12" s="1"/>
  <c r="O792" i="12" s="1"/>
  <c r="G791" i="12"/>
  <c r="I791" i="12" s="1"/>
  <c r="O791" i="12" s="1"/>
  <c r="G790" i="12"/>
  <c r="I790" i="12" s="1"/>
  <c r="O790" i="12" s="1"/>
  <c r="G789" i="12"/>
  <c r="I789" i="12" s="1"/>
  <c r="O789" i="12" s="1"/>
  <c r="G788" i="12"/>
  <c r="I788" i="12" s="1"/>
  <c r="O788" i="12" s="1"/>
  <c r="G787" i="12"/>
  <c r="I787" i="12" s="1"/>
  <c r="O787" i="12" s="1"/>
  <c r="G786" i="12"/>
  <c r="I786" i="12" s="1"/>
  <c r="O786" i="12" s="1"/>
  <c r="I785" i="12"/>
  <c r="O785" i="12" s="1"/>
  <c r="I784" i="12"/>
  <c r="O784" i="12" s="1"/>
  <c r="G783" i="12"/>
  <c r="I783" i="12" s="1"/>
  <c r="O783" i="12" s="1"/>
  <c r="I782" i="12"/>
  <c r="O782" i="12" s="1"/>
  <c r="I781" i="12"/>
  <c r="O781" i="12" s="1"/>
  <c r="G780" i="12"/>
  <c r="I780" i="12" s="1"/>
  <c r="O780" i="12" s="1"/>
  <c r="G779" i="12"/>
  <c r="I779" i="12" s="1"/>
  <c r="O779" i="12" s="1"/>
  <c r="G778" i="12"/>
  <c r="I778" i="12" s="1"/>
  <c r="O778" i="12" s="1"/>
  <c r="I777" i="12"/>
  <c r="O777" i="12" s="1"/>
  <c r="G776" i="12"/>
  <c r="I776" i="12" s="1"/>
  <c r="O776" i="12" s="1"/>
  <c r="G775" i="12"/>
  <c r="I775" i="12" s="1"/>
  <c r="O775" i="12" s="1"/>
  <c r="G774" i="12"/>
  <c r="I774" i="12" s="1"/>
  <c r="O774" i="12" s="1"/>
  <c r="G773" i="12"/>
  <c r="I773" i="12" s="1"/>
  <c r="O773" i="12" s="1"/>
  <c r="G772" i="12"/>
  <c r="I772" i="12" s="1"/>
  <c r="O772" i="12" s="1"/>
  <c r="G771" i="12"/>
  <c r="I771" i="12" s="1"/>
  <c r="O771" i="12" s="1"/>
  <c r="G770" i="12"/>
  <c r="I770" i="12" s="1"/>
  <c r="O770" i="12" s="1"/>
  <c r="G769" i="12"/>
  <c r="I769" i="12" s="1"/>
  <c r="O769" i="12" s="1"/>
  <c r="I768" i="12"/>
  <c r="O768" i="12" s="1"/>
  <c r="I767" i="12"/>
  <c r="O767" i="12" s="1"/>
  <c r="G766" i="12"/>
  <c r="I766" i="12" s="1"/>
  <c r="O766" i="12" s="1"/>
  <c r="I765" i="12"/>
  <c r="O765" i="12" s="1"/>
  <c r="I764" i="12"/>
  <c r="O764" i="12" s="1"/>
  <c r="G763" i="12"/>
  <c r="I763" i="12" s="1"/>
  <c r="O763" i="12" s="1"/>
  <c r="G762" i="12"/>
  <c r="I762" i="12" s="1"/>
  <c r="O762" i="12" s="1"/>
  <c r="G761" i="12"/>
  <c r="I761" i="12" s="1"/>
  <c r="O761" i="12" s="1"/>
  <c r="I760" i="12"/>
  <c r="O760" i="12" s="1"/>
  <c r="G759" i="12"/>
  <c r="I759" i="12" s="1"/>
  <c r="O759" i="12" s="1"/>
  <c r="G758" i="12"/>
  <c r="I758" i="12" s="1"/>
  <c r="O758" i="12" s="1"/>
  <c r="G757" i="12"/>
  <c r="I757" i="12" s="1"/>
  <c r="O757" i="12" s="1"/>
  <c r="G756" i="12"/>
  <c r="I756" i="12" s="1"/>
  <c r="O756" i="12" s="1"/>
  <c r="G755" i="12"/>
  <c r="I755" i="12" s="1"/>
  <c r="O755" i="12" s="1"/>
  <c r="G754" i="12"/>
  <c r="I754" i="12" s="1"/>
  <c r="O754" i="12" s="1"/>
  <c r="G753" i="12"/>
  <c r="I753" i="12" s="1"/>
  <c r="O753" i="12" s="1"/>
  <c r="G752" i="12"/>
  <c r="I752" i="12" s="1"/>
  <c r="O752" i="12" s="1"/>
  <c r="I751" i="12"/>
  <c r="O751" i="12" s="1"/>
  <c r="I750" i="12"/>
  <c r="O750" i="12" s="1"/>
  <c r="G749" i="12"/>
  <c r="I749" i="12" s="1"/>
  <c r="O749" i="12" s="1"/>
  <c r="I748" i="12"/>
  <c r="O748" i="12" s="1"/>
  <c r="I747" i="12"/>
  <c r="O747" i="12" s="1"/>
  <c r="G746" i="12"/>
  <c r="I746" i="12" s="1"/>
  <c r="O746" i="12" s="1"/>
  <c r="I738" i="12" l="1"/>
  <c r="I737" i="12"/>
  <c r="O737" i="12" s="1"/>
  <c r="I735" i="12"/>
  <c r="O735" i="12" s="1"/>
  <c r="I734" i="12"/>
  <c r="O734" i="12" s="1"/>
  <c r="G745" i="12"/>
  <c r="I745" i="12" s="1"/>
  <c r="O745" i="12" s="1"/>
  <c r="G744" i="12"/>
  <c r="I744" i="12" s="1"/>
  <c r="O744" i="12" s="1"/>
  <c r="G743" i="12"/>
  <c r="I743" i="12" s="1"/>
  <c r="O743" i="12" s="1"/>
  <c r="G742" i="12"/>
  <c r="I742" i="12" s="1"/>
  <c r="O742" i="12" s="1"/>
  <c r="G741" i="12"/>
  <c r="I741" i="12" s="1"/>
  <c r="O741" i="12" s="1"/>
  <c r="G740" i="12"/>
  <c r="I740" i="12" s="1"/>
  <c r="O740" i="12" s="1"/>
  <c r="G739" i="12"/>
  <c r="I739" i="12" s="1"/>
  <c r="O739" i="12" s="1"/>
  <c r="G736" i="12"/>
  <c r="I736" i="12" s="1"/>
  <c r="G733" i="12"/>
  <c r="I733" i="12" s="1"/>
  <c r="O738" i="12" l="1"/>
  <c r="O733" i="12"/>
  <c r="O736" i="12"/>
  <c r="I5" i="11"/>
  <c r="O724" i="12"/>
  <c r="E121" i="24"/>
  <c r="G120" i="24"/>
  <c r="G121" i="24" s="1"/>
  <c r="F120" i="24"/>
  <c r="F121" i="24" s="1"/>
  <c r="G119" i="24"/>
  <c r="F119" i="24"/>
  <c r="G118" i="24"/>
  <c r="F118" i="24"/>
  <c r="G117" i="24"/>
  <c r="F117" i="24"/>
  <c r="J116" i="24"/>
  <c r="G116" i="24"/>
  <c r="F116" i="24"/>
  <c r="G115" i="24"/>
  <c r="F115" i="24"/>
  <c r="X114" i="24"/>
  <c r="V114" i="24"/>
  <c r="T114" i="24"/>
  <c r="R114" i="24"/>
  <c r="P114" i="24"/>
  <c r="L114" i="24"/>
  <c r="G114" i="24"/>
  <c r="F114" i="24"/>
  <c r="BH113" i="24"/>
  <c r="BF113" i="24"/>
  <c r="BF114" i="24" s="1"/>
  <c r="BF111" i="24" s="1"/>
  <c r="BD113" i="24"/>
  <c r="BD114" i="24" s="1"/>
  <c r="BD111" i="24" s="1"/>
  <c r="BB113" i="24"/>
  <c r="BB114" i="24" s="1"/>
  <c r="BB111" i="24" s="1"/>
  <c r="AZ113" i="24"/>
  <c r="AX113" i="24"/>
  <c r="AX114" i="24" s="1"/>
  <c r="AX111" i="24" s="1"/>
  <c r="AT113" i="24"/>
  <c r="AT114" i="24" s="1"/>
  <c r="AT111" i="24" s="1"/>
  <c r="AP113" i="24"/>
  <c r="AP114" i="24" s="1"/>
  <c r="AP111" i="24" s="1"/>
  <c r="AN113" i="24"/>
  <c r="AN114" i="24" s="1"/>
  <c r="AN111" i="24" s="1"/>
  <c r="AL113" i="24"/>
  <c r="AL114" i="24" s="1"/>
  <c r="AJ113" i="24"/>
  <c r="AH113" i="24"/>
  <c r="AH114" i="24" s="1"/>
  <c r="AH111" i="24" s="1"/>
  <c r="AF113" i="24"/>
  <c r="AF114" i="24" s="1"/>
  <c r="AF111" i="24" s="1"/>
  <c r="AB113" i="24"/>
  <c r="X113" i="24"/>
  <c r="V113" i="24"/>
  <c r="T113" i="24"/>
  <c r="R113" i="24"/>
  <c r="P113" i="24"/>
  <c r="L113" i="24"/>
  <c r="G113" i="24"/>
  <c r="F113" i="24"/>
  <c r="G112" i="24"/>
  <c r="F112" i="24"/>
  <c r="J111" i="24"/>
  <c r="G111" i="24"/>
  <c r="F111" i="24"/>
  <c r="D111" i="24"/>
  <c r="G110" i="24"/>
  <c r="F110" i="24"/>
  <c r="G109" i="24"/>
  <c r="F109" i="24"/>
  <c r="G108" i="24"/>
  <c r="F108" i="24"/>
  <c r="AR107" i="24"/>
  <c r="Z107" i="24"/>
  <c r="J107" i="24"/>
  <c r="G107" i="24"/>
  <c r="F107" i="24"/>
  <c r="D107" i="24"/>
  <c r="G106" i="24"/>
  <c r="F106" i="24"/>
  <c r="G105" i="24"/>
  <c r="F105" i="24"/>
  <c r="AR104" i="24"/>
  <c r="Z104" i="24"/>
  <c r="J104" i="24"/>
  <c r="G104" i="24"/>
  <c r="F104" i="24"/>
  <c r="D104" i="24"/>
  <c r="AR103" i="24"/>
  <c r="Z103" i="24"/>
  <c r="J103" i="24"/>
  <c r="G103" i="24"/>
  <c r="F103" i="24"/>
  <c r="AN102" i="24"/>
  <c r="BF102" i="24" s="1"/>
  <c r="AL102" i="24"/>
  <c r="BD102" i="24" s="1"/>
  <c r="AJ102" i="24"/>
  <c r="BB102" i="24" s="1"/>
  <c r="AH102" i="24"/>
  <c r="AZ102" i="24" s="1"/>
  <c r="AF102" i="24"/>
  <c r="AX102" i="24" s="1"/>
  <c r="AB102" i="24"/>
  <c r="AT102" i="24" s="1"/>
  <c r="X102" i="24"/>
  <c r="V102" i="24"/>
  <c r="T102" i="24"/>
  <c r="P102" i="24"/>
  <c r="L102" i="24"/>
  <c r="J102" i="24"/>
  <c r="G102" i="24"/>
  <c r="F102" i="24"/>
  <c r="D102" i="24"/>
  <c r="D100" i="24" s="1"/>
  <c r="BH101" i="24"/>
  <c r="BH100" i="24" s="1"/>
  <c r="BF101" i="24"/>
  <c r="BD101" i="24"/>
  <c r="BB101" i="24"/>
  <c r="AZ101" i="24"/>
  <c r="AX101" i="24"/>
  <c r="AT101" i="24"/>
  <c r="J101" i="24"/>
  <c r="G101" i="24"/>
  <c r="F101" i="24"/>
  <c r="G100" i="24"/>
  <c r="F100" i="24"/>
  <c r="G99" i="24"/>
  <c r="F99" i="24"/>
  <c r="D99" i="24"/>
  <c r="Z98" i="24"/>
  <c r="AJ98" i="24" s="1"/>
  <c r="BB98" i="24" s="1"/>
  <c r="G98" i="24"/>
  <c r="F98" i="24"/>
  <c r="BH97" i="24"/>
  <c r="Z97" i="24"/>
  <c r="G97" i="24"/>
  <c r="F97" i="24"/>
  <c r="Z96" i="24"/>
  <c r="AR96" i="24" s="1"/>
  <c r="G96" i="24"/>
  <c r="F96" i="24"/>
  <c r="Z95" i="24"/>
  <c r="G95" i="24"/>
  <c r="F95" i="24"/>
  <c r="BH94" i="24"/>
  <c r="BH99" i="24" s="1"/>
  <c r="AP94" i="24"/>
  <c r="AP99" i="24" s="1"/>
  <c r="J94" i="24"/>
  <c r="G94" i="24"/>
  <c r="F94" i="24"/>
  <c r="D94" i="24"/>
  <c r="N89" i="24"/>
  <c r="J89" i="24"/>
  <c r="AD88" i="24"/>
  <c r="BH87" i="24"/>
  <c r="BH84" i="24" s="1"/>
  <c r="AP87" i="24"/>
  <c r="AP84" i="24" s="1"/>
  <c r="AN87" i="24"/>
  <c r="AL87" i="24"/>
  <c r="AL84" i="24" s="1"/>
  <c r="AJ87" i="24"/>
  <c r="AF87" i="24"/>
  <c r="AF84" i="24" s="1"/>
  <c r="AB87" i="24"/>
  <c r="X87" i="24"/>
  <c r="X88" i="24" s="1"/>
  <c r="V87" i="24"/>
  <c r="T87" i="24"/>
  <c r="P87" i="24"/>
  <c r="P88" i="24" s="1"/>
  <c r="L87" i="24"/>
  <c r="L88" i="24" s="1"/>
  <c r="L85" i="24" s="1"/>
  <c r="J87" i="24"/>
  <c r="AZ86" i="24"/>
  <c r="AH86" i="24"/>
  <c r="X86" i="24"/>
  <c r="V86" i="24"/>
  <c r="T86" i="24"/>
  <c r="R86" i="24"/>
  <c r="P86" i="24"/>
  <c r="L86" i="24"/>
  <c r="G86" i="24"/>
  <c r="F86" i="24"/>
  <c r="J85" i="24"/>
  <c r="J88" i="24" s="1"/>
  <c r="G85" i="24"/>
  <c r="F85" i="24"/>
  <c r="BF84" i="24"/>
  <c r="BD84" i="24"/>
  <c r="BB84" i="24"/>
  <c r="AZ84" i="24"/>
  <c r="AX84" i="24"/>
  <c r="AT84" i="24"/>
  <c r="AJ84" i="24"/>
  <c r="AH84" i="24"/>
  <c r="AB84" i="24"/>
  <c r="R84" i="24"/>
  <c r="G84" i="24"/>
  <c r="F84" i="24"/>
  <c r="AN77" i="24"/>
  <c r="AN71" i="24" s="1"/>
  <c r="AL77" i="24"/>
  <c r="AL71" i="24" s="1"/>
  <c r="AJ77" i="24"/>
  <c r="AJ71" i="24" s="1"/>
  <c r="N77" i="24"/>
  <c r="J77" i="24" s="1"/>
  <c r="G77" i="24"/>
  <c r="F77" i="24"/>
  <c r="G76" i="24"/>
  <c r="F76" i="24"/>
  <c r="BH75" i="24"/>
  <c r="AP75" i="24"/>
  <c r="AD75" i="24" s="1"/>
  <c r="R75" i="24"/>
  <c r="G75" i="24"/>
  <c r="F75" i="24"/>
  <c r="D75" i="24"/>
  <c r="D76" i="24" s="1"/>
  <c r="N74" i="24"/>
  <c r="J74" i="24" s="1"/>
  <c r="D74" i="24"/>
  <c r="AV72" i="24"/>
  <c r="AR72" i="24" s="1"/>
  <c r="AD72" i="24"/>
  <c r="Z72" i="24" s="1"/>
  <c r="X72" i="24"/>
  <c r="X73" i="24" s="1"/>
  <c r="X70" i="24" s="1"/>
  <c r="V72" i="24"/>
  <c r="T72" i="24"/>
  <c r="T73" i="24" s="1"/>
  <c r="T70" i="24" s="1"/>
  <c r="P72" i="24"/>
  <c r="L72" i="24"/>
  <c r="L73" i="24" s="1"/>
  <c r="D72" i="24"/>
  <c r="X71" i="24"/>
  <c r="V71" i="24"/>
  <c r="T71" i="24"/>
  <c r="R71" i="24"/>
  <c r="P71" i="24"/>
  <c r="L71" i="24"/>
  <c r="G71" i="24"/>
  <c r="F71" i="24"/>
  <c r="D71" i="24"/>
  <c r="G70" i="24"/>
  <c r="F70" i="24"/>
  <c r="BF69" i="24"/>
  <c r="BD69" i="24"/>
  <c r="BB69" i="24"/>
  <c r="AZ69" i="24"/>
  <c r="AX69" i="24"/>
  <c r="AT69" i="24"/>
  <c r="AN69" i="24"/>
  <c r="AL69" i="24"/>
  <c r="AJ69" i="24"/>
  <c r="AH69" i="24"/>
  <c r="AF69" i="24"/>
  <c r="AB69" i="24"/>
  <c r="G69" i="24"/>
  <c r="F69" i="24"/>
  <c r="D69" i="24"/>
  <c r="AN43" i="24"/>
  <c r="AD43" i="24" s="1"/>
  <c r="Z43" i="24" s="1"/>
  <c r="AR43" i="24" s="1"/>
  <c r="AN42" i="24"/>
  <c r="AN27" i="24" s="1"/>
  <c r="N41" i="24"/>
  <c r="D41" i="24"/>
  <c r="AL40" i="24"/>
  <c r="AL28" i="24" s="1"/>
  <c r="AH40" i="24"/>
  <c r="AH28" i="24" s="1"/>
  <c r="AF40" i="24"/>
  <c r="AB40" i="24"/>
  <c r="AB28" i="24" s="1"/>
  <c r="D40" i="24"/>
  <c r="AL39" i="24"/>
  <c r="AH39" i="24"/>
  <c r="AH27" i="24" s="1"/>
  <c r="AF39" i="24"/>
  <c r="AX39" i="24" s="1"/>
  <c r="AB39" i="24"/>
  <c r="X39" i="24"/>
  <c r="X40" i="24" s="1"/>
  <c r="X28" i="24" s="1"/>
  <c r="V39" i="24"/>
  <c r="V27" i="24" s="1"/>
  <c r="T39" i="24"/>
  <c r="R39" i="24"/>
  <c r="R40" i="24" s="1"/>
  <c r="R28" i="24" s="1"/>
  <c r="P39" i="24"/>
  <c r="P40" i="24" s="1"/>
  <c r="P28" i="24" s="1"/>
  <c r="L39" i="24"/>
  <c r="G38" i="24"/>
  <c r="F38" i="24"/>
  <c r="BH37" i="24"/>
  <c r="BH28" i="24" s="1"/>
  <c r="AP37" i="24"/>
  <c r="AP28" i="24" s="1"/>
  <c r="AJ37" i="24"/>
  <c r="G37" i="24"/>
  <c r="F37" i="24"/>
  <c r="BH36" i="24"/>
  <c r="AP36" i="24"/>
  <c r="AP27" i="24" s="1"/>
  <c r="AJ36" i="24"/>
  <c r="BB36" i="24" s="1"/>
  <c r="T36" i="24"/>
  <c r="T27" i="24" s="1"/>
  <c r="G36" i="24"/>
  <c r="F36" i="24"/>
  <c r="X29" i="24"/>
  <c r="X26" i="24" s="1"/>
  <c r="V29" i="24"/>
  <c r="T29" i="24"/>
  <c r="T26" i="24" s="1"/>
  <c r="R29" i="24"/>
  <c r="R26" i="24" s="1"/>
  <c r="P29" i="24"/>
  <c r="L29" i="24"/>
  <c r="L26" i="24" s="1"/>
  <c r="G29" i="24"/>
  <c r="F29" i="24"/>
  <c r="D29" i="24"/>
  <c r="AJ28" i="24"/>
  <c r="N28" i="24"/>
  <c r="G28" i="24"/>
  <c r="F28" i="24"/>
  <c r="G27" i="24"/>
  <c r="F27" i="24"/>
  <c r="D27" i="24"/>
  <c r="BI26" i="24"/>
  <c r="AQ26" i="24"/>
  <c r="AM26" i="24"/>
  <c r="W26" i="24"/>
  <c r="V26" i="24"/>
  <c r="P26" i="24"/>
  <c r="I26" i="24"/>
  <c r="G26" i="24"/>
  <c r="F26" i="24"/>
  <c r="BI25" i="24"/>
  <c r="BG25" i="24"/>
  <c r="BE25" i="24"/>
  <c r="BC25" i="24"/>
  <c r="BA25" i="24"/>
  <c r="AY25" i="24"/>
  <c r="AW25" i="24"/>
  <c r="AU25" i="24"/>
  <c r="AS25" i="24"/>
  <c r="AQ25" i="24"/>
  <c r="AO25" i="24"/>
  <c r="AM25" i="24"/>
  <c r="AL25" i="24"/>
  <c r="AK25" i="24"/>
  <c r="AI25" i="24"/>
  <c r="AG25" i="24"/>
  <c r="AE25" i="24"/>
  <c r="AC25" i="24"/>
  <c r="AA25" i="24"/>
  <c r="Y25" i="24"/>
  <c r="W25" i="24"/>
  <c r="U25" i="24"/>
  <c r="S25" i="24"/>
  <c r="Q25" i="24"/>
  <c r="O25" i="24"/>
  <c r="M25" i="24"/>
  <c r="K25" i="24"/>
  <c r="J25" i="24"/>
  <c r="H25" i="24"/>
  <c r="G25" i="24"/>
  <c r="F25" i="24"/>
  <c r="G22" i="24"/>
  <c r="F22" i="24"/>
  <c r="G21" i="24"/>
  <c r="F21" i="24"/>
  <c r="AP20" i="24"/>
  <c r="BH20" i="24" s="1"/>
  <c r="AN20" i="24"/>
  <c r="BF20" i="24" s="1"/>
  <c r="AL20" i="24"/>
  <c r="BD20" i="24" s="1"/>
  <c r="AJ20" i="24"/>
  <c r="BB20" i="24" s="1"/>
  <c r="AH20" i="24"/>
  <c r="AZ20" i="24" s="1"/>
  <c r="AF20" i="24"/>
  <c r="AX20" i="24" s="1"/>
  <c r="AB20" i="24"/>
  <c r="AT20" i="24" s="1"/>
  <c r="X20" i="24"/>
  <c r="V20" i="24"/>
  <c r="T20" i="24"/>
  <c r="R20" i="24"/>
  <c r="P20" i="24"/>
  <c r="L20" i="24"/>
  <c r="G20" i="24"/>
  <c r="F20" i="24"/>
  <c r="AP19" i="24"/>
  <c r="BH19" i="24" s="1"/>
  <c r="AN19" i="24"/>
  <c r="BF19" i="24" s="1"/>
  <c r="AL19" i="24"/>
  <c r="BD19" i="24" s="1"/>
  <c r="AJ19" i="24"/>
  <c r="BB19" i="24" s="1"/>
  <c r="AH19" i="24"/>
  <c r="AF19" i="24"/>
  <c r="AB19" i="24"/>
  <c r="AT19" i="24" s="1"/>
  <c r="X19" i="24"/>
  <c r="V19" i="24"/>
  <c r="T19" i="24"/>
  <c r="R19" i="24"/>
  <c r="P19" i="24"/>
  <c r="L19" i="24"/>
  <c r="G19" i="24"/>
  <c r="F19" i="24"/>
  <c r="AP18" i="24"/>
  <c r="BH18" i="24" s="1"/>
  <c r="AN18" i="24"/>
  <c r="BF18" i="24" s="1"/>
  <c r="AL18" i="24"/>
  <c r="AJ18" i="24"/>
  <c r="BB18" i="24" s="1"/>
  <c r="AH18" i="24"/>
  <c r="AZ18" i="24" s="1"/>
  <c r="AF18" i="24"/>
  <c r="AX18" i="24" s="1"/>
  <c r="AB18" i="24"/>
  <c r="X18" i="24"/>
  <c r="V18" i="24"/>
  <c r="T18" i="24"/>
  <c r="R18" i="24"/>
  <c r="P18" i="24"/>
  <c r="L18" i="24"/>
  <c r="G18" i="24"/>
  <c r="F18" i="24"/>
  <c r="BK17" i="24"/>
  <c r="G17" i="24"/>
  <c r="H29" i="24" s="1"/>
  <c r="F17" i="24"/>
  <c r="D17" i="24"/>
  <c r="D16" i="24" s="1"/>
  <c r="D14" i="24" s="1"/>
  <c r="D11" i="24" s="1"/>
  <c r="G16" i="24"/>
  <c r="H99" i="24" s="1"/>
  <c r="F16" i="24"/>
  <c r="BH15" i="24"/>
  <c r="AP15" i="24"/>
  <c r="AN15" i="24"/>
  <c r="BF15" i="24" s="1"/>
  <c r="AL15" i="24"/>
  <c r="BD15" i="24" s="1"/>
  <c r="AJ15" i="24"/>
  <c r="BB15" i="24" s="1"/>
  <c r="AH15" i="24"/>
  <c r="AF15" i="24"/>
  <c r="AX15" i="24" s="1"/>
  <c r="AB15" i="24"/>
  <c r="AT15" i="24" s="1"/>
  <c r="X15" i="24"/>
  <c r="V15" i="24"/>
  <c r="T15" i="24"/>
  <c r="R15" i="24"/>
  <c r="P15" i="24"/>
  <c r="L15" i="24"/>
  <c r="I15" i="24"/>
  <c r="G15" i="24"/>
  <c r="F15" i="24"/>
  <c r="G14" i="24"/>
  <c r="F14" i="24"/>
  <c r="BH13" i="24"/>
  <c r="AP13" i="24"/>
  <c r="AN13" i="24"/>
  <c r="BF13" i="24" s="1"/>
  <c r="AL13" i="24"/>
  <c r="BD13" i="24" s="1"/>
  <c r="AJ13" i="24"/>
  <c r="BB13" i="24" s="1"/>
  <c r="AH13" i="24"/>
  <c r="AZ13" i="24" s="1"/>
  <c r="AF13" i="24"/>
  <c r="AX13" i="24" s="1"/>
  <c r="AB13" i="24"/>
  <c r="AT13" i="24" s="1"/>
  <c r="G13" i="24"/>
  <c r="F13" i="24"/>
  <c r="BH12" i="24"/>
  <c r="AP12" i="24"/>
  <c r="AN12" i="24"/>
  <c r="BF12" i="24" s="1"/>
  <c r="AL12" i="24"/>
  <c r="BD12" i="24" s="1"/>
  <c r="AJ12" i="24"/>
  <c r="BB12" i="24" s="1"/>
  <c r="AH12" i="24"/>
  <c r="AZ12" i="24" s="1"/>
  <c r="AF12" i="24"/>
  <c r="AX12" i="24" s="1"/>
  <c r="AB12" i="24"/>
  <c r="X12" i="24"/>
  <c r="V12" i="24"/>
  <c r="T12" i="24"/>
  <c r="R12" i="24"/>
  <c r="P12" i="24"/>
  <c r="L12" i="24"/>
  <c r="G12" i="24"/>
  <c r="F12" i="24"/>
  <c r="G11" i="24"/>
  <c r="F11" i="24"/>
  <c r="BK10" i="24"/>
  <c r="BL16" i="24" s="1"/>
  <c r="C2" i="17"/>
  <c r="D2" i="17" s="1"/>
  <c r="E2" i="17" s="1"/>
  <c r="E3" i="17" s="1"/>
  <c r="P94" i="16"/>
  <c r="H94" i="16"/>
  <c r="K94" i="16" s="1"/>
  <c r="P93" i="16"/>
  <c r="H93" i="16"/>
  <c r="K93" i="16" s="1"/>
  <c r="P92" i="16"/>
  <c r="H92" i="16"/>
  <c r="K92" i="16" s="1"/>
  <c r="P91" i="16"/>
  <c r="H91" i="16"/>
  <c r="K91" i="16" s="1"/>
  <c r="P90" i="16"/>
  <c r="H90" i="16"/>
  <c r="K90" i="16" s="1"/>
  <c r="P89" i="16"/>
  <c r="H89" i="16"/>
  <c r="K89" i="16" s="1"/>
  <c r="P88" i="16"/>
  <c r="H88" i="16"/>
  <c r="K88" i="16" s="1"/>
  <c r="P87" i="16"/>
  <c r="H87" i="16"/>
  <c r="K87" i="16" s="1"/>
  <c r="P86" i="16"/>
  <c r="H86" i="16"/>
  <c r="K86" i="16" s="1"/>
  <c r="P85" i="16"/>
  <c r="H85" i="16"/>
  <c r="K85" i="16" s="1"/>
  <c r="P84" i="16"/>
  <c r="H84" i="16"/>
  <c r="K84" i="16" s="1"/>
  <c r="P83" i="16"/>
  <c r="H83" i="16"/>
  <c r="K83" i="16" s="1"/>
  <c r="P82" i="16"/>
  <c r="H82" i="16"/>
  <c r="K82" i="16" s="1"/>
  <c r="P81" i="16"/>
  <c r="H81" i="16"/>
  <c r="K81" i="16" s="1"/>
  <c r="P80" i="16"/>
  <c r="H80" i="16"/>
  <c r="K80" i="16" s="1"/>
  <c r="P79" i="16"/>
  <c r="H79" i="16"/>
  <c r="K79" i="16" s="1"/>
  <c r="P78" i="16"/>
  <c r="H78" i="16"/>
  <c r="K78" i="16" s="1"/>
  <c r="P77" i="16"/>
  <c r="H77" i="16"/>
  <c r="K77" i="16" s="1"/>
  <c r="P76" i="16"/>
  <c r="H76" i="16"/>
  <c r="K76" i="16" s="1"/>
  <c r="P75" i="16"/>
  <c r="H75" i="16"/>
  <c r="K75" i="16" s="1"/>
  <c r="P74" i="16"/>
  <c r="H74" i="16"/>
  <c r="K74" i="16" s="1"/>
  <c r="P73" i="16"/>
  <c r="H73" i="16"/>
  <c r="K73" i="16" s="1"/>
  <c r="P72" i="16"/>
  <c r="H72" i="16"/>
  <c r="K72" i="16" s="1"/>
  <c r="P71" i="16"/>
  <c r="H71" i="16"/>
  <c r="K71" i="16" s="1"/>
  <c r="P70" i="16"/>
  <c r="H70" i="16"/>
  <c r="K70" i="16" s="1"/>
  <c r="P69" i="16"/>
  <c r="H69" i="16"/>
  <c r="K69" i="16" s="1"/>
  <c r="P68" i="16"/>
  <c r="H68" i="16"/>
  <c r="K68" i="16" s="1"/>
  <c r="P67" i="16"/>
  <c r="H67" i="16"/>
  <c r="K67" i="16" s="1"/>
  <c r="P66" i="16"/>
  <c r="H66" i="16"/>
  <c r="K66" i="16" s="1"/>
  <c r="P65" i="16"/>
  <c r="H65" i="16"/>
  <c r="K65" i="16" s="1"/>
  <c r="P64" i="16"/>
  <c r="H64" i="16"/>
  <c r="K64" i="16" s="1"/>
  <c r="P63" i="16"/>
  <c r="H63" i="16"/>
  <c r="K63" i="16" s="1"/>
  <c r="P62" i="16"/>
  <c r="H62" i="16"/>
  <c r="K62" i="16" s="1"/>
  <c r="P61" i="16"/>
  <c r="H61" i="16"/>
  <c r="K61" i="16" s="1"/>
  <c r="P60" i="16"/>
  <c r="H60" i="16"/>
  <c r="K60" i="16" s="1"/>
  <c r="P59" i="16"/>
  <c r="H59" i="16"/>
  <c r="K59" i="16" s="1"/>
  <c r="P58" i="16"/>
  <c r="H58" i="16"/>
  <c r="K58" i="16" s="1"/>
  <c r="P57" i="16"/>
  <c r="H57" i="16"/>
  <c r="K57" i="16" s="1"/>
  <c r="P56" i="16"/>
  <c r="H56" i="16"/>
  <c r="K56" i="16" s="1"/>
  <c r="P55" i="16"/>
  <c r="H55" i="16"/>
  <c r="K55" i="16" s="1"/>
  <c r="P54" i="16"/>
  <c r="H54" i="16"/>
  <c r="K54" i="16" s="1"/>
  <c r="P53" i="16"/>
  <c r="H53" i="16"/>
  <c r="K53" i="16" s="1"/>
  <c r="P52" i="16"/>
  <c r="H52" i="16"/>
  <c r="K52" i="16" s="1"/>
  <c r="P51" i="16"/>
  <c r="H51" i="16"/>
  <c r="K51" i="16" s="1"/>
  <c r="P50" i="16"/>
  <c r="H50" i="16"/>
  <c r="K50" i="16" s="1"/>
  <c r="P49" i="16"/>
  <c r="H49" i="16"/>
  <c r="K49" i="16" s="1"/>
  <c r="P48" i="16"/>
  <c r="H48" i="16"/>
  <c r="K48" i="16" s="1"/>
  <c r="P47" i="16"/>
  <c r="H47" i="16"/>
  <c r="K47" i="16" s="1"/>
  <c r="P46" i="16"/>
  <c r="H46" i="16"/>
  <c r="K46" i="16" s="1"/>
  <c r="P45" i="16"/>
  <c r="H45" i="16"/>
  <c r="K45" i="16" s="1"/>
  <c r="P44" i="16"/>
  <c r="H44" i="16"/>
  <c r="K44" i="16" s="1"/>
  <c r="P43" i="16"/>
  <c r="H43" i="16"/>
  <c r="K43" i="16" s="1"/>
  <c r="P42" i="16"/>
  <c r="H42" i="16"/>
  <c r="K42" i="16" s="1"/>
  <c r="P41" i="16"/>
  <c r="H41" i="16"/>
  <c r="K41" i="16" s="1"/>
  <c r="P40" i="16"/>
  <c r="H40" i="16"/>
  <c r="K40" i="16" s="1"/>
  <c r="P39" i="16"/>
  <c r="H39" i="16"/>
  <c r="K39" i="16" s="1"/>
  <c r="P38" i="16"/>
  <c r="H38" i="16"/>
  <c r="K38" i="16" s="1"/>
  <c r="P37" i="16"/>
  <c r="H37" i="16"/>
  <c r="K37" i="16" s="1"/>
  <c r="P36" i="16"/>
  <c r="H36" i="16"/>
  <c r="K36" i="16" s="1"/>
  <c r="P35" i="16"/>
  <c r="H35" i="16"/>
  <c r="K35" i="16" s="1"/>
  <c r="P34" i="16"/>
  <c r="H34" i="16"/>
  <c r="K34" i="16" s="1"/>
  <c r="P33" i="16"/>
  <c r="H33" i="16"/>
  <c r="K33" i="16" s="1"/>
  <c r="P32" i="16"/>
  <c r="H32" i="16"/>
  <c r="K32" i="16" s="1"/>
  <c r="P31" i="16"/>
  <c r="H31" i="16"/>
  <c r="K31" i="16" s="1"/>
  <c r="P30" i="16"/>
  <c r="H30" i="16"/>
  <c r="K30" i="16" s="1"/>
  <c r="P29" i="16"/>
  <c r="H29" i="16"/>
  <c r="K29" i="16" s="1"/>
  <c r="P28" i="16"/>
  <c r="H28" i="16"/>
  <c r="K28" i="16" s="1"/>
  <c r="P27" i="16"/>
  <c r="H27" i="16"/>
  <c r="K27" i="16" s="1"/>
  <c r="P26" i="16"/>
  <c r="H26" i="16"/>
  <c r="K26" i="16" s="1"/>
  <c r="P25" i="16"/>
  <c r="H25" i="16"/>
  <c r="K25" i="16" s="1"/>
  <c r="P24" i="16"/>
  <c r="H24" i="16"/>
  <c r="K24" i="16" s="1"/>
  <c r="P23" i="16"/>
  <c r="H23" i="16"/>
  <c r="K23" i="16" s="1"/>
  <c r="P22" i="16"/>
  <c r="H22" i="16"/>
  <c r="K22" i="16" s="1"/>
  <c r="P21" i="16"/>
  <c r="H21" i="16"/>
  <c r="K21" i="16" s="1"/>
  <c r="P20" i="16"/>
  <c r="H20" i="16"/>
  <c r="K20" i="16" s="1"/>
  <c r="P19" i="16"/>
  <c r="H19" i="16"/>
  <c r="K19" i="16" s="1"/>
  <c r="P18" i="16"/>
  <c r="H18" i="16"/>
  <c r="K18" i="16" s="1"/>
  <c r="P17" i="16"/>
  <c r="H17" i="16"/>
  <c r="K17" i="16" s="1"/>
  <c r="P16" i="16"/>
  <c r="H16" i="16"/>
  <c r="K16" i="16" s="1"/>
  <c r="P15" i="16"/>
  <c r="H15" i="16"/>
  <c r="K15" i="16" s="1"/>
  <c r="P14" i="16"/>
  <c r="H14" i="16"/>
  <c r="K14" i="16" s="1"/>
  <c r="P13" i="16"/>
  <c r="H13" i="16"/>
  <c r="K13" i="16" s="1"/>
  <c r="P12" i="16"/>
  <c r="H12" i="16"/>
  <c r="K12" i="16" s="1"/>
  <c r="P11" i="16"/>
  <c r="H11" i="16"/>
  <c r="K11" i="16" s="1"/>
  <c r="P10" i="16"/>
  <c r="H10" i="16"/>
  <c r="K10" i="16" s="1"/>
  <c r="P9" i="16"/>
  <c r="H9" i="16"/>
  <c r="K9" i="16" s="1"/>
  <c r="P8" i="16"/>
  <c r="H8" i="16"/>
  <c r="K8" i="16" s="1"/>
  <c r="P7" i="16"/>
  <c r="H7" i="16"/>
  <c r="K7" i="16" s="1"/>
  <c r="P6" i="16"/>
  <c r="H6" i="16"/>
  <c r="K6" i="16" s="1"/>
  <c r="P5" i="16"/>
  <c r="H5" i="16"/>
  <c r="H12" i="24" l="1"/>
  <c r="R17" i="24"/>
  <c r="R16" i="24" s="1"/>
  <c r="S71" i="24" s="1"/>
  <c r="T69" i="24"/>
  <c r="P27" i="24"/>
  <c r="X111" i="24"/>
  <c r="X17" i="24"/>
  <c r="X16" i="24" s="1"/>
  <c r="X14" i="24" s="1"/>
  <c r="X11" i="24" s="1"/>
  <c r="X25" i="24" s="1"/>
  <c r="AN28" i="24"/>
  <c r="P111" i="24"/>
  <c r="R111" i="24"/>
  <c r="AL111" i="24"/>
  <c r="AF27" i="24"/>
  <c r="AD37" i="24"/>
  <c r="Z37" i="24" s="1"/>
  <c r="AR37" i="24" s="1"/>
  <c r="D28" i="24"/>
  <c r="P84" i="24"/>
  <c r="P85" i="24" s="1"/>
  <c r="AN17" i="24"/>
  <c r="AN16" i="24" s="1"/>
  <c r="BF16" i="24" s="1"/>
  <c r="X27" i="24"/>
  <c r="AF96" i="24"/>
  <c r="AX96" i="24" s="1"/>
  <c r="K5" i="16"/>
  <c r="K159" i="16" s="1"/>
  <c r="D26" i="24"/>
  <c r="AV20" i="24"/>
  <c r="AF41" i="24"/>
  <c r="AF29" i="24" s="1"/>
  <c r="AF26" i="24" s="1"/>
  <c r="H15" i="24"/>
  <c r="N15" i="24"/>
  <c r="J15" i="24" s="1"/>
  <c r="V40" i="24"/>
  <c r="V28" i="24" s="1"/>
  <c r="X84" i="24"/>
  <c r="X85" i="24" s="1"/>
  <c r="AN96" i="24"/>
  <c r="BF96" i="24" s="1"/>
  <c r="AD98" i="24"/>
  <c r="V111" i="24"/>
  <c r="L84" i="24"/>
  <c r="H86" i="24"/>
  <c r="AF98" i="24"/>
  <c r="AX98" i="24" s="1"/>
  <c r="T111" i="24"/>
  <c r="AB96" i="24"/>
  <c r="AT96" i="24" s="1"/>
  <c r="AZ15" i="24"/>
  <c r="AV15" i="24" s="1"/>
  <c r="AD15" i="24"/>
  <c r="Z15" i="24" s="1"/>
  <c r="AJ95" i="24"/>
  <c r="AN95" i="24"/>
  <c r="BF95" i="24" s="1"/>
  <c r="Z94" i="24"/>
  <c r="Z99" i="24" s="1"/>
  <c r="AL95" i="24"/>
  <c r="BD95" i="24" s="1"/>
  <c r="AH97" i="24"/>
  <c r="AZ97" i="24" s="1"/>
  <c r="AJ97" i="24"/>
  <c r="BB97" i="24" s="1"/>
  <c r="AT12" i="24"/>
  <c r="AF95" i="24"/>
  <c r="AX95" i="24" s="1"/>
  <c r="AB97" i="24"/>
  <c r="AT97" i="24" s="1"/>
  <c r="AD102" i="24"/>
  <c r="AV102" i="24" s="1"/>
  <c r="AR102" i="24" s="1"/>
  <c r="AD12" i="24"/>
  <c r="Z12" i="24" s="1"/>
  <c r="AP17" i="24"/>
  <c r="AP16" i="24" s="1"/>
  <c r="AP14" i="24" s="1"/>
  <c r="AP11" i="24" s="1"/>
  <c r="AP25" i="24" s="1"/>
  <c r="N19" i="24"/>
  <c r="J19" i="24" s="1"/>
  <c r="AX19" i="24"/>
  <c r="AF17" i="24"/>
  <c r="BH38" i="24"/>
  <c r="BH27" i="24"/>
  <c r="L69" i="24"/>
  <c r="AP69" i="24"/>
  <c r="V73" i="24"/>
  <c r="V70" i="24" s="1"/>
  <c r="V69" i="24"/>
  <c r="AV75" i="24"/>
  <c r="BH69" i="24"/>
  <c r="AD87" i="24"/>
  <c r="AD84" i="24" s="1"/>
  <c r="N114" i="24"/>
  <c r="N12" i="24"/>
  <c r="J12" i="24" s="1"/>
  <c r="N18" i="24"/>
  <c r="J18" i="24" s="1"/>
  <c r="P17" i="24"/>
  <c r="P16" i="24" s="1"/>
  <c r="Q71" i="24" s="1"/>
  <c r="AH17" i="24"/>
  <c r="AH16" i="24" s="1"/>
  <c r="AI86" i="24" s="1"/>
  <c r="AZ19" i="24"/>
  <c r="N20" i="24"/>
  <c r="J20" i="24" s="1"/>
  <c r="T37" i="24"/>
  <c r="N36" i="24"/>
  <c r="J36" i="24" s="1"/>
  <c r="AD40" i="24"/>
  <c r="Z40" i="24" s="1"/>
  <c r="AR40" i="24" s="1"/>
  <c r="AF28" i="24"/>
  <c r="D70" i="24"/>
  <c r="D73" i="24" s="1"/>
  <c r="V88" i="24"/>
  <c r="V84" i="24"/>
  <c r="V85" i="24" s="1"/>
  <c r="AP38" i="24"/>
  <c r="AP29" i="24" s="1"/>
  <c r="AN44" i="24"/>
  <c r="AN29" i="24" s="1"/>
  <c r="AN26" i="24" s="1"/>
  <c r="AJ96" i="24"/>
  <c r="BB96" i="24" s="1"/>
  <c r="AL98" i="24"/>
  <c r="BD98" i="24" s="1"/>
  <c r="J100" i="24"/>
  <c r="L111" i="24"/>
  <c r="V17" i="24"/>
  <c r="V16" i="24" s="1"/>
  <c r="W71" i="24" s="1"/>
  <c r="H26" i="24"/>
  <c r="H71" i="24"/>
  <c r="AL96" i="24"/>
  <c r="BD96" i="24" s="1"/>
  <c r="AN98" i="24"/>
  <c r="BF98" i="24" s="1"/>
  <c r="AV12" i="24"/>
  <c r="BL14" i="24"/>
  <c r="AD20" i="24"/>
  <c r="Z20" i="24" s="1"/>
  <c r="AL41" i="24"/>
  <c r="AL29" i="24" s="1"/>
  <c r="BD39" i="24"/>
  <c r="L70" i="24"/>
  <c r="N75" i="24"/>
  <c r="J75" i="24" s="1"/>
  <c r="R69" i="24"/>
  <c r="AL70" i="24"/>
  <c r="BL11" i="24"/>
  <c r="BL12" i="24"/>
  <c r="BL15" i="24"/>
  <c r="AD19" i="24"/>
  <c r="Z19" i="24" s="1"/>
  <c r="AV36" i="24"/>
  <c r="AB27" i="24"/>
  <c r="AB41" i="24"/>
  <c r="AB29" i="24" s="1"/>
  <c r="AT39" i="24"/>
  <c r="AX27" i="24"/>
  <c r="J41" i="24"/>
  <c r="N29" i="24"/>
  <c r="AJ70" i="24"/>
  <c r="N72" i="24"/>
  <c r="P69" i="24"/>
  <c r="P73" i="24"/>
  <c r="AD69" i="24"/>
  <c r="Z75" i="24"/>
  <c r="Z69" i="24" s="1"/>
  <c r="N87" i="24"/>
  <c r="N84" i="24" s="1"/>
  <c r="T88" i="24"/>
  <c r="T84" i="24"/>
  <c r="AN84" i="24"/>
  <c r="AJ114" i="24"/>
  <c r="AJ111" i="24" s="1"/>
  <c r="S29" i="24"/>
  <c r="BL13" i="24"/>
  <c r="R14" i="24"/>
  <c r="R11" i="24" s="1"/>
  <c r="AB17" i="24"/>
  <c r="AJ17" i="24"/>
  <c r="BH17" i="24"/>
  <c r="BH16" i="24" s="1"/>
  <c r="BH14" i="24" s="1"/>
  <c r="BH29" i="24"/>
  <c r="BH26" i="24"/>
  <c r="AD39" i="24"/>
  <c r="AD41" i="24" s="1"/>
  <c r="N71" i="24"/>
  <c r="Y71" i="24"/>
  <c r="AN70" i="24"/>
  <c r="H84" i="24"/>
  <c r="H69" i="24"/>
  <c r="L17" i="24"/>
  <c r="T17" i="24"/>
  <c r="AD18" i="24"/>
  <c r="AL17" i="24"/>
  <c r="BD18" i="24"/>
  <c r="AV18" i="24" s="1"/>
  <c r="AT18" i="24"/>
  <c r="AR20" i="24"/>
  <c r="AL27" i="24"/>
  <c r="BB27" i="24"/>
  <c r="AD36" i="24"/>
  <c r="AJ27" i="24"/>
  <c r="AJ38" i="24"/>
  <c r="AJ29" i="24" s="1"/>
  <c r="L27" i="24"/>
  <c r="L40" i="24"/>
  <c r="R76" i="24"/>
  <c r="S86" i="24"/>
  <c r="N86" i="24"/>
  <c r="N39" i="24"/>
  <c r="N27" i="24" s="1"/>
  <c r="AZ39" i="24"/>
  <c r="AH41" i="24"/>
  <c r="AH29" i="24" s="1"/>
  <c r="X69" i="24"/>
  <c r="AP77" i="24"/>
  <c r="AP71" i="24" s="1"/>
  <c r="H100" i="24"/>
  <c r="D105" i="24"/>
  <c r="R27" i="24"/>
  <c r="AD42" i="24"/>
  <c r="BF42" i="24"/>
  <c r="Z88" i="24"/>
  <c r="AR88" i="24" s="1"/>
  <c r="AP88" i="24"/>
  <c r="AP89" i="24" s="1"/>
  <c r="AP86" i="24" s="1"/>
  <c r="AP85" i="24" s="1"/>
  <c r="AF88" i="24"/>
  <c r="H94" i="24"/>
  <c r="AB89" i="24"/>
  <c r="Z87" i="24"/>
  <c r="Z84" i="24" s="1"/>
  <c r="BB95" i="24"/>
  <c r="AV87" i="24"/>
  <c r="AN97" i="24"/>
  <c r="BF97" i="24" s="1"/>
  <c r="AF97" i="24"/>
  <c r="AL97" i="24"/>
  <c r="BD97" i="24" s="1"/>
  <c r="AD97" i="24"/>
  <c r="AR97" i="24"/>
  <c r="N102" i="24"/>
  <c r="AZ114" i="24"/>
  <c r="AZ111" i="24" s="1"/>
  <c r="BH114" i="24"/>
  <c r="BH111" i="24" s="1"/>
  <c r="AH95" i="24"/>
  <c r="AR95" i="24"/>
  <c r="AH98" i="24"/>
  <c r="AZ98" i="24" s="1"/>
  <c r="AR98" i="24"/>
  <c r="AB114" i="24"/>
  <c r="AB111" i="24" s="1"/>
  <c r="AB95" i="24"/>
  <c r="AH96" i="24"/>
  <c r="AB98" i="24"/>
  <c r="AT98" i="24" s="1"/>
  <c r="N113" i="24"/>
  <c r="N111" i="24" s="1"/>
  <c r="AD113" i="24"/>
  <c r="AV113" i="24"/>
  <c r="Y29" i="24" l="1"/>
  <c r="Y86" i="24"/>
  <c r="AQ12" i="24"/>
  <c r="BI29" i="24"/>
  <c r="BD94" i="24"/>
  <c r="AQ29" i="24"/>
  <c r="AN14" i="24"/>
  <c r="BF14" i="24" s="1"/>
  <c r="BG15" i="24" s="1"/>
  <c r="AO71" i="24"/>
  <c r="AD28" i="24"/>
  <c r="Z28" i="24" s="1"/>
  <c r="AR28" i="24" s="1"/>
  <c r="BB37" i="24" s="1"/>
  <c r="BF17" i="24"/>
  <c r="P160" i="16"/>
  <c r="Y15" i="24"/>
  <c r="BB94" i="24"/>
  <c r="BB99" i="24" s="1"/>
  <c r="Q29" i="24"/>
  <c r="AQ15" i="24"/>
  <c r="AV19" i="24"/>
  <c r="AR19" i="24" s="1"/>
  <c r="AR12" i="24"/>
  <c r="AD17" i="24"/>
  <c r="AD16" i="24" s="1"/>
  <c r="AD14" i="24" s="1"/>
  <c r="AD11" i="24" s="1"/>
  <c r="AP26" i="24"/>
  <c r="AO29" i="24"/>
  <c r="AR18" i="24"/>
  <c r="AZ17" i="24"/>
  <c r="AD95" i="24"/>
  <c r="W86" i="24"/>
  <c r="W29" i="24"/>
  <c r="AJ94" i="24"/>
  <c r="AJ99" i="24" s="1"/>
  <c r="Z102" i="24"/>
  <c r="N88" i="24"/>
  <c r="AL94" i="24"/>
  <c r="AP70" i="24"/>
  <c r="AV39" i="24"/>
  <c r="AR39" i="24" s="1"/>
  <c r="AR41" i="24" s="1"/>
  <c r="AR75" i="24"/>
  <c r="AR69" i="24" s="1"/>
  <c r="AV69" i="24"/>
  <c r="AD77" i="24"/>
  <c r="AD76" i="24" s="1"/>
  <c r="N17" i="24"/>
  <c r="N16" i="24" s="1"/>
  <c r="N14" i="24" s="1"/>
  <c r="N11" i="24" s="1"/>
  <c r="AF16" i="24"/>
  <c r="AX17" i="24"/>
  <c r="V14" i="24"/>
  <c r="Z18" i="24"/>
  <c r="S69" i="24"/>
  <c r="Y12" i="24"/>
  <c r="AV98" i="24"/>
  <c r="BF94" i="24"/>
  <c r="BG94" i="24" s="1"/>
  <c r="Y69" i="24"/>
  <c r="AG29" i="24"/>
  <c r="Y84" i="24"/>
  <c r="S15" i="24"/>
  <c r="N37" i="24"/>
  <c r="T28" i="24"/>
  <c r="Q86" i="24"/>
  <c r="P14" i="24"/>
  <c r="AX97" i="24"/>
  <c r="AF94" i="24"/>
  <c r="BD99" i="24"/>
  <c r="AL16" i="24"/>
  <c r="BD17" i="24"/>
  <c r="T85" i="24"/>
  <c r="N85" i="24" s="1"/>
  <c r="N73" i="24"/>
  <c r="J73" i="24" s="1"/>
  <c r="Z73" i="24" s="1"/>
  <c r="P70" i="24"/>
  <c r="O29" i="24"/>
  <c r="N26" i="24"/>
  <c r="BD27" i="24"/>
  <c r="AB86" i="24"/>
  <c r="AN94" i="24"/>
  <c r="BF27" i="24"/>
  <c r="AV42" i="24"/>
  <c r="J40" i="24"/>
  <c r="L28" i="24"/>
  <c r="BH11" i="24"/>
  <c r="BI15" i="24"/>
  <c r="Z39" i="24"/>
  <c r="Z41" i="24" s="1"/>
  <c r="AM29" i="24"/>
  <c r="AL26" i="24"/>
  <c r="AL88" i="24"/>
  <c r="AL89" i="24" s="1"/>
  <c r="AL86" i="24" s="1"/>
  <c r="AJ88" i="24"/>
  <c r="AJ89" i="24" s="1"/>
  <c r="AJ86" i="24" s="1"/>
  <c r="AN88" i="24"/>
  <c r="AN89" i="24" s="1"/>
  <c r="AN86" i="24" s="1"/>
  <c r="N76" i="24"/>
  <c r="J76" i="24" s="1"/>
  <c r="Z76" i="24" s="1"/>
  <c r="R70" i="24"/>
  <c r="AR94" i="24"/>
  <c r="AT88" i="24"/>
  <c r="BB88" i="24"/>
  <c r="AI29" i="24"/>
  <c r="AH26" i="24"/>
  <c r="Z36" i="24"/>
  <c r="AD38" i="24"/>
  <c r="AD27" i="24"/>
  <c r="BB28" i="24"/>
  <c r="AV37" i="24"/>
  <c r="AV38" i="24" s="1"/>
  <c r="T16" i="24"/>
  <c r="U29" i="24"/>
  <c r="BB17" i="24"/>
  <c r="AJ16" i="24"/>
  <c r="R25" i="24"/>
  <c r="S84" i="24"/>
  <c r="O84" i="24"/>
  <c r="AV40" i="24"/>
  <c r="BD40" i="24"/>
  <c r="BD28" i="24" s="1"/>
  <c r="AT40" i="24"/>
  <c r="AT28" i="24" s="1"/>
  <c r="BF43" i="24"/>
  <c r="AT27" i="24"/>
  <c r="BB38" i="24"/>
  <c r="BB29" i="24" s="1"/>
  <c r="BL17" i="24"/>
  <c r="BL19" i="24" s="1" a="1"/>
  <c r="AR15" i="24"/>
  <c r="S12" i="24"/>
  <c r="AR87" i="24"/>
  <c r="AR84" i="24" s="1"/>
  <c r="AV84" i="24"/>
  <c r="D108" i="24"/>
  <c r="D110" i="24" s="1"/>
  <c r="D106" i="24"/>
  <c r="AJ26" i="24"/>
  <c r="AK29" i="24"/>
  <c r="AD114" i="24"/>
  <c r="AD111" i="24" s="1"/>
  <c r="AZ96" i="24"/>
  <c r="AV96" i="24" s="1"/>
  <c r="AD96" i="24"/>
  <c r="Z113" i="24"/>
  <c r="AD44" i="24"/>
  <c r="Z42" i="24"/>
  <c r="Z44" i="24" s="1"/>
  <c r="AF89" i="24"/>
  <c r="AV114" i="24"/>
  <c r="AV111" i="24" s="1"/>
  <c r="AR113" i="24"/>
  <c r="AT95" i="24"/>
  <c r="AT94" i="24" s="1"/>
  <c r="AB94" i="24"/>
  <c r="AZ95" i="24"/>
  <c r="AH94" i="24"/>
  <c r="AZ27" i="24"/>
  <c r="J39" i="24"/>
  <c r="J27" i="24" s="1"/>
  <c r="J17" i="24"/>
  <c r="M29" i="24"/>
  <c r="L16" i="24"/>
  <c r="AT17" i="24"/>
  <c r="AB16" i="24"/>
  <c r="N69" i="24"/>
  <c r="J72" i="24"/>
  <c r="J71" i="24"/>
  <c r="AC29" i="24"/>
  <c r="AB26" i="24"/>
  <c r="AR36" i="24"/>
  <c r="AZ16" i="24"/>
  <c r="BA86" i="24" s="1"/>
  <c r="AH14" i="24"/>
  <c r="O15" i="24"/>
  <c r="O12" i="24"/>
  <c r="C2" i="15"/>
  <c r="D2" i="15" s="1"/>
  <c r="E2" i="15" s="1"/>
  <c r="C1" i="15"/>
  <c r="D1" i="15" s="1"/>
  <c r="E1" i="15" s="1"/>
  <c r="Q342" i="14"/>
  <c r="G341" i="14"/>
  <c r="G342" i="14" s="1"/>
  <c r="I342" i="14" s="1"/>
  <c r="Q339" i="14"/>
  <c r="G339" i="14"/>
  <c r="Q338" i="14"/>
  <c r="Q337" i="14"/>
  <c r="G337" i="14"/>
  <c r="G338" i="14" s="1"/>
  <c r="I338" i="14" s="1"/>
  <c r="Q336" i="14"/>
  <c r="Q335" i="14"/>
  <c r="G335" i="14"/>
  <c r="Q334" i="14"/>
  <c r="Q333" i="14"/>
  <c r="G333" i="14"/>
  <c r="G334" i="14" s="1"/>
  <c r="I334" i="14" s="1"/>
  <c r="Q332" i="14"/>
  <c r="Q331" i="14"/>
  <c r="G331" i="14"/>
  <c r="Q330" i="14"/>
  <c r="Q329" i="14"/>
  <c r="G329" i="14"/>
  <c r="G330" i="14" s="1"/>
  <c r="I330" i="14" s="1"/>
  <c r="Q328" i="14"/>
  <c r="Q327" i="14"/>
  <c r="G327" i="14"/>
  <c r="I327" i="14" s="1"/>
  <c r="Q326" i="14"/>
  <c r="Q325" i="14"/>
  <c r="G325" i="14"/>
  <c r="G326" i="14" s="1"/>
  <c r="I326" i="14" s="1"/>
  <c r="Q324" i="14"/>
  <c r="Q323" i="14"/>
  <c r="G323" i="14"/>
  <c r="I323" i="14" s="1"/>
  <c r="Q322" i="14"/>
  <c r="Q321" i="14"/>
  <c r="G321" i="14"/>
  <c r="G322" i="14" s="1"/>
  <c r="I322" i="14" s="1"/>
  <c r="Q320" i="14"/>
  <c r="Q319" i="14"/>
  <c r="G319" i="14"/>
  <c r="I319" i="14" s="1"/>
  <c r="Q318" i="14"/>
  <c r="Q317" i="14"/>
  <c r="G317" i="14"/>
  <c r="G318" i="14" s="1"/>
  <c r="I318" i="14" s="1"/>
  <c r="Q316" i="14"/>
  <c r="Q315" i="14"/>
  <c r="G315" i="14"/>
  <c r="G316" i="14" s="1"/>
  <c r="I316" i="14" s="1"/>
  <c r="Q314" i="14"/>
  <c r="Q313" i="14"/>
  <c r="G313" i="14"/>
  <c r="G314" i="14" s="1"/>
  <c r="I314" i="14" s="1"/>
  <c r="Q312" i="14"/>
  <c r="Q311" i="14"/>
  <c r="G311" i="14"/>
  <c r="I311" i="14" s="1"/>
  <c r="Q310" i="14"/>
  <c r="Q309" i="14"/>
  <c r="G309" i="14"/>
  <c r="G310" i="14" s="1"/>
  <c r="I310" i="14" s="1"/>
  <c r="Q308" i="14"/>
  <c r="Q307" i="14"/>
  <c r="G307" i="14"/>
  <c r="Q306" i="14"/>
  <c r="G305" i="14"/>
  <c r="G306" i="14" s="1"/>
  <c r="I306" i="14" s="1"/>
  <c r="Q304" i="14"/>
  <c r="Q303" i="14"/>
  <c r="G303" i="14"/>
  <c r="I303" i="14" s="1"/>
  <c r="Q302" i="14"/>
  <c r="Q301" i="14"/>
  <c r="G301" i="14"/>
  <c r="I301" i="14" s="1"/>
  <c r="Q300" i="14"/>
  <c r="Q299" i="14"/>
  <c r="G299" i="14"/>
  <c r="I299" i="14" s="1"/>
  <c r="Q298" i="14"/>
  <c r="Q297" i="14"/>
  <c r="G297" i="14"/>
  <c r="I297" i="14" s="1"/>
  <c r="Q296" i="14"/>
  <c r="Q295" i="14"/>
  <c r="G295" i="14"/>
  <c r="G296" i="14" s="1"/>
  <c r="I296" i="14" s="1"/>
  <c r="Q294" i="14"/>
  <c r="Q293" i="14"/>
  <c r="G293" i="14"/>
  <c r="I293" i="14" s="1"/>
  <c r="Q292" i="14"/>
  <c r="Q291" i="14"/>
  <c r="G291" i="14"/>
  <c r="I291" i="14" s="1"/>
  <c r="Q290" i="14"/>
  <c r="Q289" i="14"/>
  <c r="G289" i="14"/>
  <c r="G290" i="14" s="1"/>
  <c r="I290" i="14" s="1"/>
  <c r="Q288" i="14"/>
  <c r="Q287" i="14"/>
  <c r="G287" i="14"/>
  <c r="I287" i="14" s="1"/>
  <c r="Q286" i="14"/>
  <c r="Q285" i="14"/>
  <c r="G285" i="14"/>
  <c r="G286" i="14" s="1"/>
  <c r="I286" i="14" s="1"/>
  <c r="Q284" i="14"/>
  <c r="Q283" i="14"/>
  <c r="G283" i="14"/>
  <c r="G284" i="14" s="1"/>
  <c r="I284" i="14" s="1"/>
  <c r="Q282" i="14"/>
  <c r="Q281" i="14"/>
  <c r="G281" i="14"/>
  <c r="G282" i="14" s="1"/>
  <c r="I282" i="14" s="1"/>
  <c r="Q280" i="14"/>
  <c r="Q279" i="14"/>
  <c r="G279" i="14"/>
  <c r="G280" i="14" s="1"/>
  <c r="I280" i="14" s="1"/>
  <c r="Q278" i="14"/>
  <c r="Q277" i="14"/>
  <c r="G277" i="14"/>
  <c r="G278" i="14" s="1"/>
  <c r="I278" i="14" s="1"/>
  <c r="Q276" i="14"/>
  <c r="G275" i="14"/>
  <c r="I275" i="14" s="1"/>
  <c r="Q273" i="14"/>
  <c r="G273" i="14"/>
  <c r="I273" i="14" s="1"/>
  <c r="Q272" i="14"/>
  <c r="Q271" i="14"/>
  <c r="G271" i="14"/>
  <c r="G272" i="14" s="1"/>
  <c r="I272" i="14" s="1"/>
  <c r="Q270" i="14"/>
  <c r="Q269" i="14"/>
  <c r="G269" i="14"/>
  <c r="I269" i="14" s="1"/>
  <c r="Q268" i="14"/>
  <c r="Q267" i="14"/>
  <c r="G267" i="14"/>
  <c r="G268" i="14" s="1"/>
  <c r="I268" i="14" s="1"/>
  <c r="Q266" i="14"/>
  <c r="Q265" i="14"/>
  <c r="G265" i="14"/>
  <c r="G266" i="14" s="1"/>
  <c r="I266" i="14" s="1"/>
  <c r="Q264" i="14"/>
  <c r="Q263" i="14"/>
  <c r="G263" i="14"/>
  <c r="G264" i="14" s="1"/>
  <c r="I264" i="14" s="1"/>
  <c r="Q262" i="14"/>
  <c r="Q261" i="14"/>
  <c r="G261" i="14"/>
  <c r="G262" i="14" s="1"/>
  <c r="I262" i="14" s="1"/>
  <c r="Q260" i="14"/>
  <c r="Q259" i="14"/>
  <c r="G259" i="14"/>
  <c r="I259" i="14" s="1"/>
  <c r="Q258" i="14"/>
  <c r="Q257" i="14"/>
  <c r="G257" i="14"/>
  <c r="I257" i="14" s="1"/>
  <c r="G256" i="14"/>
  <c r="I256" i="14" s="1"/>
  <c r="I255" i="14"/>
  <c r="G253" i="14"/>
  <c r="I253" i="14" s="1"/>
  <c r="Q252" i="14"/>
  <c r="G252" i="14"/>
  <c r="I252" i="14" s="1"/>
  <c r="Q251" i="14"/>
  <c r="I251" i="14"/>
  <c r="Q250" i="14"/>
  <c r="Q249" i="14"/>
  <c r="G249" i="14"/>
  <c r="I249" i="14" s="1"/>
  <c r="Q248" i="14"/>
  <c r="Q247" i="14"/>
  <c r="G247" i="14"/>
  <c r="G248" i="14" s="1"/>
  <c r="I248" i="14" s="1"/>
  <c r="Q246" i="14"/>
  <c r="Q245" i="14"/>
  <c r="G245" i="14"/>
  <c r="I245" i="14" s="1"/>
  <c r="Q244" i="14"/>
  <c r="Q243" i="14"/>
  <c r="G243" i="14"/>
  <c r="G244" i="14" s="1"/>
  <c r="I244" i="14" s="1"/>
  <c r="Q242" i="14"/>
  <c r="Q241" i="14"/>
  <c r="G241" i="14"/>
  <c r="G242" i="14" s="1"/>
  <c r="I242" i="14" s="1"/>
  <c r="Q240" i="14"/>
  <c r="Q239" i="14"/>
  <c r="G239" i="14"/>
  <c r="G240" i="14" s="1"/>
  <c r="I240" i="14" s="1"/>
  <c r="Q238" i="14"/>
  <c r="Q237" i="14"/>
  <c r="G237" i="14"/>
  <c r="I237" i="14" s="1"/>
  <c r="G235" i="14"/>
  <c r="I235" i="14" s="1"/>
  <c r="Q234" i="14"/>
  <c r="Q233" i="14"/>
  <c r="G233" i="14"/>
  <c r="I233" i="14" s="1"/>
  <c r="Q232" i="14"/>
  <c r="Q231" i="14"/>
  <c r="G231" i="14"/>
  <c r="G232" i="14" s="1"/>
  <c r="I232" i="14" s="1"/>
  <c r="Q230" i="14"/>
  <c r="Q229" i="14"/>
  <c r="G229" i="14"/>
  <c r="I229" i="14" s="1"/>
  <c r="Q228" i="14"/>
  <c r="Q227" i="14"/>
  <c r="G227" i="14"/>
  <c r="G228" i="14" s="1"/>
  <c r="I228" i="14" s="1"/>
  <c r="Q226" i="14"/>
  <c r="Q225" i="14"/>
  <c r="G225" i="14"/>
  <c r="G226" i="14" s="1"/>
  <c r="I226" i="14" s="1"/>
  <c r="Q224" i="14"/>
  <c r="Q223" i="14"/>
  <c r="G223" i="14"/>
  <c r="I223" i="14" s="1"/>
  <c r="Q222" i="14"/>
  <c r="Q221" i="14"/>
  <c r="G221" i="14"/>
  <c r="I221" i="14" s="1"/>
  <c r="Q220" i="14"/>
  <c r="Q219" i="14"/>
  <c r="G219" i="14"/>
  <c r="G220" i="14" s="1"/>
  <c r="I220" i="14" s="1"/>
  <c r="Q218" i="14"/>
  <c r="Q217" i="14"/>
  <c r="G217" i="14"/>
  <c r="I217" i="14" s="1"/>
  <c r="Q216" i="14"/>
  <c r="Q215" i="14"/>
  <c r="G215" i="14"/>
  <c r="G216" i="14" s="1"/>
  <c r="I216" i="14" s="1"/>
  <c r="Q214" i="14"/>
  <c r="Q213" i="14"/>
  <c r="G213" i="14"/>
  <c r="I213" i="14" s="1"/>
  <c r="Q212" i="14"/>
  <c r="Q211" i="14"/>
  <c r="G211" i="14"/>
  <c r="G212" i="14" s="1"/>
  <c r="I212" i="14" s="1"/>
  <c r="Q210" i="14"/>
  <c r="Q209" i="14"/>
  <c r="G209" i="14"/>
  <c r="G210" i="14" s="1"/>
  <c r="I210" i="14" s="1"/>
  <c r="Q208" i="14"/>
  <c r="Q207" i="14"/>
  <c r="G207" i="14"/>
  <c r="G208" i="14" s="1"/>
  <c r="I208" i="14" s="1"/>
  <c r="Q206" i="14"/>
  <c r="Q205" i="14"/>
  <c r="G205" i="14"/>
  <c r="I205" i="14" s="1"/>
  <c r="Q204" i="14"/>
  <c r="Q203" i="14"/>
  <c r="G203" i="14"/>
  <c r="I203" i="14" s="1"/>
  <c r="Q202" i="14"/>
  <c r="Q201" i="14"/>
  <c r="G201" i="14"/>
  <c r="I201" i="14" s="1"/>
  <c r="Q200" i="14"/>
  <c r="Q199" i="14"/>
  <c r="G199" i="14"/>
  <c r="G200" i="14" s="1"/>
  <c r="I200" i="14" s="1"/>
  <c r="Q198" i="14"/>
  <c r="Q197" i="14"/>
  <c r="G197" i="14"/>
  <c r="I197" i="14" s="1"/>
  <c r="Q196" i="14"/>
  <c r="Q195" i="14"/>
  <c r="G195" i="14"/>
  <c r="I195" i="14" s="1"/>
  <c r="Q194" i="14"/>
  <c r="Q193" i="14"/>
  <c r="G193" i="14"/>
  <c r="G194" i="14" s="1"/>
  <c r="I194" i="14" s="1"/>
  <c r="Q192" i="14"/>
  <c r="Q191" i="14"/>
  <c r="G191" i="14"/>
  <c r="G192" i="14" s="1"/>
  <c r="I192" i="14" s="1"/>
  <c r="G189" i="14"/>
  <c r="I189" i="14" s="1"/>
  <c r="Q188" i="14"/>
  <c r="Q187" i="14"/>
  <c r="G187" i="14"/>
  <c r="G188" i="14" s="1"/>
  <c r="I188" i="14" s="1"/>
  <c r="Q186" i="14"/>
  <c r="Q185" i="14"/>
  <c r="G185" i="14"/>
  <c r="I185" i="14" s="1"/>
  <c r="Q184" i="14"/>
  <c r="Q183" i="14"/>
  <c r="G183" i="14"/>
  <c r="I183" i="14" s="1"/>
  <c r="Q182" i="14"/>
  <c r="Q181" i="14"/>
  <c r="G181" i="14"/>
  <c r="I181" i="14" s="1"/>
  <c r="Q180" i="14"/>
  <c r="Q179" i="14"/>
  <c r="G179" i="14"/>
  <c r="G180" i="14" s="1"/>
  <c r="I180" i="14" s="1"/>
  <c r="Q178" i="14"/>
  <c r="Q177" i="14"/>
  <c r="G177" i="14"/>
  <c r="Q176" i="14"/>
  <c r="Q175" i="14"/>
  <c r="G175" i="14"/>
  <c r="G176" i="14" s="1"/>
  <c r="I176" i="14" s="1"/>
  <c r="Q174" i="14"/>
  <c r="Q173" i="14"/>
  <c r="G173" i="14"/>
  <c r="I173" i="14" s="1"/>
  <c r="Q172" i="14"/>
  <c r="Q171" i="14"/>
  <c r="G171" i="14"/>
  <c r="Q170" i="14"/>
  <c r="Q169" i="14"/>
  <c r="G169" i="14"/>
  <c r="G170" i="14" s="1"/>
  <c r="I170" i="14" s="1"/>
  <c r="Q168" i="14"/>
  <c r="Q167" i="14"/>
  <c r="G167" i="14"/>
  <c r="Q166" i="14"/>
  <c r="Q165" i="14"/>
  <c r="G165" i="14"/>
  <c r="I165" i="14" s="1"/>
  <c r="Q164" i="14"/>
  <c r="Q163" i="14"/>
  <c r="G163" i="14"/>
  <c r="Q162" i="14"/>
  <c r="Q161" i="14"/>
  <c r="G161" i="14"/>
  <c r="G162" i="14" s="1"/>
  <c r="I162" i="14" s="1"/>
  <c r="Q160" i="14"/>
  <c r="Q159" i="14"/>
  <c r="G159" i="14"/>
  <c r="Q158" i="14"/>
  <c r="Q157" i="14"/>
  <c r="G157" i="14"/>
  <c r="I157" i="14" s="1"/>
  <c r="Q156" i="14"/>
  <c r="Q155" i="14"/>
  <c r="G155" i="14"/>
  <c r="Q154" i="14"/>
  <c r="Q153" i="14"/>
  <c r="G153" i="14"/>
  <c r="G154" i="14" s="1"/>
  <c r="I154" i="14" s="1"/>
  <c r="Q152" i="14"/>
  <c r="Q151" i="14"/>
  <c r="G151" i="14"/>
  <c r="Q150" i="14"/>
  <c r="Q149" i="14"/>
  <c r="G149" i="14"/>
  <c r="I149" i="14" s="1"/>
  <c r="Q148" i="14"/>
  <c r="Q147" i="14"/>
  <c r="G147" i="14"/>
  <c r="Q146" i="14"/>
  <c r="Q145" i="14"/>
  <c r="G145" i="14"/>
  <c r="G146" i="14" s="1"/>
  <c r="I146" i="14" s="1"/>
  <c r="Q144" i="14"/>
  <c r="Q143" i="14"/>
  <c r="G143" i="14"/>
  <c r="Q142" i="14"/>
  <c r="Q141" i="14"/>
  <c r="G141" i="14"/>
  <c r="I141" i="14" s="1"/>
  <c r="Q140" i="14"/>
  <c r="Q139" i="14"/>
  <c r="G139" i="14"/>
  <c r="Q138" i="14"/>
  <c r="Q137" i="14"/>
  <c r="G137" i="14"/>
  <c r="G138" i="14" s="1"/>
  <c r="I138" i="14" s="1"/>
  <c r="Q136" i="14"/>
  <c r="Q135" i="14"/>
  <c r="G135" i="14"/>
  <c r="G133" i="14"/>
  <c r="G134" i="14" s="1"/>
  <c r="I134" i="14" s="1"/>
  <c r="Q131" i="14"/>
  <c r="G131" i="14"/>
  <c r="Q130" i="14"/>
  <c r="Q129" i="14"/>
  <c r="G129" i="14"/>
  <c r="G130" i="14" s="1"/>
  <c r="I130" i="14" s="1"/>
  <c r="Q128" i="14"/>
  <c r="Q127" i="14"/>
  <c r="G127" i="14"/>
  <c r="Q126" i="14"/>
  <c r="Q125" i="14"/>
  <c r="G125" i="14"/>
  <c r="G126" i="14" s="1"/>
  <c r="I126" i="14" s="1"/>
  <c r="Q124" i="14"/>
  <c r="Q123" i="14"/>
  <c r="G123" i="14"/>
  <c r="Q121" i="14"/>
  <c r="G121" i="14"/>
  <c r="G122" i="14" s="1"/>
  <c r="I122" i="14" s="1"/>
  <c r="Q119" i="14"/>
  <c r="G119" i="14"/>
  <c r="Q118" i="14"/>
  <c r="Q117" i="14"/>
  <c r="G117" i="14"/>
  <c r="G118" i="14" s="1"/>
  <c r="I118" i="14" s="1"/>
  <c r="Q116" i="14"/>
  <c r="Q115" i="14"/>
  <c r="G115" i="14"/>
  <c r="Q114" i="14"/>
  <c r="Q113" i="14"/>
  <c r="G113" i="14"/>
  <c r="G114" i="14" s="1"/>
  <c r="I114" i="14" s="1"/>
  <c r="Q112" i="14"/>
  <c r="Q111" i="14"/>
  <c r="G111" i="14"/>
  <c r="Q110" i="14"/>
  <c r="Q109" i="14"/>
  <c r="G109" i="14"/>
  <c r="G110" i="14" s="1"/>
  <c r="I110" i="14" s="1"/>
  <c r="Q108" i="14"/>
  <c r="Q107" i="14"/>
  <c r="G107" i="14"/>
  <c r="Q106" i="14"/>
  <c r="Q105" i="14"/>
  <c r="G105" i="14"/>
  <c r="G106" i="14" s="1"/>
  <c r="I106" i="14" s="1"/>
  <c r="Q104" i="14"/>
  <c r="Q103" i="14"/>
  <c r="G103" i="14"/>
  <c r="Q102" i="14"/>
  <c r="Q101" i="14"/>
  <c r="G101" i="14"/>
  <c r="G102" i="14" s="1"/>
  <c r="I102" i="14" s="1"/>
  <c r="Q100" i="14"/>
  <c r="Q99" i="14"/>
  <c r="G99" i="14"/>
  <c r="Q98" i="14"/>
  <c r="Q97" i="14"/>
  <c r="G97" i="14"/>
  <c r="G98" i="14" s="1"/>
  <c r="I98" i="14" s="1"/>
  <c r="Q96" i="14"/>
  <c r="Q95" i="14"/>
  <c r="G95" i="14"/>
  <c r="Q94" i="14"/>
  <c r="Q93" i="14"/>
  <c r="G93" i="14"/>
  <c r="G94" i="14" s="1"/>
  <c r="I94" i="14" s="1"/>
  <c r="Q92" i="14"/>
  <c r="Q91" i="14"/>
  <c r="G91" i="14"/>
  <c r="Q90" i="14"/>
  <c r="Q89" i="14"/>
  <c r="G89" i="14"/>
  <c r="G90" i="14" s="1"/>
  <c r="I90" i="14" s="1"/>
  <c r="Q88" i="14"/>
  <c r="Q87" i="14"/>
  <c r="G87" i="14"/>
  <c r="Q86" i="14"/>
  <c r="Q85" i="14"/>
  <c r="G85" i="14"/>
  <c r="G86" i="14" s="1"/>
  <c r="I86" i="14" s="1"/>
  <c r="Q84" i="14"/>
  <c r="Q83" i="14"/>
  <c r="G83" i="14"/>
  <c r="Q82" i="14"/>
  <c r="Q81" i="14"/>
  <c r="G81" i="14"/>
  <c r="G82" i="14" s="1"/>
  <c r="I82" i="14" s="1"/>
  <c r="Q80" i="14"/>
  <c r="Q79" i="14"/>
  <c r="G79" i="14"/>
  <c r="Q78" i="14"/>
  <c r="Q77" i="14"/>
  <c r="G77" i="14"/>
  <c r="G78" i="14" s="1"/>
  <c r="I78" i="14" s="1"/>
  <c r="Q76" i="14"/>
  <c r="Q75" i="14"/>
  <c r="G75" i="14"/>
  <c r="Q74" i="14"/>
  <c r="Q73" i="14"/>
  <c r="G73" i="14"/>
  <c r="I73" i="14" s="1"/>
  <c r="Q72" i="14"/>
  <c r="Q71" i="14"/>
  <c r="G71" i="14"/>
  <c r="G72" i="14" s="1"/>
  <c r="I72" i="14" s="1"/>
  <c r="Q70" i="14"/>
  <c r="Q69" i="14"/>
  <c r="G69" i="14"/>
  <c r="I69" i="14" s="1"/>
  <c r="Q68" i="14"/>
  <c r="Q67" i="14"/>
  <c r="G67" i="14"/>
  <c r="G68" i="14" s="1"/>
  <c r="I68" i="14" s="1"/>
  <c r="Q66" i="14"/>
  <c r="Q65" i="14"/>
  <c r="G65" i="14"/>
  <c r="G66" i="14" s="1"/>
  <c r="I66" i="14" s="1"/>
  <c r="Q64" i="14"/>
  <c r="Q63" i="14"/>
  <c r="G63" i="14"/>
  <c r="I63" i="14" s="1"/>
  <c r="Q62" i="14"/>
  <c r="Q61" i="14"/>
  <c r="G61" i="14"/>
  <c r="I61" i="14" s="1"/>
  <c r="Q60" i="14"/>
  <c r="Q59" i="14"/>
  <c r="G59" i="14"/>
  <c r="G60" i="14" s="1"/>
  <c r="I60" i="14" s="1"/>
  <c r="Q58" i="14"/>
  <c r="Q57" i="14"/>
  <c r="G57" i="14"/>
  <c r="I57" i="14" s="1"/>
  <c r="Q56" i="14"/>
  <c r="Q55" i="14"/>
  <c r="G55" i="14"/>
  <c r="G56" i="14" s="1"/>
  <c r="I56" i="14" s="1"/>
  <c r="Q54" i="14"/>
  <c r="Q53" i="14"/>
  <c r="G53" i="14"/>
  <c r="I53" i="14" s="1"/>
  <c r="Q52" i="14"/>
  <c r="Q51" i="14"/>
  <c r="G51" i="14"/>
  <c r="G52" i="14" s="1"/>
  <c r="I52" i="14" s="1"/>
  <c r="Q50" i="14"/>
  <c r="Q49" i="14"/>
  <c r="G49" i="14"/>
  <c r="G50" i="14" s="1"/>
  <c r="I50" i="14" s="1"/>
  <c r="Q48" i="14"/>
  <c r="Q47" i="14"/>
  <c r="G47" i="14"/>
  <c r="G48" i="14" s="1"/>
  <c r="I48" i="14" s="1"/>
  <c r="Q46" i="14"/>
  <c r="Q45" i="14"/>
  <c r="G45" i="14"/>
  <c r="G46" i="14" s="1"/>
  <c r="I46" i="14" s="1"/>
  <c r="G43" i="14"/>
  <c r="I43" i="14" s="1"/>
  <c r="Q42" i="14"/>
  <c r="Q41" i="14"/>
  <c r="G41" i="14"/>
  <c r="I41" i="14" s="1"/>
  <c r="Q40" i="14"/>
  <c r="Q39" i="14"/>
  <c r="G39" i="14"/>
  <c r="G40" i="14" s="1"/>
  <c r="I40" i="14" s="1"/>
  <c r="Q38" i="14"/>
  <c r="Q37" i="14"/>
  <c r="G37" i="14"/>
  <c r="I37" i="14" s="1"/>
  <c r="Q36" i="14"/>
  <c r="Q35" i="14"/>
  <c r="G35" i="14"/>
  <c r="I35" i="14" s="1"/>
  <c r="Q34" i="14"/>
  <c r="Q33" i="14"/>
  <c r="G33" i="14"/>
  <c r="G34" i="14" s="1"/>
  <c r="I34" i="14" s="1"/>
  <c r="Q32" i="14"/>
  <c r="Q31" i="14"/>
  <c r="G31" i="14"/>
  <c r="G32" i="14" s="1"/>
  <c r="I32" i="14" s="1"/>
  <c r="Q30" i="14"/>
  <c r="Q29" i="14"/>
  <c r="G29" i="14"/>
  <c r="G30" i="14" s="1"/>
  <c r="I30" i="14" s="1"/>
  <c r="Q28" i="14"/>
  <c r="Q27" i="14"/>
  <c r="G27" i="14"/>
  <c r="I27" i="14" s="1"/>
  <c r="Q26" i="14"/>
  <c r="Q25" i="14"/>
  <c r="G25" i="14"/>
  <c r="I25" i="14" s="1"/>
  <c r="Q24" i="14"/>
  <c r="Q23" i="14"/>
  <c r="G23" i="14"/>
  <c r="G24" i="14" s="1"/>
  <c r="I24" i="14" s="1"/>
  <c r="Q22" i="14"/>
  <c r="Q21" i="14"/>
  <c r="G21" i="14"/>
  <c r="I21" i="14" s="1"/>
  <c r="Q20" i="14"/>
  <c r="Q19" i="14"/>
  <c r="G19" i="14"/>
  <c r="I19" i="14" s="1"/>
  <c r="Q18" i="14"/>
  <c r="Q17" i="14"/>
  <c r="G17" i="14"/>
  <c r="G18" i="14" s="1"/>
  <c r="I18" i="14" s="1"/>
  <c r="Q16" i="14"/>
  <c r="Q15" i="14"/>
  <c r="G15" i="14"/>
  <c r="I15" i="14" s="1"/>
  <c r="Q14" i="14"/>
  <c r="Q13" i="14"/>
  <c r="G13" i="14"/>
  <c r="G14" i="14" s="1"/>
  <c r="I14" i="14" s="1"/>
  <c r="Q12" i="14"/>
  <c r="Q11" i="14"/>
  <c r="G11" i="14"/>
  <c r="I11" i="14" s="1"/>
  <c r="Q10" i="14"/>
  <c r="Q9" i="14"/>
  <c r="G9" i="14"/>
  <c r="I9" i="14" s="1"/>
  <c r="Q8" i="14"/>
  <c r="Q7" i="14"/>
  <c r="G7" i="14"/>
  <c r="G8" i="14" s="1"/>
  <c r="I8" i="14" s="1"/>
  <c r="Q6" i="14"/>
  <c r="Q5" i="14"/>
  <c r="G5" i="14"/>
  <c r="I5" i="14" s="1"/>
  <c r="AN11" i="24" l="1"/>
  <c r="AO84" i="24" s="1"/>
  <c r="AO15" i="24"/>
  <c r="Q567" i="14"/>
  <c r="AE15" i="24"/>
  <c r="AE84" i="24"/>
  <c r="AE69" i="24"/>
  <c r="AE12" i="24"/>
  <c r="Z17" i="24"/>
  <c r="Z16" i="24" s="1"/>
  <c r="AA94" i="24" s="1"/>
  <c r="AK94" i="24"/>
  <c r="O86" i="24"/>
  <c r="AD94" i="24"/>
  <c r="AE94" i="24" s="1"/>
  <c r="AM94" i="24"/>
  <c r="AO69" i="24"/>
  <c r="BF11" i="24"/>
  <c r="AO12" i="24"/>
  <c r="AN25" i="24"/>
  <c r="AV17" i="24"/>
  <c r="AV16" i="24" s="1"/>
  <c r="AV14" i="24" s="1"/>
  <c r="AV11" i="24" s="1"/>
  <c r="AW84" i="24" s="1"/>
  <c r="I65" i="14"/>
  <c r="G288" i="14"/>
  <c r="I288" i="14" s="1"/>
  <c r="I289" i="14"/>
  <c r="G42" i="14"/>
  <c r="I42" i="14" s="1"/>
  <c r="I243" i="14"/>
  <c r="G12" i="14"/>
  <c r="I12" i="14" s="1"/>
  <c r="I23" i="14"/>
  <c r="I279" i="14"/>
  <c r="I39" i="14"/>
  <c r="I33" i="14"/>
  <c r="G26" i="14"/>
  <c r="I26" i="14" s="1"/>
  <c r="I219" i="14"/>
  <c r="I137" i="14"/>
  <c r="I55" i="14"/>
  <c r="I261" i="14"/>
  <c r="I7" i="14"/>
  <c r="I17" i="14"/>
  <c r="I161" i="14"/>
  <c r="I283" i="14"/>
  <c r="G58" i="14"/>
  <c r="I58" i="14" s="1"/>
  <c r="I175" i="14"/>
  <c r="I207" i="14"/>
  <c r="I187" i="14"/>
  <c r="G38" i="14"/>
  <c r="I38" i="14" s="1"/>
  <c r="G254" i="14"/>
  <c r="I254" i="14" s="1"/>
  <c r="I179" i="14"/>
  <c r="I199" i="14"/>
  <c r="G22" i="14"/>
  <c r="I22" i="14" s="1"/>
  <c r="G150" i="14"/>
  <c r="I150" i="14" s="1"/>
  <c r="G238" i="14"/>
  <c r="I238" i="14" s="1"/>
  <c r="I49" i="14"/>
  <c r="I209" i="14"/>
  <c r="I265" i="14"/>
  <c r="G6" i="14"/>
  <c r="I6" i="14" s="1"/>
  <c r="G276" i="14"/>
  <c r="I276" i="14" s="1"/>
  <c r="I239" i="14"/>
  <c r="I285" i="14"/>
  <c r="I211" i="14"/>
  <c r="I231" i="14"/>
  <c r="I295" i="14"/>
  <c r="I241" i="14"/>
  <c r="I145" i="14"/>
  <c r="G10" i="14"/>
  <c r="I10" i="14" s="1"/>
  <c r="G54" i="14"/>
  <c r="I54" i="14" s="1"/>
  <c r="G206" i="14"/>
  <c r="I206" i="14" s="1"/>
  <c r="AK99" i="24"/>
  <c r="AV27" i="24"/>
  <c r="N70" i="24"/>
  <c r="BF99" i="24"/>
  <c r="BG99" i="24" s="1"/>
  <c r="G20" i="14"/>
  <c r="I20" i="14" s="1"/>
  <c r="G36" i="14"/>
  <c r="I36" i="14" s="1"/>
  <c r="G74" i="14"/>
  <c r="I74" i="14" s="1"/>
  <c r="G196" i="14"/>
  <c r="I196" i="14" s="1"/>
  <c r="G204" i="14"/>
  <c r="I204" i="14" s="1"/>
  <c r="G236" i="14"/>
  <c r="I236" i="14" s="1"/>
  <c r="G274" i="14"/>
  <c r="I274" i="14" s="1"/>
  <c r="G294" i="14"/>
  <c r="I294" i="14" s="1"/>
  <c r="G298" i="14"/>
  <c r="I298" i="14" s="1"/>
  <c r="AX16" i="24"/>
  <c r="AF14" i="24"/>
  <c r="I13" i="14"/>
  <c r="G16" i="14"/>
  <c r="I16" i="14" s="1"/>
  <c r="I51" i="14"/>
  <c r="G62" i="14"/>
  <c r="I62" i="14" s="1"/>
  <c r="I169" i="14"/>
  <c r="I193" i="14"/>
  <c r="I215" i="14"/>
  <c r="G224" i="14"/>
  <c r="I224" i="14" s="1"/>
  <c r="I227" i="14"/>
  <c r="I247" i="14"/>
  <c r="G270" i="14"/>
  <c r="I270" i="14" s="1"/>
  <c r="I271" i="14"/>
  <c r="I277" i="14"/>
  <c r="I281" i="14"/>
  <c r="I315" i="14"/>
  <c r="G28" i="14"/>
  <c r="I28" i="14" s="1"/>
  <c r="I31" i="14"/>
  <c r="G44" i="14"/>
  <c r="I44" i="14" s="1"/>
  <c r="I47" i="14"/>
  <c r="G70" i="14"/>
  <c r="I70" i="14" s="1"/>
  <c r="I153" i="14"/>
  <c r="I191" i="14"/>
  <c r="G258" i="14"/>
  <c r="I258" i="14" s="1"/>
  <c r="I263" i="14"/>
  <c r="I267" i="14"/>
  <c r="G302" i="14"/>
  <c r="I302" i="14" s="1"/>
  <c r="I305" i="14"/>
  <c r="G312" i="14"/>
  <c r="I312" i="14" s="1"/>
  <c r="AL99" i="24"/>
  <c r="AM99" i="24" s="1"/>
  <c r="V11" i="24"/>
  <c r="W15" i="24"/>
  <c r="G184" i="14"/>
  <c r="I184" i="14" s="1"/>
  <c r="P11" i="24"/>
  <c r="Q15" i="24"/>
  <c r="I29" i="14"/>
  <c r="I45" i="14"/>
  <c r="I225" i="14"/>
  <c r="I67" i="14"/>
  <c r="I77" i="14"/>
  <c r="G166" i="14"/>
  <c r="I166" i="14" s="1"/>
  <c r="G190" i="14"/>
  <c r="I190" i="14" s="1"/>
  <c r="G222" i="14"/>
  <c r="I222" i="14" s="1"/>
  <c r="G260" i="14"/>
  <c r="I260" i="14" s="1"/>
  <c r="G304" i="14"/>
  <c r="I304" i="14" s="1"/>
  <c r="E3" i="15"/>
  <c r="E4" i="15" s="1"/>
  <c r="J37" i="24"/>
  <c r="N38" i="24"/>
  <c r="J38" i="24" s="1"/>
  <c r="J29" i="24" s="1"/>
  <c r="J26" i="24" s="1"/>
  <c r="J105" i="24" s="1"/>
  <c r="O71" i="24"/>
  <c r="C12" i="3"/>
  <c r="D12" i="3" s="1"/>
  <c r="AR38" i="24"/>
  <c r="Z14" i="24"/>
  <c r="AZ94" i="24"/>
  <c r="AV95" i="24"/>
  <c r="AV43" i="24"/>
  <c r="AV44" i="24" s="1"/>
  <c r="BF28" i="24"/>
  <c r="AD29" i="24"/>
  <c r="BD88" i="24"/>
  <c r="BB89" i="24"/>
  <c r="BB86" i="24" s="1"/>
  <c r="J69" i="24"/>
  <c r="J70" i="24" s="1"/>
  <c r="O69" i="24"/>
  <c r="AB99" i="24"/>
  <c r="AC99" i="24" s="1"/>
  <c r="AC94" i="24"/>
  <c r="Z114" i="24"/>
  <c r="Z111" i="24" s="1"/>
  <c r="D119" i="24"/>
  <c r="D115" i="24"/>
  <c r="D117" i="24" s="1"/>
  <c r="D118" i="24" s="1"/>
  <c r="D120" i="24" s="1"/>
  <c r="AJ14" i="24"/>
  <c r="BB16" i="24"/>
  <c r="BC94" i="24" s="1"/>
  <c r="AK71" i="24"/>
  <c r="Z38" i="24"/>
  <c r="Z29" i="24" s="1"/>
  <c r="Z27" i="24"/>
  <c r="AT89" i="24"/>
  <c r="AX88" i="24"/>
  <c r="AO86" i="24"/>
  <c r="AN85" i="24"/>
  <c r="AR42" i="24"/>
  <c r="AR44" i="24" s="1"/>
  <c r="BD41" i="24"/>
  <c r="BD29" i="24" s="1"/>
  <c r="AF73" i="24"/>
  <c r="AR73" i="24"/>
  <c r="Z70" i="24"/>
  <c r="Z71" i="24" s="1"/>
  <c r="BD16" i="24"/>
  <c r="BE94" i="24" s="1"/>
  <c r="AL14" i="24"/>
  <c r="AM71" i="24"/>
  <c r="AF99" i="24"/>
  <c r="AG99" i="24" s="1"/>
  <c r="AG94" i="24"/>
  <c r="AZ14" i="24"/>
  <c r="BA15" i="24" s="1"/>
  <c r="AH11" i="24"/>
  <c r="AI15" i="24"/>
  <c r="K116" i="24"/>
  <c r="J16" i="24"/>
  <c r="K71" i="24" s="1"/>
  <c r="BC29" i="24"/>
  <c r="BB26" i="24"/>
  <c r="T14" i="24"/>
  <c r="U71" i="24"/>
  <c r="U86" i="24"/>
  <c r="AB76" i="24"/>
  <c r="AB77" i="24" s="1"/>
  <c r="AR76" i="24"/>
  <c r="AT76" i="24" s="1"/>
  <c r="AN99" i="24"/>
  <c r="AO99" i="24" s="1"/>
  <c r="AO94" i="24"/>
  <c r="L14" i="24"/>
  <c r="M86" i="24"/>
  <c r="M71" i="24"/>
  <c r="AT99" i="24"/>
  <c r="AD89" i="24"/>
  <c r="AF86" i="24"/>
  <c r="AT41" i="24"/>
  <c r="AT29" i="24" s="1"/>
  <c r="AR99" i="24"/>
  <c r="AK86" i="24"/>
  <c r="AJ85" i="24"/>
  <c r="BH25" i="24"/>
  <c r="BI12" i="24"/>
  <c r="AB85" i="24"/>
  <c r="AC86" i="24"/>
  <c r="AV97" i="24"/>
  <c r="AX94" i="24"/>
  <c r="AB14" i="24"/>
  <c r="AT16" i="24"/>
  <c r="AU94" i="24" s="1"/>
  <c r="AH99" i="24"/>
  <c r="AI99" i="24" s="1"/>
  <c r="AI94" i="24"/>
  <c r="AR114" i="24"/>
  <c r="AR111" i="24" s="1"/>
  <c r="BL20" i="24"/>
  <c r="BL19" i="24"/>
  <c r="AX40" i="24"/>
  <c r="AV28" i="24"/>
  <c r="AM86" i="24"/>
  <c r="AL85" i="24"/>
  <c r="BF44" i="24"/>
  <c r="BF29" i="24" s="1"/>
  <c r="BE99" i="24"/>
  <c r="AV41" i="24"/>
  <c r="AV29" i="24" s="1"/>
  <c r="G84" i="14"/>
  <c r="I84" i="14" s="1"/>
  <c r="I83" i="14"/>
  <c r="G96" i="14"/>
  <c r="I96" i="14" s="1"/>
  <c r="I95" i="14"/>
  <c r="G108" i="14"/>
  <c r="I108" i="14" s="1"/>
  <c r="I107" i="14"/>
  <c r="G132" i="14"/>
  <c r="I132" i="14" s="1"/>
  <c r="I131" i="14"/>
  <c r="I59" i="14"/>
  <c r="I71" i="14"/>
  <c r="G80" i="14"/>
  <c r="I80" i="14" s="1"/>
  <c r="I79" i="14"/>
  <c r="G112" i="14"/>
  <c r="I112" i="14" s="1"/>
  <c r="I111" i="14"/>
  <c r="G120" i="14"/>
  <c r="I120" i="14" s="1"/>
  <c r="I119" i="14"/>
  <c r="G124" i="14"/>
  <c r="I124" i="14" s="1"/>
  <c r="I123" i="14"/>
  <c r="G148" i="14"/>
  <c r="I148" i="14" s="1"/>
  <c r="I147" i="14"/>
  <c r="G164" i="14"/>
  <c r="I164" i="14" s="1"/>
  <c r="I163" i="14"/>
  <c r="G64" i="14"/>
  <c r="I64" i="14" s="1"/>
  <c r="G88" i="14"/>
  <c r="I88" i="14" s="1"/>
  <c r="I87" i="14"/>
  <c r="G92" i="14"/>
  <c r="I92" i="14" s="1"/>
  <c r="I91" i="14"/>
  <c r="G100" i="14"/>
  <c r="I100" i="14" s="1"/>
  <c r="I99" i="14"/>
  <c r="G104" i="14"/>
  <c r="I104" i="14" s="1"/>
  <c r="I103" i="14"/>
  <c r="G116" i="14"/>
  <c r="I116" i="14" s="1"/>
  <c r="I115" i="14"/>
  <c r="G128" i="14"/>
  <c r="I128" i="14" s="1"/>
  <c r="I127" i="14"/>
  <c r="G136" i="14"/>
  <c r="I136" i="14" s="1"/>
  <c r="I135" i="14"/>
  <c r="G76" i="14"/>
  <c r="I76" i="14" s="1"/>
  <c r="I75" i="14"/>
  <c r="G300" i="14"/>
  <c r="I300" i="14" s="1"/>
  <c r="I307" i="14"/>
  <c r="G308" i="14"/>
  <c r="I308" i="14" s="1"/>
  <c r="G152" i="14"/>
  <c r="I152" i="14" s="1"/>
  <c r="I151" i="14"/>
  <c r="G168" i="14"/>
  <c r="I168" i="14" s="1"/>
  <c r="I167" i="14"/>
  <c r="G178" i="14"/>
  <c r="I178" i="14" s="1"/>
  <c r="I177" i="14"/>
  <c r="G182" i="14"/>
  <c r="I182" i="14" s="1"/>
  <c r="G186" i="14"/>
  <c r="I186" i="14" s="1"/>
  <c r="G198" i="14"/>
  <c r="I198" i="14" s="1"/>
  <c r="G202" i="14"/>
  <c r="I202" i="14" s="1"/>
  <c r="G214" i="14"/>
  <c r="I214" i="14" s="1"/>
  <c r="G218" i="14"/>
  <c r="I218" i="14" s="1"/>
  <c r="G230" i="14"/>
  <c r="I230" i="14" s="1"/>
  <c r="G234" i="14"/>
  <c r="I234" i="14" s="1"/>
  <c r="G246" i="14"/>
  <c r="I246" i="14" s="1"/>
  <c r="G250" i="14"/>
  <c r="I250" i="14" s="1"/>
  <c r="G324" i="14"/>
  <c r="I324" i="14" s="1"/>
  <c r="G140" i="14"/>
  <c r="I140" i="14" s="1"/>
  <c r="I139" i="14"/>
  <c r="G142" i="14"/>
  <c r="I142" i="14" s="1"/>
  <c r="G156" i="14"/>
  <c r="I156" i="14" s="1"/>
  <c r="I155" i="14"/>
  <c r="G158" i="14"/>
  <c r="I158" i="14" s="1"/>
  <c r="G172" i="14"/>
  <c r="I172" i="14" s="1"/>
  <c r="I171" i="14"/>
  <c r="G174" i="14"/>
  <c r="I174" i="14" s="1"/>
  <c r="G328" i="14"/>
  <c r="I328" i="14" s="1"/>
  <c r="I81" i="14"/>
  <c r="I85" i="14"/>
  <c r="I89" i="14"/>
  <c r="I93" i="14"/>
  <c r="I97" i="14"/>
  <c r="I101" i="14"/>
  <c r="I105" i="14"/>
  <c r="I109" i="14"/>
  <c r="I113" i="14"/>
  <c r="I117" i="14"/>
  <c r="I121" i="14"/>
  <c r="I125" i="14"/>
  <c r="I129" i="14"/>
  <c r="I133" i="14"/>
  <c r="G144" i="14"/>
  <c r="I144" i="14" s="1"/>
  <c r="I143" i="14"/>
  <c r="G160" i="14"/>
  <c r="I160" i="14" s="1"/>
  <c r="I159" i="14"/>
  <c r="G292" i="14"/>
  <c r="I292" i="14" s="1"/>
  <c r="G320" i="14"/>
  <c r="I320" i="14" s="1"/>
  <c r="G332" i="14"/>
  <c r="I332" i="14" s="1"/>
  <c r="I331" i="14"/>
  <c r="G336" i="14"/>
  <c r="I336" i="14" s="1"/>
  <c r="I335" i="14"/>
  <c r="G340" i="14"/>
  <c r="I340" i="14" s="1"/>
  <c r="I339" i="14"/>
  <c r="I309" i="14"/>
  <c r="I313" i="14"/>
  <c r="I317" i="14"/>
  <c r="I321" i="14"/>
  <c r="I325" i="14"/>
  <c r="I329" i="14"/>
  <c r="I333" i="14"/>
  <c r="I337" i="14"/>
  <c r="I341" i="14"/>
  <c r="AA99" i="24" l="1"/>
  <c r="AD99" i="24"/>
  <c r="AE99" i="24" s="1"/>
  <c r="AR17" i="24"/>
  <c r="AR16" i="24" s="1"/>
  <c r="AS94" i="24" s="1"/>
  <c r="AW15" i="24"/>
  <c r="BG12" i="24"/>
  <c r="BG84" i="24"/>
  <c r="BG69" i="24"/>
  <c r="BF25" i="24"/>
  <c r="K29" i="24"/>
  <c r="AX14" i="24"/>
  <c r="AY15" i="24" s="1"/>
  <c r="AF11" i="24"/>
  <c r="AG15" i="24"/>
  <c r="J28" i="24"/>
  <c r="W12" i="24"/>
  <c r="W69" i="24"/>
  <c r="V25" i="24"/>
  <c r="W84" i="24"/>
  <c r="AV94" i="24"/>
  <c r="AV99" i="24" s="1"/>
  <c r="AW99" i="24" s="1"/>
  <c r="AR27" i="24"/>
  <c r="M6" i="14"/>
  <c r="M7" i="14"/>
  <c r="M11" i="14"/>
  <c r="M9" i="14"/>
  <c r="M14" i="14"/>
  <c r="M18" i="14"/>
  <c r="M22" i="14"/>
  <c r="M26" i="14"/>
  <c r="M30" i="14"/>
  <c r="M34" i="14"/>
  <c r="M38" i="14"/>
  <c r="M42" i="14"/>
  <c r="M46" i="14"/>
  <c r="M50" i="14"/>
  <c r="M54" i="14"/>
  <c r="M58" i="14"/>
  <c r="M62" i="14"/>
  <c r="M66" i="14"/>
  <c r="M70" i="14"/>
  <c r="M74" i="14"/>
  <c r="M78" i="14"/>
  <c r="M82" i="14"/>
  <c r="M86" i="14"/>
  <c r="M90" i="14"/>
  <c r="M94" i="14"/>
  <c r="M98" i="14"/>
  <c r="M102" i="14"/>
  <c r="M106" i="14"/>
  <c r="M110" i="14"/>
  <c r="M114" i="14"/>
  <c r="M118" i="14"/>
  <c r="M122" i="14"/>
  <c r="M126" i="14"/>
  <c r="M130" i="14"/>
  <c r="M134" i="14"/>
  <c r="M138" i="14"/>
  <c r="M142" i="14"/>
  <c r="M146" i="14"/>
  <c r="M150" i="14"/>
  <c r="M154" i="14"/>
  <c r="M158" i="14"/>
  <c r="M162" i="14"/>
  <c r="M166" i="14"/>
  <c r="M170" i="14"/>
  <c r="M174" i="14"/>
  <c r="M178" i="14"/>
  <c r="M182" i="14"/>
  <c r="M186" i="14"/>
  <c r="M190" i="14"/>
  <c r="M194" i="14"/>
  <c r="M198" i="14"/>
  <c r="M202" i="14"/>
  <c r="M206" i="14"/>
  <c r="M210" i="14"/>
  <c r="M214" i="14"/>
  <c r="M218" i="14"/>
  <c r="M222" i="14"/>
  <c r="M226" i="14"/>
  <c r="M230" i="14"/>
  <c r="M234" i="14"/>
  <c r="M238" i="14"/>
  <c r="M242" i="14"/>
  <c r="M246" i="14"/>
  <c r="M250" i="14"/>
  <c r="M254" i="14"/>
  <c r="M258" i="14"/>
  <c r="M262" i="14"/>
  <c r="M266" i="14"/>
  <c r="M270" i="14"/>
  <c r="M274" i="14"/>
  <c r="M278" i="14"/>
  <c r="M282" i="14"/>
  <c r="M286" i="14"/>
  <c r="M290" i="14"/>
  <c r="M294" i="14"/>
  <c r="M298" i="14"/>
  <c r="M302" i="14"/>
  <c r="M306" i="14"/>
  <c r="M310" i="14"/>
  <c r="M314" i="14"/>
  <c r="M318" i="14"/>
  <c r="M322" i="14"/>
  <c r="M326" i="14"/>
  <c r="M330" i="14"/>
  <c r="M334" i="14"/>
  <c r="M338" i="14"/>
  <c r="M342" i="14"/>
  <c r="M36" i="14"/>
  <c r="M44" i="14"/>
  <c r="M52" i="14"/>
  <c r="M60" i="14"/>
  <c r="M68" i="14"/>
  <c r="M80" i="14"/>
  <c r="M88" i="14"/>
  <c r="M96" i="14"/>
  <c r="M104" i="14"/>
  <c r="M112" i="14"/>
  <c r="M116" i="14"/>
  <c r="M124" i="14"/>
  <c r="M132" i="14"/>
  <c r="M140" i="14"/>
  <c r="M148" i="14"/>
  <c r="M156" i="14"/>
  <c r="M164" i="14"/>
  <c r="M172" i="14"/>
  <c r="M180" i="14"/>
  <c r="M188" i="14"/>
  <c r="M192" i="14"/>
  <c r="M200" i="14"/>
  <c r="M208" i="14"/>
  <c r="M220" i="14"/>
  <c r="M228" i="14"/>
  <c r="M236" i="14"/>
  <c r="M240" i="14"/>
  <c r="M248" i="14"/>
  <c r="M256" i="14"/>
  <c r="M264" i="14"/>
  <c r="M272" i="14"/>
  <c r="M280" i="14"/>
  <c r="M288" i="14"/>
  <c r="M296" i="14"/>
  <c r="M308" i="14"/>
  <c r="M312" i="14"/>
  <c r="M320" i="14"/>
  <c r="M328" i="14"/>
  <c r="M336" i="14"/>
  <c r="M10" i="14"/>
  <c r="M15" i="14"/>
  <c r="M19" i="14"/>
  <c r="M23" i="14"/>
  <c r="M27" i="14"/>
  <c r="M31" i="14"/>
  <c r="M35" i="14"/>
  <c r="M39" i="14"/>
  <c r="M43" i="14"/>
  <c r="M47" i="14"/>
  <c r="M51" i="14"/>
  <c r="M55" i="14"/>
  <c r="M59" i="14"/>
  <c r="M63" i="14"/>
  <c r="M67" i="14"/>
  <c r="M71" i="14"/>
  <c r="M75" i="14"/>
  <c r="M79" i="14"/>
  <c r="M83" i="14"/>
  <c r="M87" i="14"/>
  <c r="M91" i="14"/>
  <c r="M95" i="14"/>
  <c r="M99" i="14"/>
  <c r="M103" i="14"/>
  <c r="M107" i="14"/>
  <c r="M111" i="14"/>
  <c r="M115" i="14"/>
  <c r="M119" i="14"/>
  <c r="M123" i="14"/>
  <c r="M127" i="14"/>
  <c r="M131" i="14"/>
  <c r="M135" i="14"/>
  <c r="M139" i="14"/>
  <c r="M143" i="14"/>
  <c r="M147" i="14"/>
  <c r="M151" i="14"/>
  <c r="M155" i="14"/>
  <c r="M159" i="14"/>
  <c r="M163" i="14"/>
  <c r="M167" i="14"/>
  <c r="M171" i="14"/>
  <c r="M175" i="14"/>
  <c r="M179" i="14"/>
  <c r="M183" i="14"/>
  <c r="M187" i="14"/>
  <c r="M191" i="14"/>
  <c r="M195" i="14"/>
  <c r="M199" i="14"/>
  <c r="M203" i="14"/>
  <c r="M207" i="14"/>
  <c r="M211" i="14"/>
  <c r="M215" i="14"/>
  <c r="M219" i="14"/>
  <c r="M223" i="14"/>
  <c r="M227" i="14"/>
  <c r="M231" i="14"/>
  <c r="M235" i="14"/>
  <c r="M239" i="14"/>
  <c r="M243" i="14"/>
  <c r="M247" i="14"/>
  <c r="M251" i="14"/>
  <c r="M255" i="14"/>
  <c r="M259" i="14"/>
  <c r="M263" i="14"/>
  <c r="M267" i="14"/>
  <c r="M271" i="14"/>
  <c r="M275" i="14"/>
  <c r="M279" i="14"/>
  <c r="M283" i="14"/>
  <c r="M287" i="14"/>
  <c r="M291" i="14"/>
  <c r="M295" i="14"/>
  <c r="M299" i="14"/>
  <c r="M303" i="14"/>
  <c r="M307" i="14"/>
  <c r="M311" i="14"/>
  <c r="M315" i="14"/>
  <c r="M319" i="14"/>
  <c r="M323" i="14"/>
  <c r="M327" i="14"/>
  <c r="M331" i="14"/>
  <c r="M335" i="14"/>
  <c r="M339" i="14"/>
  <c r="M5" i="14"/>
  <c r="M12" i="14"/>
  <c r="M16" i="14"/>
  <c r="M24" i="14"/>
  <c r="M32" i="14"/>
  <c r="M40" i="14"/>
  <c r="M48" i="14"/>
  <c r="M56" i="14"/>
  <c r="M64" i="14"/>
  <c r="M72" i="14"/>
  <c r="M76" i="14"/>
  <c r="M84" i="14"/>
  <c r="M92" i="14"/>
  <c r="M100" i="14"/>
  <c r="M108" i="14"/>
  <c r="M120" i="14"/>
  <c r="M128" i="14"/>
  <c r="M136" i="14"/>
  <c r="M144" i="14"/>
  <c r="M152" i="14"/>
  <c r="M160" i="14"/>
  <c r="M168" i="14"/>
  <c r="M176" i="14"/>
  <c r="M184" i="14"/>
  <c r="M196" i="14"/>
  <c r="M204" i="14"/>
  <c r="M212" i="14"/>
  <c r="M216" i="14"/>
  <c r="M224" i="14"/>
  <c r="M232" i="14"/>
  <c r="M244" i="14"/>
  <c r="M252" i="14"/>
  <c r="M260" i="14"/>
  <c r="M268" i="14"/>
  <c r="M276" i="14"/>
  <c r="M284" i="14"/>
  <c r="M292" i="14"/>
  <c r="M300" i="14"/>
  <c r="M304" i="14"/>
  <c r="M316" i="14"/>
  <c r="M324" i="14"/>
  <c r="M332" i="14"/>
  <c r="M340" i="14"/>
  <c r="M21" i="14"/>
  <c r="M37" i="14"/>
  <c r="M53" i="14"/>
  <c r="M69" i="14"/>
  <c r="M85" i="14"/>
  <c r="M101" i="14"/>
  <c r="M117" i="14"/>
  <c r="M133" i="14"/>
  <c r="M149" i="14"/>
  <c r="M165" i="14"/>
  <c r="M181" i="14"/>
  <c r="M197" i="14"/>
  <c r="M213" i="14"/>
  <c r="M229" i="14"/>
  <c r="M245" i="14"/>
  <c r="M261" i="14"/>
  <c r="M277" i="14"/>
  <c r="M293" i="14"/>
  <c r="M309" i="14"/>
  <c r="M325" i="14"/>
  <c r="M341" i="14"/>
  <c r="M13" i="14"/>
  <c r="M45" i="14"/>
  <c r="M77" i="14"/>
  <c r="M109" i="14"/>
  <c r="M141" i="14"/>
  <c r="M173" i="14"/>
  <c r="M205" i="14"/>
  <c r="M237" i="14"/>
  <c r="M269" i="14"/>
  <c r="M301" i="14"/>
  <c r="M333" i="14"/>
  <c r="M33" i="14"/>
  <c r="M65" i="14"/>
  <c r="M97" i="14"/>
  <c r="M129" i="14"/>
  <c r="M161" i="14"/>
  <c r="M177" i="14"/>
  <c r="M209" i="14"/>
  <c r="M241" i="14"/>
  <c r="M273" i="14"/>
  <c r="M305" i="14"/>
  <c r="M337" i="14"/>
  <c r="M8" i="14"/>
  <c r="M25" i="14"/>
  <c r="M41" i="14"/>
  <c r="M57" i="14"/>
  <c r="M73" i="14"/>
  <c r="M89" i="14"/>
  <c r="M105" i="14"/>
  <c r="M121" i="14"/>
  <c r="M137" i="14"/>
  <c r="M153" i="14"/>
  <c r="M169" i="14"/>
  <c r="M185" i="14"/>
  <c r="M201" i="14"/>
  <c r="M217" i="14"/>
  <c r="M233" i="14"/>
  <c r="M249" i="14"/>
  <c r="M265" i="14"/>
  <c r="M281" i="14"/>
  <c r="M297" i="14"/>
  <c r="M313" i="14"/>
  <c r="M329" i="14"/>
  <c r="M29" i="14"/>
  <c r="M61" i="14"/>
  <c r="M93" i="14"/>
  <c r="M125" i="14"/>
  <c r="M157" i="14"/>
  <c r="M189" i="14"/>
  <c r="M221" i="14"/>
  <c r="M253" i="14"/>
  <c r="M285" i="14"/>
  <c r="M317" i="14"/>
  <c r="M17" i="14"/>
  <c r="M49" i="14"/>
  <c r="M81" i="14"/>
  <c r="M113" i="14"/>
  <c r="M145" i="14"/>
  <c r="M193" i="14"/>
  <c r="M225" i="14"/>
  <c r="M257" i="14"/>
  <c r="M289" i="14"/>
  <c r="M321" i="14"/>
  <c r="P25" i="24"/>
  <c r="Q12" i="24"/>
  <c r="Q84" i="24"/>
  <c r="Q69" i="24"/>
  <c r="M28" i="14"/>
  <c r="M20" i="14"/>
  <c r="AX99" i="24"/>
  <c r="AY99" i="24" s="1"/>
  <c r="AY94" i="24"/>
  <c r="Z77" i="24"/>
  <c r="AB71" i="24"/>
  <c r="BD26" i="24"/>
  <c r="BE29" i="24"/>
  <c r="BD89" i="24"/>
  <c r="BD86" i="24" s="1"/>
  <c r="BF88" i="24"/>
  <c r="AG86" i="24"/>
  <c r="AF85" i="24"/>
  <c r="AR71" i="24"/>
  <c r="AA71" i="24"/>
  <c r="AJ11" i="24"/>
  <c r="BB14" i="24"/>
  <c r="BC15" i="24" s="1"/>
  <c r="AK15" i="24"/>
  <c r="AR29" i="24"/>
  <c r="AD86" i="24"/>
  <c r="Z89" i="24"/>
  <c r="Z86" i="24" s="1"/>
  <c r="AH25" i="24"/>
  <c r="AZ11" i="24"/>
  <c r="AI69" i="24"/>
  <c r="AI84" i="24"/>
  <c r="AI12" i="24"/>
  <c r="AX73" i="24"/>
  <c r="AV73" i="24"/>
  <c r="AA29" i="24"/>
  <c r="Z26" i="24"/>
  <c r="AU99" i="24"/>
  <c r="J14" i="24"/>
  <c r="L11" i="24"/>
  <c r="M15" i="24"/>
  <c r="AT86" i="24"/>
  <c r="AB11" i="24"/>
  <c r="AC15" i="24"/>
  <c r="AT14" i="24"/>
  <c r="AU15" i="24" s="1"/>
  <c r="AU29" i="24"/>
  <c r="AT26" i="24"/>
  <c r="BC99" i="24"/>
  <c r="AE29" i="24"/>
  <c r="AD26" i="24"/>
  <c r="AZ99" i="24"/>
  <c r="BA99" i="24" s="1"/>
  <c r="BA94" i="24"/>
  <c r="AV26" i="24"/>
  <c r="AW29" i="24"/>
  <c r="BG29" i="24"/>
  <c r="BF26" i="24"/>
  <c r="AX28" i="24"/>
  <c r="AZ40" i="24"/>
  <c r="AX41" i="24"/>
  <c r="AX29" i="24" s="1"/>
  <c r="AT77" i="24"/>
  <c r="AV76" i="24"/>
  <c r="U15" i="24"/>
  <c r="T11" i="24"/>
  <c r="K99" i="24"/>
  <c r="K86" i="24"/>
  <c r="K100" i="24"/>
  <c r="K94" i="24"/>
  <c r="AL11" i="24"/>
  <c r="BD14" i="24"/>
  <c r="BE15" i="24" s="1"/>
  <c r="AM15" i="24"/>
  <c r="AH73" i="24"/>
  <c r="AH74" i="24" s="1"/>
  <c r="AH71" i="24" s="1"/>
  <c r="AF74" i="24"/>
  <c r="AX89" i="24"/>
  <c r="J108" i="24"/>
  <c r="J110" i="24" s="1"/>
  <c r="J106" i="24"/>
  <c r="BB85" i="24"/>
  <c r="BC86" i="24"/>
  <c r="Z11" i="24"/>
  <c r="AA15" i="24"/>
  <c r="AW69" i="24"/>
  <c r="AW12" i="24"/>
  <c r="AR14" i="24" l="1"/>
  <c r="AR11" i="24" s="1"/>
  <c r="AS99" i="24"/>
  <c r="M567" i="14"/>
  <c r="AS15" i="24"/>
  <c r="AW94" i="24"/>
  <c r="AG69" i="24"/>
  <c r="AG12" i="24"/>
  <c r="AX11" i="24"/>
  <c r="AG84" i="24"/>
  <c r="AF25" i="24"/>
  <c r="AD74" i="24"/>
  <c r="AF71" i="24"/>
  <c r="M69" i="24"/>
  <c r="L25" i="24"/>
  <c r="M12" i="24"/>
  <c r="M84" i="24"/>
  <c r="BF89" i="24"/>
  <c r="BF86" i="24" s="1"/>
  <c r="BH88" i="24"/>
  <c r="BH89" i="24" s="1"/>
  <c r="BH86" i="24" s="1"/>
  <c r="BH85" i="24" s="1"/>
  <c r="J115" i="24"/>
  <c r="J117" i="24" s="1"/>
  <c r="J118" i="24" s="1"/>
  <c r="J120" i="24" s="1"/>
  <c r="J121" i="24" s="1"/>
  <c r="J119" i="24"/>
  <c r="U69" i="24"/>
  <c r="T25" i="24"/>
  <c r="N25" i="24" s="1"/>
  <c r="O26" i="24" s="1"/>
  <c r="U12" i="24"/>
  <c r="U84" i="24"/>
  <c r="AY29" i="24"/>
  <c r="AX26" i="24"/>
  <c r="AT85" i="24"/>
  <c r="AU86" i="24"/>
  <c r="J11" i="24"/>
  <c r="U11" i="24" s="1"/>
  <c r="K15" i="24"/>
  <c r="AA86" i="24"/>
  <c r="Z85" i="24"/>
  <c r="BD85" i="24"/>
  <c r="BE86" i="24"/>
  <c r="AM84" i="24"/>
  <c r="BD11" i="24"/>
  <c r="AM11" i="24"/>
  <c r="AM69" i="24"/>
  <c r="AM12" i="24"/>
  <c r="AT71" i="24"/>
  <c r="AC71" i="24"/>
  <c r="AB70" i="24"/>
  <c r="AQ11" i="24"/>
  <c r="AA12" i="24"/>
  <c r="AG11" i="24"/>
  <c r="AO11" i="24"/>
  <c r="AE11" i="24"/>
  <c r="AA69" i="24"/>
  <c r="AA84" i="24"/>
  <c r="AI71" i="24"/>
  <c r="AH70" i="24"/>
  <c r="AZ28" i="24"/>
  <c r="AZ41" i="24"/>
  <c r="AZ29" i="24" s="1"/>
  <c r="AC69" i="24"/>
  <c r="AC12" i="24"/>
  <c r="AT11" i="24"/>
  <c r="AC11" i="24"/>
  <c r="AB25" i="24"/>
  <c r="AC84" i="24"/>
  <c r="AZ73" i="24"/>
  <c r="AZ74" i="24" s="1"/>
  <c r="AZ71" i="24" s="1"/>
  <c r="AX74" i="24"/>
  <c r="AI11" i="24"/>
  <c r="AE86" i="24"/>
  <c r="AD85" i="24"/>
  <c r="AK69" i="24"/>
  <c r="AJ25" i="24"/>
  <c r="AD25" i="24" s="1"/>
  <c r="AE26" i="24" s="1"/>
  <c r="BB11" i="24"/>
  <c r="AK11" i="24"/>
  <c r="AK12" i="24"/>
  <c r="AK84" i="24"/>
  <c r="AR70" i="24"/>
  <c r="AS71" i="24"/>
  <c r="AX86" i="24"/>
  <c r="BB76" i="24"/>
  <c r="BB77" i="24" s="1"/>
  <c r="BF76" i="24"/>
  <c r="BD76" i="24"/>
  <c r="BD77" i="24" s="1"/>
  <c r="BD71" i="24" s="1"/>
  <c r="AZ25" i="24"/>
  <c r="BA11" i="24"/>
  <c r="AZ104" i="24" s="1"/>
  <c r="BA84" i="24"/>
  <c r="BA69" i="24"/>
  <c r="BA12" i="24"/>
  <c r="AR26" i="24"/>
  <c r="AS29" i="24"/>
  <c r="D2" i="13"/>
  <c r="E2" i="13" s="1"/>
  <c r="F2" i="13" s="1"/>
  <c r="F4" i="13" s="1"/>
  <c r="O732" i="12"/>
  <c r="O731" i="12"/>
  <c r="O730" i="12"/>
  <c r="O729" i="12"/>
  <c r="O728" i="12"/>
  <c r="O727" i="12"/>
  <c r="O726" i="12"/>
  <c r="O725" i="12"/>
  <c r="S723" i="12"/>
  <c r="S722" i="12"/>
  <c r="S721" i="12"/>
  <c r="S720" i="12"/>
  <c r="S719" i="12"/>
  <c r="S718" i="12"/>
  <c r="S717" i="12"/>
  <c r="S716" i="12"/>
  <c r="S715" i="12"/>
  <c r="S714" i="12"/>
  <c r="S713" i="12"/>
  <c r="S712" i="12"/>
  <c r="S711" i="12"/>
  <c r="S710" i="12"/>
  <c r="I710" i="12"/>
  <c r="O710" i="12" s="1"/>
  <c r="S709" i="12"/>
  <c r="S708" i="12"/>
  <c r="S707" i="12"/>
  <c r="S706" i="12"/>
  <c r="S705" i="12"/>
  <c r="S704" i="12"/>
  <c r="S703" i="12"/>
  <c r="S702" i="12"/>
  <c r="S701" i="12"/>
  <c r="I701" i="12"/>
  <c r="O701" i="12" s="1"/>
  <c r="S700" i="12"/>
  <c r="S699" i="12"/>
  <c r="S698" i="12"/>
  <c r="S697" i="12"/>
  <c r="S696" i="12"/>
  <c r="I696" i="12"/>
  <c r="O696" i="12" s="1"/>
  <c r="S695" i="12"/>
  <c r="I695" i="12"/>
  <c r="S694" i="12"/>
  <c r="S693" i="12"/>
  <c r="S692" i="12"/>
  <c r="S691" i="12"/>
  <c r="S690" i="12"/>
  <c r="S689" i="12"/>
  <c r="S688" i="12"/>
  <c r="I688" i="12"/>
  <c r="O688" i="12" s="1"/>
  <c r="S687" i="12"/>
  <c r="S686" i="12"/>
  <c r="S685" i="12"/>
  <c r="S684" i="12"/>
  <c r="S683" i="12"/>
  <c r="S682" i="12"/>
  <c r="S681" i="12"/>
  <c r="I681" i="12"/>
  <c r="O681" i="12" s="1"/>
  <c r="I671" i="12"/>
  <c r="S670" i="12"/>
  <c r="S669" i="12"/>
  <c r="S668" i="12"/>
  <c r="S667" i="12"/>
  <c r="S666" i="12"/>
  <c r="S665" i="12"/>
  <c r="S664" i="12"/>
  <c r="S663" i="12"/>
  <c r="I663" i="12"/>
  <c r="O663" i="12" s="1"/>
  <c r="S662" i="12"/>
  <c r="S661" i="12"/>
  <c r="S660" i="12"/>
  <c r="S659" i="12"/>
  <c r="S658" i="12"/>
  <c r="S657" i="12"/>
  <c r="I657" i="12"/>
  <c r="O657" i="12" s="1"/>
  <c r="S656" i="12"/>
  <c r="S655" i="12"/>
  <c r="S654" i="12"/>
  <c r="S653" i="12"/>
  <c r="S652" i="12"/>
  <c r="S651" i="12"/>
  <c r="S650" i="12"/>
  <c r="S649" i="12"/>
  <c r="S648" i="12"/>
  <c r="S647" i="12"/>
  <c r="S646" i="12"/>
  <c r="S645" i="12"/>
  <c r="I645" i="12"/>
  <c r="O645" i="12" s="1"/>
  <c r="S644" i="12"/>
  <c r="S643" i="12"/>
  <c r="S642" i="12"/>
  <c r="S641" i="12"/>
  <c r="S640" i="12"/>
  <c r="S639" i="12"/>
  <c r="S638" i="12"/>
  <c r="S637" i="12"/>
  <c r="S636" i="12"/>
  <c r="I636" i="12"/>
  <c r="O636" i="12" s="1"/>
  <c r="S635" i="12"/>
  <c r="S634" i="12"/>
  <c r="S633" i="12"/>
  <c r="I633" i="12"/>
  <c r="O633" i="12" s="1"/>
  <c r="S632" i="12"/>
  <c r="S631" i="12"/>
  <c r="S630" i="12"/>
  <c r="S629" i="12"/>
  <c r="S628" i="12"/>
  <c r="S627" i="12"/>
  <c r="S626" i="12"/>
  <c r="S625" i="12"/>
  <c r="S624" i="12"/>
  <c r="S623" i="12"/>
  <c r="S622" i="12"/>
  <c r="S621" i="12"/>
  <c r="I621" i="12"/>
  <c r="O621" i="12" s="1"/>
  <c r="S620" i="12"/>
  <c r="S619" i="12"/>
  <c r="S618" i="12"/>
  <c r="S617" i="12"/>
  <c r="S616" i="12"/>
  <c r="S615" i="12"/>
  <c r="S614" i="12"/>
  <c r="S613" i="12"/>
  <c r="S612" i="12"/>
  <c r="I612" i="12"/>
  <c r="O612" i="12" s="1"/>
  <c r="S611" i="12"/>
  <c r="S610" i="12"/>
  <c r="S609" i="12"/>
  <c r="I609" i="12"/>
  <c r="O609" i="12" s="1"/>
  <c r="S608" i="12"/>
  <c r="S607" i="12"/>
  <c r="S606" i="12"/>
  <c r="S605" i="12"/>
  <c r="S604" i="12"/>
  <c r="S603" i="12"/>
  <c r="S602" i="12"/>
  <c r="S601" i="12"/>
  <c r="S600" i="12"/>
  <c r="S599" i="12"/>
  <c r="S598" i="12"/>
  <c r="S597" i="12"/>
  <c r="S596" i="12"/>
  <c r="S595" i="12"/>
  <c r="I595" i="12"/>
  <c r="O595" i="12" s="1"/>
  <c r="S594" i="12"/>
  <c r="S593" i="12"/>
  <c r="S592" i="12"/>
  <c r="S591" i="12"/>
  <c r="S590" i="12"/>
  <c r="S589" i="12"/>
  <c r="S588" i="12"/>
  <c r="S587" i="12"/>
  <c r="S586" i="12"/>
  <c r="I586" i="12"/>
  <c r="O586" i="12" s="1"/>
  <c r="S585" i="12"/>
  <c r="S584" i="12"/>
  <c r="S583" i="12"/>
  <c r="S582" i="12"/>
  <c r="S581" i="12"/>
  <c r="I581" i="12"/>
  <c r="O581" i="12" s="1"/>
  <c r="S580" i="12"/>
  <c r="S579" i="12"/>
  <c r="S578" i="12"/>
  <c r="S571" i="12"/>
  <c r="S570" i="12"/>
  <c r="S569" i="12"/>
  <c r="S568" i="12"/>
  <c r="S567" i="12"/>
  <c r="S566" i="12"/>
  <c r="S565" i="12"/>
  <c r="S564" i="12"/>
  <c r="S563" i="12"/>
  <c r="S562" i="12"/>
  <c r="S561" i="12"/>
  <c r="S560" i="12"/>
  <c r="I560" i="12"/>
  <c r="O560" i="12" s="1"/>
  <c r="S559" i="12"/>
  <c r="S558" i="12"/>
  <c r="S557" i="12"/>
  <c r="S556" i="12"/>
  <c r="S555" i="12"/>
  <c r="S554" i="12"/>
  <c r="S553" i="12"/>
  <c r="S552" i="12"/>
  <c r="S551" i="12"/>
  <c r="I551" i="12"/>
  <c r="S550" i="12"/>
  <c r="S549" i="12"/>
  <c r="S548" i="12"/>
  <c r="I548" i="12"/>
  <c r="S547" i="12"/>
  <c r="I547" i="12"/>
  <c r="S546" i="12"/>
  <c r="S545" i="12"/>
  <c r="S544" i="12"/>
  <c r="S543" i="12"/>
  <c r="S542" i="12"/>
  <c r="S541" i="12"/>
  <c r="S540" i="12"/>
  <c r="S539" i="12"/>
  <c r="I539" i="12"/>
  <c r="O539" i="12" s="1"/>
  <c r="S538" i="12"/>
  <c r="S537" i="12"/>
  <c r="S536" i="12"/>
  <c r="S535" i="12"/>
  <c r="S534" i="12"/>
  <c r="S533" i="12"/>
  <c r="I533" i="12"/>
  <c r="O533" i="12" s="1"/>
  <c r="S532" i="12"/>
  <c r="S531" i="12"/>
  <c r="S530" i="12"/>
  <c r="S529" i="12"/>
  <c r="S528" i="12"/>
  <c r="S527" i="12"/>
  <c r="S526" i="12"/>
  <c r="S525" i="12"/>
  <c r="S524" i="12"/>
  <c r="S523" i="12"/>
  <c r="S522" i="12"/>
  <c r="S521" i="12"/>
  <c r="I521" i="12"/>
  <c r="O521" i="12" s="1"/>
  <c r="S520" i="12"/>
  <c r="S519" i="12"/>
  <c r="S518" i="12"/>
  <c r="S517" i="12"/>
  <c r="S516" i="12"/>
  <c r="S515" i="12"/>
  <c r="S514" i="12"/>
  <c r="S513" i="12"/>
  <c r="S512" i="12"/>
  <c r="I512" i="12"/>
  <c r="O512" i="12" s="1"/>
  <c r="S511" i="12"/>
  <c r="S510" i="12"/>
  <c r="S509" i="12"/>
  <c r="I509" i="12"/>
  <c r="O509" i="12" s="1"/>
  <c r="S508" i="12"/>
  <c r="S507" i="12"/>
  <c r="S506" i="12"/>
  <c r="S505" i="12"/>
  <c r="S504" i="12"/>
  <c r="S503" i="12"/>
  <c r="S502" i="12"/>
  <c r="S501" i="12"/>
  <c r="S500" i="12"/>
  <c r="S499" i="12"/>
  <c r="S498" i="12"/>
  <c r="S497" i="12"/>
  <c r="S496" i="12"/>
  <c r="S495" i="12"/>
  <c r="I495" i="12"/>
  <c r="O495" i="12" s="1"/>
  <c r="S494" i="12"/>
  <c r="S493" i="12"/>
  <c r="S492" i="12"/>
  <c r="S491" i="12"/>
  <c r="S490" i="12"/>
  <c r="S489" i="12"/>
  <c r="S488" i="12"/>
  <c r="S487" i="12"/>
  <c r="S486" i="12"/>
  <c r="I486" i="12"/>
  <c r="O486" i="12" s="1"/>
  <c r="S485" i="12"/>
  <c r="S484" i="12"/>
  <c r="S483" i="12"/>
  <c r="S482" i="12"/>
  <c r="S481" i="12"/>
  <c r="I481" i="12"/>
  <c r="O481" i="12" s="1"/>
  <c r="S480" i="12"/>
  <c r="S479" i="12"/>
  <c r="S478" i="12"/>
  <c r="S477" i="12"/>
  <c r="S476" i="12"/>
  <c r="S475" i="12"/>
  <c r="S474" i="12"/>
  <c r="S473" i="12"/>
  <c r="S472" i="12"/>
  <c r="S471" i="12"/>
  <c r="S470" i="12"/>
  <c r="S469" i="12"/>
  <c r="S468" i="12"/>
  <c r="S467" i="12"/>
  <c r="S466" i="12"/>
  <c r="I466" i="12"/>
  <c r="O466" i="12" s="1"/>
  <c r="S465" i="12"/>
  <c r="S464" i="12"/>
  <c r="S463" i="12"/>
  <c r="S462" i="12"/>
  <c r="S461" i="12"/>
  <c r="S460" i="12"/>
  <c r="S459" i="12"/>
  <c r="S458" i="12"/>
  <c r="S457" i="12"/>
  <c r="I457" i="12"/>
  <c r="O457" i="12" s="1"/>
  <c r="S456" i="12"/>
  <c r="S455" i="12"/>
  <c r="S454" i="12"/>
  <c r="I454" i="12"/>
  <c r="O454" i="12" s="1"/>
  <c r="S453" i="12"/>
  <c r="I453" i="12"/>
  <c r="S452" i="12"/>
  <c r="S451" i="12"/>
  <c r="S450" i="12"/>
  <c r="S449" i="12"/>
  <c r="S448" i="12"/>
  <c r="S447" i="12"/>
  <c r="S446" i="12"/>
  <c r="S445" i="12"/>
  <c r="I445" i="12"/>
  <c r="O445" i="12" s="1"/>
  <c r="S444" i="12"/>
  <c r="S443" i="12"/>
  <c r="S442" i="12"/>
  <c r="S441" i="12"/>
  <c r="S440" i="12"/>
  <c r="S439" i="12"/>
  <c r="I439" i="12"/>
  <c r="O439" i="12" s="1"/>
  <c r="S438" i="12"/>
  <c r="S437" i="12"/>
  <c r="S436" i="12"/>
  <c r="S435" i="12"/>
  <c r="S434" i="12"/>
  <c r="S433" i="12"/>
  <c r="S432" i="12"/>
  <c r="S431" i="12"/>
  <c r="S430" i="12"/>
  <c r="S429" i="12"/>
  <c r="S428" i="12"/>
  <c r="S427" i="12"/>
  <c r="I427" i="12"/>
  <c r="O427" i="12" s="1"/>
  <c r="S426" i="12"/>
  <c r="S425" i="12"/>
  <c r="S424" i="12"/>
  <c r="S423" i="12"/>
  <c r="S422" i="12"/>
  <c r="S421" i="12"/>
  <c r="S420" i="12"/>
  <c r="S419" i="12"/>
  <c r="S418" i="12"/>
  <c r="I418" i="12"/>
  <c r="O418" i="12" s="1"/>
  <c r="S417" i="12"/>
  <c r="S416" i="12"/>
  <c r="S415" i="12"/>
  <c r="I415" i="12"/>
  <c r="O415" i="12" s="1"/>
  <c r="S414" i="12"/>
  <c r="S413" i="12"/>
  <c r="S412" i="12"/>
  <c r="S411" i="12"/>
  <c r="S410" i="12"/>
  <c r="S409" i="12"/>
  <c r="S408" i="12"/>
  <c r="S407" i="12"/>
  <c r="S406" i="12"/>
  <c r="S405" i="12"/>
  <c r="S404" i="12"/>
  <c r="S403" i="12"/>
  <c r="S402" i="12"/>
  <c r="S401" i="12"/>
  <c r="I401" i="12"/>
  <c r="O401" i="12" s="1"/>
  <c r="S400" i="12"/>
  <c r="S399" i="12"/>
  <c r="S398" i="12"/>
  <c r="S397" i="12"/>
  <c r="S396" i="12"/>
  <c r="S395" i="12"/>
  <c r="S394" i="12"/>
  <c r="S393" i="12"/>
  <c r="S392" i="12"/>
  <c r="I392" i="12"/>
  <c r="O392" i="12" s="1"/>
  <c r="S391" i="12"/>
  <c r="S390" i="12"/>
  <c r="S389" i="12"/>
  <c r="S388" i="12"/>
  <c r="S387" i="12"/>
  <c r="I387" i="12"/>
  <c r="O387" i="12" s="1"/>
  <c r="I379" i="12"/>
  <c r="S378" i="12"/>
  <c r="S377" i="12"/>
  <c r="S376" i="12"/>
  <c r="S375" i="12"/>
  <c r="S374" i="12"/>
  <c r="S373" i="12"/>
  <c r="S372" i="12"/>
  <c r="S371" i="12"/>
  <c r="I371" i="12"/>
  <c r="O371" i="12" s="1"/>
  <c r="S370" i="12"/>
  <c r="S369" i="12"/>
  <c r="S368" i="12"/>
  <c r="S367" i="12"/>
  <c r="S366" i="12"/>
  <c r="S365" i="12"/>
  <c r="I365" i="12"/>
  <c r="O365" i="12" s="1"/>
  <c r="S364" i="12"/>
  <c r="S363" i="12"/>
  <c r="S362" i="12"/>
  <c r="S361" i="12"/>
  <c r="S360" i="12"/>
  <c r="S359" i="12"/>
  <c r="S358" i="12"/>
  <c r="S357" i="12"/>
  <c r="S356" i="12"/>
  <c r="S355" i="12"/>
  <c r="S354" i="12"/>
  <c r="S353" i="12"/>
  <c r="I353" i="12"/>
  <c r="O353" i="12" s="1"/>
  <c r="S352" i="12"/>
  <c r="S351" i="12"/>
  <c r="S350" i="12"/>
  <c r="S349" i="12"/>
  <c r="S348" i="12"/>
  <c r="S347" i="12"/>
  <c r="S346" i="12"/>
  <c r="S345" i="12"/>
  <c r="S344" i="12"/>
  <c r="I344" i="12"/>
  <c r="O344" i="12" s="1"/>
  <c r="S343" i="12"/>
  <c r="S342" i="12"/>
  <c r="S341" i="12"/>
  <c r="I341" i="12"/>
  <c r="O341" i="12" s="1"/>
  <c r="S340" i="12"/>
  <c r="S339" i="12"/>
  <c r="S338" i="12"/>
  <c r="S337" i="12"/>
  <c r="S336" i="12"/>
  <c r="S335" i="12"/>
  <c r="S334" i="12"/>
  <c r="S333" i="12"/>
  <c r="S332" i="12"/>
  <c r="S331" i="12"/>
  <c r="S330" i="12"/>
  <c r="S329" i="12"/>
  <c r="I329" i="12"/>
  <c r="O329" i="12" s="1"/>
  <c r="S328" i="12"/>
  <c r="S327" i="12"/>
  <c r="S326" i="12"/>
  <c r="S325" i="12"/>
  <c r="S324" i="12"/>
  <c r="S323" i="12"/>
  <c r="S322" i="12"/>
  <c r="S321" i="12"/>
  <c r="S320" i="12"/>
  <c r="I320" i="12"/>
  <c r="O320" i="12" s="1"/>
  <c r="S319" i="12"/>
  <c r="S318" i="12"/>
  <c r="S317" i="12"/>
  <c r="I317" i="12"/>
  <c r="O317" i="12" s="1"/>
  <c r="S316" i="12"/>
  <c r="S315" i="12"/>
  <c r="S314" i="12"/>
  <c r="S313" i="12"/>
  <c r="S312" i="12"/>
  <c r="S311" i="12"/>
  <c r="S310" i="12"/>
  <c r="S309" i="12"/>
  <c r="S308" i="12"/>
  <c r="S307" i="12"/>
  <c r="S306" i="12"/>
  <c r="S305" i="12"/>
  <c r="S304" i="12"/>
  <c r="S303" i="12"/>
  <c r="I303" i="12"/>
  <c r="O303" i="12" s="1"/>
  <c r="S302" i="12"/>
  <c r="S301" i="12"/>
  <c r="S300" i="12"/>
  <c r="S299" i="12"/>
  <c r="S298" i="12"/>
  <c r="S297" i="12"/>
  <c r="S296" i="12"/>
  <c r="S295" i="12"/>
  <c r="S294" i="12"/>
  <c r="I294" i="12"/>
  <c r="S293" i="12"/>
  <c r="S292" i="12"/>
  <c r="S291" i="12"/>
  <c r="S290" i="12"/>
  <c r="S289" i="12"/>
  <c r="I289" i="12"/>
  <c r="S288" i="12"/>
  <c r="S287" i="12"/>
  <c r="S286" i="12"/>
  <c r="I276" i="12"/>
  <c r="S275" i="12"/>
  <c r="S274" i="12"/>
  <c r="S273" i="12"/>
  <c r="S272" i="12"/>
  <c r="S271" i="12"/>
  <c r="S270" i="12"/>
  <c r="S269" i="12"/>
  <c r="S268" i="12"/>
  <c r="I268" i="12"/>
  <c r="O268" i="12" s="1"/>
  <c r="S267" i="12"/>
  <c r="S266" i="12"/>
  <c r="S265" i="12"/>
  <c r="S264" i="12"/>
  <c r="S263" i="12"/>
  <c r="S262" i="12"/>
  <c r="I262" i="12"/>
  <c r="O262" i="12" s="1"/>
  <c r="S261" i="12"/>
  <c r="S260" i="12"/>
  <c r="S259" i="12"/>
  <c r="S258" i="12"/>
  <c r="S257" i="12"/>
  <c r="S256" i="12"/>
  <c r="S255" i="12"/>
  <c r="S254" i="12"/>
  <c r="S253" i="12"/>
  <c r="S252" i="12"/>
  <c r="S251" i="12"/>
  <c r="S250" i="12"/>
  <c r="I250" i="12"/>
  <c r="S249" i="12"/>
  <c r="S248" i="12"/>
  <c r="S247" i="12"/>
  <c r="S246" i="12"/>
  <c r="S245" i="12"/>
  <c r="S244" i="12"/>
  <c r="S243" i="12"/>
  <c r="S242" i="12"/>
  <c r="S241" i="12"/>
  <c r="I241" i="12"/>
  <c r="S240" i="12"/>
  <c r="S239" i="12"/>
  <c r="S238" i="12"/>
  <c r="I238" i="12"/>
  <c r="S237" i="12"/>
  <c r="S236" i="12"/>
  <c r="S235" i="12"/>
  <c r="S234" i="12"/>
  <c r="S233" i="12"/>
  <c r="S232" i="12"/>
  <c r="S231" i="12"/>
  <c r="S230" i="12"/>
  <c r="S229" i="12"/>
  <c r="S228" i="12"/>
  <c r="S227" i="12"/>
  <c r="S226" i="12"/>
  <c r="I226" i="12"/>
  <c r="S225" i="12"/>
  <c r="S224" i="12"/>
  <c r="S223" i="12"/>
  <c r="S222" i="12"/>
  <c r="S221" i="12"/>
  <c r="S220" i="12"/>
  <c r="S219" i="12"/>
  <c r="S218" i="12"/>
  <c r="S217" i="12"/>
  <c r="I217" i="12"/>
  <c r="S216" i="12"/>
  <c r="S215" i="12"/>
  <c r="S214" i="12"/>
  <c r="I214" i="12"/>
  <c r="S213" i="12"/>
  <c r="S212" i="12"/>
  <c r="S211" i="12"/>
  <c r="S210" i="12"/>
  <c r="S209" i="12"/>
  <c r="S208" i="12"/>
  <c r="S207" i="12"/>
  <c r="S206" i="12"/>
  <c r="S205" i="12"/>
  <c r="S204" i="12"/>
  <c r="S203" i="12"/>
  <c r="S202" i="12"/>
  <c r="S201" i="12"/>
  <c r="S200" i="12"/>
  <c r="I200" i="12"/>
  <c r="S199" i="12"/>
  <c r="S198" i="12"/>
  <c r="S197" i="12"/>
  <c r="S196" i="12"/>
  <c r="S195" i="12"/>
  <c r="S194" i="12"/>
  <c r="S193" i="12"/>
  <c r="S192" i="12"/>
  <c r="S191" i="12"/>
  <c r="I191" i="12"/>
  <c r="S190" i="12"/>
  <c r="S189" i="12"/>
  <c r="S188" i="12"/>
  <c r="S187" i="12"/>
  <c r="S186" i="12"/>
  <c r="I186" i="12"/>
  <c r="S185" i="12"/>
  <c r="S184" i="12"/>
  <c r="S183" i="12"/>
  <c r="S169" i="12"/>
  <c r="S168" i="12"/>
  <c r="S167" i="12"/>
  <c r="S166" i="12"/>
  <c r="S165" i="12"/>
  <c r="S164" i="12"/>
  <c r="S163" i="12"/>
  <c r="S162" i="12"/>
  <c r="S161" i="12"/>
  <c r="S160" i="12"/>
  <c r="S159" i="12"/>
  <c r="S158" i="12"/>
  <c r="S157" i="12"/>
  <c r="S156" i="12"/>
  <c r="I156" i="12"/>
  <c r="S155" i="12"/>
  <c r="S154" i="12"/>
  <c r="S153" i="12"/>
  <c r="S152" i="12"/>
  <c r="S151" i="12"/>
  <c r="S150" i="12"/>
  <c r="S149" i="12"/>
  <c r="S148" i="12"/>
  <c r="S147" i="12"/>
  <c r="I147" i="12"/>
  <c r="S146" i="12"/>
  <c r="S145" i="12"/>
  <c r="S144" i="12"/>
  <c r="S143" i="12"/>
  <c r="S142" i="12"/>
  <c r="I142" i="12"/>
  <c r="S141" i="12"/>
  <c r="I141" i="12"/>
  <c r="S140" i="12"/>
  <c r="S139" i="12"/>
  <c r="S138" i="12"/>
  <c r="S137" i="12"/>
  <c r="S136" i="12"/>
  <c r="S135" i="12"/>
  <c r="S134" i="12"/>
  <c r="I134" i="12"/>
  <c r="S133" i="12"/>
  <c r="S132" i="12"/>
  <c r="S131" i="12"/>
  <c r="S130" i="12"/>
  <c r="S129" i="12"/>
  <c r="S128" i="12"/>
  <c r="S127" i="12"/>
  <c r="I127" i="12"/>
  <c r="S126" i="12"/>
  <c r="S125" i="12"/>
  <c r="S124" i="12"/>
  <c r="S123" i="12"/>
  <c r="S122" i="12"/>
  <c r="S121" i="12"/>
  <c r="S120" i="12"/>
  <c r="S119" i="12"/>
  <c r="S118" i="12"/>
  <c r="S117" i="12"/>
  <c r="S116" i="12"/>
  <c r="S115" i="12"/>
  <c r="S114" i="12"/>
  <c r="S113" i="12"/>
  <c r="I113" i="12"/>
  <c r="S112" i="12"/>
  <c r="S111" i="12"/>
  <c r="S110" i="12"/>
  <c r="S109" i="12"/>
  <c r="S108" i="12"/>
  <c r="S107" i="12"/>
  <c r="S106" i="12"/>
  <c r="S105" i="12"/>
  <c r="S104" i="12"/>
  <c r="I104" i="12"/>
  <c r="S103" i="12"/>
  <c r="S102" i="12"/>
  <c r="S101" i="12"/>
  <c r="S100" i="12"/>
  <c r="S99" i="12"/>
  <c r="I99" i="12"/>
  <c r="S98" i="12"/>
  <c r="I98" i="12"/>
  <c r="S97" i="12"/>
  <c r="S96" i="12"/>
  <c r="S95" i="12"/>
  <c r="S94" i="12"/>
  <c r="S93" i="12"/>
  <c r="S92" i="12"/>
  <c r="S91" i="12"/>
  <c r="S90" i="12"/>
  <c r="I90" i="12"/>
  <c r="O90" i="12" s="1"/>
  <c r="S89" i="12"/>
  <c r="S88" i="12"/>
  <c r="S87" i="12"/>
  <c r="S86" i="12"/>
  <c r="S85" i="12"/>
  <c r="S84" i="12"/>
  <c r="I84" i="12"/>
  <c r="S83" i="12"/>
  <c r="S82" i="12"/>
  <c r="S81" i="12"/>
  <c r="S80" i="12"/>
  <c r="S79" i="12"/>
  <c r="S78" i="12"/>
  <c r="S77" i="12"/>
  <c r="S76" i="12"/>
  <c r="S75" i="12"/>
  <c r="S74" i="12"/>
  <c r="S73" i="12"/>
  <c r="S72" i="12"/>
  <c r="I72" i="12"/>
  <c r="S71" i="12"/>
  <c r="S70" i="12"/>
  <c r="S69" i="12"/>
  <c r="S68" i="12"/>
  <c r="S67" i="12"/>
  <c r="S66" i="12"/>
  <c r="S65" i="12"/>
  <c r="S64" i="12"/>
  <c r="S63" i="12"/>
  <c r="I63" i="12"/>
  <c r="S62" i="12"/>
  <c r="S61" i="12"/>
  <c r="S60" i="12"/>
  <c r="I60" i="12"/>
  <c r="S59" i="12"/>
  <c r="S58" i="12"/>
  <c r="S57" i="12"/>
  <c r="S56" i="12"/>
  <c r="S55" i="12"/>
  <c r="S54" i="12"/>
  <c r="S53" i="12"/>
  <c r="S52" i="12"/>
  <c r="S51" i="12"/>
  <c r="S50" i="12"/>
  <c r="S49" i="12"/>
  <c r="S48" i="12"/>
  <c r="I48" i="12"/>
  <c r="S47" i="12"/>
  <c r="S46" i="12"/>
  <c r="S45" i="12"/>
  <c r="S44" i="12"/>
  <c r="S43" i="12"/>
  <c r="S42" i="12"/>
  <c r="S41" i="12"/>
  <c r="S40" i="12"/>
  <c r="S39" i="12"/>
  <c r="I39" i="12"/>
  <c r="S38" i="12"/>
  <c r="S37" i="12"/>
  <c r="S36" i="12"/>
  <c r="I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I22" i="12"/>
  <c r="S21" i="12"/>
  <c r="S20" i="12"/>
  <c r="S19" i="12"/>
  <c r="S18" i="12"/>
  <c r="S17" i="12"/>
  <c r="S16" i="12"/>
  <c r="S15" i="12"/>
  <c r="S14" i="12"/>
  <c r="S13" i="12"/>
  <c r="I13" i="12"/>
  <c r="S12" i="12"/>
  <c r="S11" i="12"/>
  <c r="S10" i="12"/>
  <c r="S9" i="12"/>
  <c r="S8" i="12"/>
  <c r="I8" i="12"/>
  <c r="S7" i="12"/>
  <c r="S6" i="12"/>
  <c r="P855" i="11"/>
  <c r="P727" i="11"/>
  <c r="I727" i="11"/>
  <c r="L727" i="11" s="1"/>
  <c r="P726" i="11"/>
  <c r="I726" i="11"/>
  <c r="L726" i="11" s="1"/>
  <c r="I725" i="11"/>
  <c r="L725" i="11" s="1"/>
  <c r="P724" i="11"/>
  <c r="I724" i="11"/>
  <c r="L724" i="11" s="1"/>
  <c r="I723" i="11"/>
  <c r="L723" i="11" s="1"/>
  <c r="P722" i="11"/>
  <c r="I722" i="11"/>
  <c r="L722" i="11" s="1"/>
  <c r="I721" i="11"/>
  <c r="L721" i="11" s="1"/>
  <c r="I720" i="11"/>
  <c r="L720" i="11" s="1"/>
  <c r="I719" i="11"/>
  <c r="L719" i="11" s="1"/>
  <c r="I718" i="11"/>
  <c r="L718" i="11" s="1"/>
  <c r="I717" i="11"/>
  <c r="L717" i="11" s="1"/>
  <c r="I716" i="11"/>
  <c r="L716" i="11" s="1"/>
  <c r="I715" i="11"/>
  <c r="L715" i="11" s="1"/>
  <c r="I714" i="11"/>
  <c r="L714" i="11" s="1"/>
  <c r="I713" i="11"/>
  <c r="L713" i="11" s="1"/>
  <c r="I712" i="11"/>
  <c r="L712" i="11" s="1"/>
  <c r="I711" i="11"/>
  <c r="L711" i="11" s="1"/>
  <c r="I710" i="11"/>
  <c r="L710" i="11" s="1"/>
  <c r="I709" i="11"/>
  <c r="L709" i="11" s="1"/>
  <c r="I708" i="11"/>
  <c r="L708" i="11" s="1"/>
  <c r="I707" i="11"/>
  <c r="L707" i="11" s="1"/>
  <c r="I706" i="11"/>
  <c r="L706" i="11" s="1"/>
  <c r="I705" i="11"/>
  <c r="L705" i="11" s="1"/>
  <c r="I704" i="11"/>
  <c r="L704" i="11" s="1"/>
  <c r="I703" i="11"/>
  <c r="L703" i="11" s="1"/>
  <c r="I702" i="11"/>
  <c r="L702" i="11" s="1"/>
  <c r="I701" i="11"/>
  <c r="L701" i="11" s="1"/>
  <c r="I700" i="11"/>
  <c r="L700" i="11" s="1"/>
  <c r="I699" i="11"/>
  <c r="L699" i="11" s="1"/>
  <c r="I698" i="11"/>
  <c r="L698" i="11" s="1"/>
  <c r="I697" i="11"/>
  <c r="L697" i="11" s="1"/>
  <c r="N688" i="11"/>
  <c r="P688" i="11" s="1"/>
  <c r="P687" i="11"/>
  <c r="I687" i="11"/>
  <c r="L687" i="11" s="1"/>
  <c r="I686" i="11"/>
  <c r="L686" i="11" s="1"/>
  <c r="I685" i="11"/>
  <c r="L685" i="11" s="1"/>
  <c r="I684" i="11"/>
  <c r="L684" i="11" s="1"/>
  <c r="I683" i="11"/>
  <c r="L683" i="11" s="1"/>
  <c r="I682" i="11"/>
  <c r="L682" i="11" s="1"/>
  <c r="I681" i="11"/>
  <c r="L681" i="11" s="1"/>
  <c r="I680" i="11"/>
  <c r="L680" i="11" s="1"/>
  <c r="I679" i="11"/>
  <c r="L679" i="11" s="1"/>
  <c r="I678" i="11"/>
  <c r="L678" i="11" s="1"/>
  <c r="I677" i="11"/>
  <c r="L677" i="11" s="1"/>
  <c r="I676" i="11"/>
  <c r="L676" i="11" s="1"/>
  <c r="I675" i="11"/>
  <c r="L675" i="11" s="1"/>
  <c r="I674" i="11"/>
  <c r="L674" i="11" s="1"/>
  <c r="I673" i="11"/>
  <c r="L673" i="11" s="1"/>
  <c r="I672" i="11"/>
  <c r="L672" i="11" s="1"/>
  <c r="I671" i="11"/>
  <c r="L671" i="11" s="1"/>
  <c r="I670" i="11"/>
  <c r="L670" i="11" s="1"/>
  <c r="I669" i="11"/>
  <c r="L669" i="11" s="1"/>
  <c r="I668" i="11"/>
  <c r="L668" i="11" s="1"/>
  <c r="I667" i="11"/>
  <c r="L667" i="11" s="1"/>
  <c r="I666" i="11"/>
  <c r="L666" i="11" s="1"/>
  <c r="I665" i="11"/>
  <c r="L665" i="11" s="1"/>
  <c r="I664" i="11"/>
  <c r="L664" i="11" s="1"/>
  <c r="I663" i="11"/>
  <c r="L663" i="11" s="1"/>
  <c r="I662" i="11"/>
  <c r="L662" i="11" s="1"/>
  <c r="I661" i="11"/>
  <c r="L661" i="11" s="1"/>
  <c r="I660" i="11"/>
  <c r="L660" i="11" s="1"/>
  <c r="I659" i="11"/>
  <c r="L659" i="11" s="1"/>
  <c r="I658" i="11"/>
  <c r="L658" i="11" s="1"/>
  <c r="I657" i="11"/>
  <c r="L657" i="11" s="1"/>
  <c r="I656" i="11"/>
  <c r="L656" i="11" s="1"/>
  <c r="I655" i="11"/>
  <c r="L655" i="11" s="1"/>
  <c r="I654" i="11"/>
  <c r="L654" i="11" s="1"/>
  <c r="I653" i="11"/>
  <c r="L653" i="11" s="1"/>
  <c r="I652" i="11"/>
  <c r="L652" i="11" s="1"/>
  <c r="I651" i="11"/>
  <c r="L651" i="11" s="1"/>
  <c r="I650" i="11"/>
  <c r="L650" i="11" s="1"/>
  <c r="I649" i="11"/>
  <c r="L649" i="11" s="1"/>
  <c r="I648" i="11"/>
  <c r="L648" i="11" s="1"/>
  <c r="I647" i="11"/>
  <c r="L647" i="11" s="1"/>
  <c r="I646" i="11"/>
  <c r="L646" i="11" s="1"/>
  <c r="I645" i="11"/>
  <c r="L645" i="11" s="1"/>
  <c r="I644" i="11"/>
  <c r="L644" i="11" s="1"/>
  <c r="I643" i="11"/>
  <c r="L643" i="11" s="1"/>
  <c r="I642" i="11"/>
  <c r="L642" i="11" s="1"/>
  <c r="I641" i="11"/>
  <c r="L641" i="11" s="1"/>
  <c r="I640" i="11"/>
  <c r="L640" i="11" s="1"/>
  <c r="I639" i="11"/>
  <c r="L639" i="11" s="1"/>
  <c r="I638" i="11"/>
  <c r="L638" i="11" s="1"/>
  <c r="I637" i="11"/>
  <c r="L637" i="11" s="1"/>
  <c r="I636" i="11"/>
  <c r="L636" i="11" s="1"/>
  <c r="I635" i="11"/>
  <c r="L635" i="11" s="1"/>
  <c r="I634" i="11"/>
  <c r="L634" i="11" s="1"/>
  <c r="I633" i="11"/>
  <c r="L633" i="11" s="1"/>
  <c r="I632" i="11"/>
  <c r="L632" i="11" s="1"/>
  <c r="I631" i="11"/>
  <c r="L631" i="11" s="1"/>
  <c r="I630" i="11"/>
  <c r="L630" i="11" s="1"/>
  <c r="I629" i="11"/>
  <c r="L629" i="11" s="1"/>
  <c r="I628" i="11"/>
  <c r="L628" i="11" s="1"/>
  <c r="I627" i="11"/>
  <c r="L627" i="11" s="1"/>
  <c r="I626" i="11"/>
  <c r="L626" i="11" s="1"/>
  <c r="I625" i="11"/>
  <c r="L625" i="11" s="1"/>
  <c r="I624" i="11"/>
  <c r="L624" i="11" s="1"/>
  <c r="N623" i="11"/>
  <c r="P623" i="11" s="1"/>
  <c r="I623" i="11"/>
  <c r="L623" i="11" s="1"/>
  <c r="I622" i="11"/>
  <c r="L622" i="11" s="1"/>
  <c r="I621" i="11"/>
  <c r="L621" i="11" s="1"/>
  <c r="I620" i="11"/>
  <c r="L620" i="11" s="1"/>
  <c r="I619" i="11"/>
  <c r="L619" i="11" s="1"/>
  <c r="I618" i="11"/>
  <c r="L618" i="11" s="1"/>
  <c r="I617" i="11"/>
  <c r="L617" i="11" s="1"/>
  <c r="I616" i="11"/>
  <c r="L616" i="11" s="1"/>
  <c r="I615" i="11"/>
  <c r="L615" i="11" s="1"/>
  <c r="I614" i="11"/>
  <c r="L614" i="11" s="1"/>
  <c r="I613" i="11"/>
  <c r="L613" i="11" s="1"/>
  <c r="I612" i="11"/>
  <c r="L612" i="11" s="1"/>
  <c r="I611" i="11"/>
  <c r="L611" i="11" s="1"/>
  <c r="I610" i="11"/>
  <c r="L610" i="11" s="1"/>
  <c r="I609" i="11"/>
  <c r="L609" i="11" s="1"/>
  <c r="I608" i="11"/>
  <c r="L608" i="11" s="1"/>
  <c r="I607" i="11"/>
  <c r="L607" i="11" s="1"/>
  <c r="I606" i="11"/>
  <c r="L606" i="11" s="1"/>
  <c r="I605" i="11"/>
  <c r="L605" i="11" s="1"/>
  <c r="I604" i="11"/>
  <c r="L604" i="11" s="1"/>
  <c r="I603" i="11"/>
  <c r="L603" i="11" s="1"/>
  <c r="I602" i="11"/>
  <c r="L602" i="11" s="1"/>
  <c r="I601" i="11"/>
  <c r="L601" i="11" s="1"/>
  <c r="I600" i="11"/>
  <c r="L600" i="11" s="1"/>
  <c r="I599" i="11"/>
  <c r="L599" i="11" s="1"/>
  <c r="I598" i="11"/>
  <c r="L598" i="11" s="1"/>
  <c r="I597" i="11"/>
  <c r="L597" i="11" s="1"/>
  <c r="I596" i="11"/>
  <c r="L596" i="11" s="1"/>
  <c r="I595" i="11"/>
  <c r="L595" i="11" s="1"/>
  <c r="I594" i="11"/>
  <c r="L594" i="11" s="1"/>
  <c r="I593" i="11"/>
  <c r="L593" i="11" s="1"/>
  <c r="I592" i="11"/>
  <c r="L592" i="11" s="1"/>
  <c r="I591" i="11"/>
  <c r="L591" i="11" s="1"/>
  <c r="I590" i="11"/>
  <c r="L590" i="11" s="1"/>
  <c r="I589" i="11"/>
  <c r="L589" i="11" s="1"/>
  <c r="I588" i="11"/>
  <c r="L588" i="11" s="1"/>
  <c r="I587" i="11"/>
  <c r="L587" i="11" s="1"/>
  <c r="I586" i="11"/>
  <c r="L586" i="11" s="1"/>
  <c r="I585" i="11"/>
  <c r="L585" i="11" s="1"/>
  <c r="I584" i="11"/>
  <c r="L584" i="11" s="1"/>
  <c r="I583" i="11"/>
  <c r="L583" i="11" s="1"/>
  <c r="I582" i="11"/>
  <c r="L582" i="11" s="1"/>
  <c r="I581" i="11"/>
  <c r="L581" i="11" s="1"/>
  <c r="I580" i="11"/>
  <c r="L580" i="11" s="1"/>
  <c r="I579" i="11"/>
  <c r="L579" i="11" s="1"/>
  <c r="I578" i="11"/>
  <c r="L578" i="11" s="1"/>
  <c r="I577" i="11"/>
  <c r="L577" i="11" s="1"/>
  <c r="I576" i="11"/>
  <c r="L576" i="11" s="1"/>
  <c r="I575" i="11"/>
  <c r="L575" i="11" s="1"/>
  <c r="I574" i="11"/>
  <c r="L574" i="11" s="1"/>
  <c r="I573" i="11"/>
  <c r="L573" i="11" s="1"/>
  <c r="I572" i="11"/>
  <c r="L572" i="11" s="1"/>
  <c r="I571" i="11"/>
  <c r="L571" i="11" s="1"/>
  <c r="I570" i="11"/>
  <c r="L570" i="11" s="1"/>
  <c r="I569" i="11"/>
  <c r="L569" i="11" s="1"/>
  <c r="I568" i="11"/>
  <c r="L568" i="11" s="1"/>
  <c r="I567" i="11"/>
  <c r="L567" i="11" s="1"/>
  <c r="I566" i="11"/>
  <c r="L566" i="11" s="1"/>
  <c r="I565" i="11"/>
  <c r="L565" i="11" s="1"/>
  <c r="I564" i="11"/>
  <c r="L564" i="11" s="1"/>
  <c r="I563" i="11"/>
  <c r="L563" i="11" s="1"/>
  <c r="I562" i="11"/>
  <c r="L562" i="11" s="1"/>
  <c r="I561" i="11"/>
  <c r="L561" i="11" s="1"/>
  <c r="I560" i="11"/>
  <c r="L560" i="11" s="1"/>
  <c r="N551" i="11"/>
  <c r="N552" i="11" s="1"/>
  <c r="N553" i="11" s="1"/>
  <c r="N554" i="11" s="1"/>
  <c r="N555" i="11" s="1"/>
  <c r="N556" i="11" s="1"/>
  <c r="N557" i="11" s="1"/>
  <c r="N558" i="11" s="1"/>
  <c r="N559" i="11" s="1"/>
  <c r="P559" i="11" s="1"/>
  <c r="P550" i="11"/>
  <c r="I550" i="11"/>
  <c r="L550" i="11" s="1"/>
  <c r="I549" i="11"/>
  <c r="L549" i="11" s="1"/>
  <c r="N540" i="11"/>
  <c r="P539" i="11"/>
  <c r="I539" i="11"/>
  <c r="L539" i="11" s="1"/>
  <c r="I538" i="11"/>
  <c r="L538" i="11" s="1"/>
  <c r="I537" i="11"/>
  <c r="L537" i="11" s="1"/>
  <c r="I536" i="11"/>
  <c r="L536" i="11" s="1"/>
  <c r="I535" i="11"/>
  <c r="L535" i="11" s="1"/>
  <c r="I534" i="11"/>
  <c r="L534" i="11" s="1"/>
  <c r="I533" i="11"/>
  <c r="L533" i="11" s="1"/>
  <c r="I532" i="11"/>
  <c r="L532" i="11" s="1"/>
  <c r="I531" i="11"/>
  <c r="L531" i="11" s="1"/>
  <c r="I530" i="11"/>
  <c r="L530" i="11" s="1"/>
  <c r="I529" i="11"/>
  <c r="L529" i="11" s="1"/>
  <c r="I528" i="11"/>
  <c r="L528" i="11" s="1"/>
  <c r="I527" i="11"/>
  <c r="L527" i="11" s="1"/>
  <c r="I526" i="11"/>
  <c r="L526" i="11" s="1"/>
  <c r="I525" i="11"/>
  <c r="L525" i="11" s="1"/>
  <c r="I524" i="11"/>
  <c r="L524" i="11" s="1"/>
  <c r="I523" i="11"/>
  <c r="L523" i="11" s="1"/>
  <c r="I522" i="11"/>
  <c r="L522" i="11" s="1"/>
  <c r="I521" i="11"/>
  <c r="L521" i="11" s="1"/>
  <c r="I520" i="11"/>
  <c r="L520" i="11" s="1"/>
  <c r="I519" i="11"/>
  <c r="L519" i="11" s="1"/>
  <c r="I518" i="11"/>
  <c r="L518" i="11" s="1"/>
  <c r="I517" i="11"/>
  <c r="L517" i="11" s="1"/>
  <c r="I516" i="11"/>
  <c r="L516" i="11" s="1"/>
  <c r="I515" i="11"/>
  <c r="L515" i="11" s="1"/>
  <c r="I514" i="11"/>
  <c r="L514" i="11" s="1"/>
  <c r="I513" i="11"/>
  <c r="L513" i="11" s="1"/>
  <c r="I512" i="11"/>
  <c r="L512" i="11" s="1"/>
  <c r="I511" i="11"/>
  <c r="L511" i="11" s="1"/>
  <c r="I510" i="11"/>
  <c r="L510" i="11" s="1"/>
  <c r="I509" i="11"/>
  <c r="L509" i="11" s="1"/>
  <c r="I508" i="11"/>
  <c r="L508" i="11" s="1"/>
  <c r="I507" i="11"/>
  <c r="L507" i="11" s="1"/>
  <c r="I506" i="11"/>
  <c r="L506" i="11" s="1"/>
  <c r="I505" i="11"/>
  <c r="L505" i="11" s="1"/>
  <c r="I504" i="11"/>
  <c r="L504" i="11" s="1"/>
  <c r="I503" i="11"/>
  <c r="L503" i="11" s="1"/>
  <c r="I502" i="11"/>
  <c r="L502" i="11" s="1"/>
  <c r="I501" i="11"/>
  <c r="L501" i="11" s="1"/>
  <c r="I500" i="11"/>
  <c r="L500" i="11" s="1"/>
  <c r="I499" i="11"/>
  <c r="L499" i="11" s="1"/>
  <c r="I498" i="11"/>
  <c r="L498" i="11" s="1"/>
  <c r="I497" i="11"/>
  <c r="L497" i="11" s="1"/>
  <c r="I496" i="11"/>
  <c r="L496" i="11" s="1"/>
  <c r="I495" i="11"/>
  <c r="L495" i="11" s="1"/>
  <c r="I494" i="11"/>
  <c r="L494" i="11" s="1"/>
  <c r="I493" i="11"/>
  <c r="L493" i="11" s="1"/>
  <c r="I492" i="11"/>
  <c r="L492" i="11" s="1"/>
  <c r="I491" i="11"/>
  <c r="L491" i="11" s="1"/>
  <c r="I490" i="11"/>
  <c r="L490" i="11" s="1"/>
  <c r="I489" i="11"/>
  <c r="L489" i="11" s="1"/>
  <c r="I488" i="11"/>
  <c r="L488" i="11" s="1"/>
  <c r="I487" i="11"/>
  <c r="L487" i="11" s="1"/>
  <c r="I486" i="11"/>
  <c r="L486" i="11" s="1"/>
  <c r="I485" i="11"/>
  <c r="L485" i="11" s="1"/>
  <c r="I484" i="11"/>
  <c r="L484" i="11" s="1"/>
  <c r="I483" i="11"/>
  <c r="L483" i="11" s="1"/>
  <c r="I482" i="11"/>
  <c r="L482" i="11" s="1"/>
  <c r="I481" i="11"/>
  <c r="L481" i="11" s="1"/>
  <c r="I480" i="11"/>
  <c r="L480" i="11" s="1"/>
  <c r="I479" i="11"/>
  <c r="L479" i="11" s="1"/>
  <c r="I478" i="11"/>
  <c r="L478" i="11" s="1"/>
  <c r="I477" i="11"/>
  <c r="L477" i="11" s="1"/>
  <c r="I476" i="11"/>
  <c r="L476" i="11" s="1"/>
  <c r="I475" i="11"/>
  <c r="L475" i="11" s="1"/>
  <c r="I474" i="11"/>
  <c r="L474" i="11" s="1"/>
  <c r="I473" i="11"/>
  <c r="L473" i="11" s="1"/>
  <c r="I472" i="11"/>
  <c r="L472" i="11" s="1"/>
  <c r="I471" i="11"/>
  <c r="L471" i="11" s="1"/>
  <c r="I470" i="11"/>
  <c r="L470" i="11" s="1"/>
  <c r="I469" i="11"/>
  <c r="L469" i="11" s="1"/>
  <c r="I468" i="11"/>
  <c r="L468" i="11" s="1"/>
  <c r="I467" i="11"/>
  <c r="L467" i="11" s="1"/>
  <c r="I466" i="11"/>
  <c r="L466" i="11" s="1"/>
  <c r="I465" i="11"/>
  <c r="L465" i="11" s="1"/>
  <c r="I464" i="11"/>
  <c r="L464" i="11" s="1"/>
  <c r="I463" i="11"/>
  <c r="L463" i="11" s="1"/>
  <c r="I462" i="11"/>
  <c r="L462" i="11" s="1"/>
  <c r="I461" i="11"/>
  <c r="L461" i="11" s="1"/>
  <c r="I460" i="11"/>
  <c r="L460" i="11" s="1"/>
  <c r="I459" i="11"/>
  <c r="L459" i="11" s="1"/>
  <c r="I458" i="11"/>
  <c r="L458" i="11" s="1"/>
  <c r="I457" i="11"/>
  <c r="L457" i="11" s="1"/>
  <c r="I456" i="11"/>
  <c r="L456" i="11" s="1"/>
  <c r="I455" i="11"/>
  <c r="L455" i="11" s="1"/>
  <c r="I454" i="11"/>
  <c r="L454" i="11" s="1"/>
  <c r="I453" i="11"/>
  <c r="L453" i="11" s="1"/>
  <c r="I452" i="11"/>
  <c r="L452" i="11" s="1"/>
  <c r="I451" i="11"/>
  <c r="L451" i="11" s="1"/>
  <c r="I450" i="11"/>
  <c r="L450" i="11" s="1"/>
  <c r="I449" i="11"/>
  <c r="L449" i="11" s="1"/>
  <c r="I448" i="11"/>
  <c r="L448" i="11" s="1"/>
  <c r="I447" i="11"/>
  <c r="L447" i="11" s="1"/>
  <c r="I446" i="11"/>
  <c r="L446" i="11" s="1"/>
  <c r="I445" i="11"/>
  <c r="L445" i="11" s="1"/>
  <c r="I444" i="11"/>
  <c r="L444" i="11" s="1"/>
  <c r="I443" i="11"/>
  <c r="L443" i="11" s="1"/>
  <c r="I442" i="11"/>
  <c r="L442" i="11" s="1"/>
  <c r="I441" i="11"/>
  <c r="L441" i="11" s="1"/>
  <c r="I440" i="11"/>
  <c r="L440" i="11" s="1"/>
  <c r="I439" i="11"/>
  <c r="L439" i="11" s="1"/>
  <c r="I438" i="11"/>
  <c r="L438" i="11" s="1"/>
  <c r="I437" i="11"/>
  <c r="L437" i="11" s="1"/>
  <c r="I436" i="11"/>
  <c r="L436" i="11" s="1"/>
  <c r="N427" i="11"/>
  <c r="P427" i="11" s="1"/>
  <c r="P426" i="11"/>
  <c r="I426" i="11"/>
  <c r="L426" i="11" s="1"/>
  <c r="I425" i="11"/>
  <c r="L425" i="11" s="1"/>
  <c r="I424" i="11"/>
  <c r="L424" i="11" s="1"/>
  <c r="I423" i="11"/>
  <c r="L423" i="11" s="1"/>
  <c r="I422" i="11"/>
  <c r="L422" i="11" s="1"/>
  <c r="I421" i="11"/>
  <c r="L421" i="11" s="1"/>
  <c r="I420" i="11"/>
  <c r="L420" i="11" s="1"/>
  <c r="I419" i="11"/>
  <c r="L419" i="11" s="1"/>
  <c r="I418" i="11"/>
  <c r="L418" i="11" s="1"/>
  <c r="I417" i="11"/>
  <c r="L417" i="11" s="1"/>
  <c r="I416" i="11"/>
  <c r="L416" i="11" s="1"/>
  <c r="I415" i="11"/>
  <c r="L415" i="11" s="1"/>
  <c r="I414" i="11"/>
  <c r="L414" i="11" s="1"/>
  <c r="I413" i="11"/>
  <c r="L413" i="11" s="1"/>
  <c r="I412" i="11"/>
  <c r="L412" i="11" s="1"/>
  <c r="I411" i="11"/>
  <c r="L411" i="11" s="1"/>
  <c r="I410" i="11"/>
  <c r="L410" i="11" s="1"/>
  <c r="I409" i="11"/>
  <c r="L409" i="11" s="1"/>
  <c r="I408" i="11"/>
  <c r="L408" i="11" s="1"/>
  <c r="I407" i="11"/>
  <c r="L407" i="11" s="1"/>
  <c r="I406" i="11"/>
  <c r="L406" i="11" s="1"/>
  <c r="I405" i="11"/>
  <c r="L405" i="11" s="1"/>
  <c r="I404" i="11"/>
  <c r="L404" i="11" s="1"/>
  <c r="I403" i="11"/>
  <c r="L403" i="11" s="1"/>
  <c r="I402" i="11"/>
  <c r="L402" i="11" s="1"/>
  <c r="I401" i="11"/>
  <c r="L401" i="11" s="1"/>
  <c r="I400" i="11"/>
  <c r="L400" i="11" s="1"/>
  <c r="I399" i="11"/>
  <c r="L399" i="11" s="1"/>
  <c r="I398" i="11"/>
  <c r="L398" i="11" s="1"/>
  <c r="I397" i="11"/>
  <c r="L397" i="11" s="1"/>
  <c r="I396" i="11"/>
  <c r="L396" i="11" s="1"/>
  <c r="I395" i="11"/>
  <c r="L395" i="11" s="1"/>
  <c r="I394" i="11"/>
  <c r="L394" i="11" s="1"/>
  <c r="I393" i="11"/>
  <c r="L393" i="11" s="1"/>
  <c r="I392" i="11"/>
  <c r="L392" i="11" s="1"/>
  <c r="I391" i="11"/>
  <c r="L391" i="11" s="1"/>
  <c r="I390" i="11"/>
  <c r="L390" i="11" s="1"/>
  <c r="I389" i="11"/>
  <c r="L389" i="11" s="1"/>
  <c r="I388" i="11"/>
  <c r="L388" i="11" s="1"/>
  <c r="I387" i="11"/>
  <c r="L387" i="11" s="1"/>
  <c r="I386" i="11"/>
  <c r="L386" i="11" s="1"/>
  <c r="I385" i="11"/>
  <c r="L385" i="11" s="1"/>
  <c r="I384" i="11"/>
  <c r="L384" i="11" s="1"/>
  <c r="I383" i="11"/>
  <c r="L383" i="11" s="1"/>
  <c r="N382" i="11"/>
  <c r="P382" i="11" s="1"/>
  <c r="I382" i="11"/>
  <c r="L382" i="11" s="1"/>
  <c r="I381" i="11"/>
  <c r="L381" i="11" s="1"/>
  <c r="I380" i="11"/>
  <c r="L380" i="11" s="1"/>
  <c r="I379" i="11"/>
  <c r="L379" i="11" s="1"/>
  <c r="I378" i="11"/>
  <c r="L378" i="11" s="1"/>
  <c r="I377" i="11"/>
  <c r="L377" i="11" s="1"/>
  <c r="I376" i="11"/>
  <c r="L376" i="11" s="1"/>
  <c r="I375" i="11"/>
  <c r="L375" i="11" s="1"/>
  <c r="I374" i="11"/>
  <c r="L374" i="11" s="1"/>
  <c r="I373" i="11"/>
  <c r="L373" i="11" s="1"/>
  <c r="I372" i="11"/>
  <c r="L372" i="11" s="1"/>
  <c r="I371" i="11"/>
  <c r="L371" i="11" s="1"/>
  <c r="I370" i="11"/>
  <c r="L370" i="11" s="1"/>
  <c r="I369" i="11"/>
  <c r="L369" i="11" s="1"/>
  <c r="I368" i="11"/>
  <c r="L368" i="11" s="1"/>
  <c r="I367" i="11"/>
  <c r="L367" i="11" s="1"/>
  <c r="I366" i="11"/>
  <c r="L366" i="11" s="1"/>
  <c r="I365" i="11"/>
  <c r="L365" i="11" s="1"/>
  <c r="I364" i="11"/>
  <c r="L364" i="11" s="1"/>
  <c r="I363" i="11"/>
  <c r="L363" i="11" s="1"/>
  <c r="I362" i="11"/>
  <c r="L362" i="11" s="1"/>
  <c r="I361" i="11"/>
  <c r="L361" i="11" s="1"/>
  <c r="I360" i="11"/>
  <c r="L360" i="11" s="1"/>
  <c r="I359" i="11"/>
  <c r="L359" i="11" s="1"/>
  <c r="I358" i="11"/>
  <c r="L358" i="11" s="1"/>
  <c r="I357" i="11"/>
  <c r="L357" i="11" s="1"/>
  <c r="I356" i="11"/>
  <c r="L356" i="11" s="1"/>
  <c r="I355" i="11"/>
  <c r="L355" i="11" s="1"/>
  <c r="I354" i="11"/>
  <c r="L354" i="11" s="1"/>
  <c r="I353" i="11"/>
  <c r="L353" i="11" s="1"/>
  <c r="I352" i="11"/>
  <c r="L352" i="11" s="1"/>
  <c r="I351" i="11"/>
  <c r="L351" i="11" s="1"/>
  <c r="I350" i="11"/>
  <c r="L350" i="11" s="1"/>
  <c r="I349" i="11"/>
  <c r="L349" i="11" s="1"/>
  <c r="I348" i="11"/>
  <c r="L348" i="11" s="1"/>
  <c r="I347" i="11"/>
  <c r="L347" i="11" s="1"/>
  <c r="I346" i="11"/>
  <c r="L346" i="11" s="1"/>
  <c r="I345" i="11"/>
  <c r="L345" i="11" s="1"/>
  <c r="I344" i="11"/>
  <c r="L344" i="11" s="1"/>
  <c r="I343" i="11"/>
  <c r="L343" i="11" s="1"/>
  <c r="I342" i="11"/>
  <c r="L342" i="11" s="1"/>
  <c r="I341" i="11"/>
  <c r="L341" i="11" s="1"/>
  <c r="I340" i="11"/>
  <c r="L340" i="11" s="1"/>
  <c r="I339" i="11"/>
  <c r="L339" i="11" s="1"/>
  <c r="I338" i="11"/>
  <c r="L338" i="11" s="1"/>
  <c r="I337" i="11"/>
  <c r="L337" i="11" s="1"/>
  <c r="I336" i="11"/>
  <c r="L336" i="11" s="1"/>
  <c r="I335" i="11"/>
  <c r="L335" i="11" s="1"/>
  <c r="I334" i="11"/>
  <c r="L334" i="11" s="1"/>
  <c r="I333" i="11"/>
  <c r="L333" i="11" s="1"/>
  <c r="I332" i="11"/>
  <c r="L332" i="11" s="1"/>
  <c r="I331" i="11"/>
  <c r="L331" i="11" s="1"/>
  <c r="I330" i="11"/>
  <c r="L330" i="11" s="1"/>
  <c r="I329" i="11"/>
  <c r="L329" i="11" s="1"/>
  <c r="I328" i="11"/>
  <c r="L328" i="11" s="1"/>
  <c r="I327" i="11"/>
  <c r="L327" i="11" s="1"/>
  <c r="I326" i="11"/>
  <c r="L326" i="11" s="1"/>
  <c r="I325" i="11"/>
  <c r="L325" i="11" s="1"/>
  <c r="I324" i="11"/>
  <c r="L324" i="11" s="1"/>
  <c r="I323" i="11"/>
  <c r="L323" i="11" s="1"/>
  <c r="I322" i="11"/>
  <c r="L322" i="11" s="1"/>
  <c r="I321" i="11"/>
  <c r="L321" i="11" s="1"/>
  <c r="N316" i="11"/>
  <c r="P316" i="11" s="1"/>
  <c r="P315" i="11"/>
  <c r="I315" i="11"/>
  <c r="L315" i="11" s="1"/>
  <c r="I314" i="11"/>
  <c r="L314" i="11" s="1"/>
  <c r="I313" i="11"/>
  <c r="L313" i="11" s="1"/>
  <c r="I312" i="11"/>
  <c r="L312" i="11" s="1"/>
  <c r="I311" i="11"/>
  <c r="L311" i="11" s="1"/>
  <c r="I310" i="11"/>
  <c r="L310" i="11" s="1"/>
  <c r="I309" i="11"/>
  <c r="L309" i="11" s="1"/>
  <c r="I308" i="11"/>
  <c r="L308" i="11" s="1"/>
  <c r="I307" i="11"/>
  <c r="L307" i="11" s="1"/>
  <c r="I306" i="11"/>
  <c r="L306" i="11" s="1"/>
  <c r="I305" i="11"/>
  <c r="L305" i="11" s="1"/>
  <c r="I304" i="11"/>
  <c r="L304" i="11" s="1"/>
  <c r="I303" i="11"/>
  <c r="L303" i="11" s="1"/>
  <c r="I302" i="11"/>
  <c r="L302" i="11" s="1"/>
  <c r="I301" i="11"/>
  <c r="L301" i="11" s="1"/>
  <c r="I300" i="11"/>
  <c r="L300" i="11" s="1"/>
  <c r="I299" i="11"/>
  <c r="L299" i="11" s="1"/>
  <c r="I298" i="11"/>
  <c r="L298" i="11" s="1"/>
  <c r="I297" i="11"/>
  <c r="L297" i="11" s="1"/>
  <c r="I296" i="11"/>
  <c r="L296" i="11" s="1"/>
  <c r="I295" i="11"/>
  <c r="L295" i="11" s="1"/>
  <c r="I294" i="11"/>
  <c r="L294" i="11" s="1"/>
  <c r="I293" i="11"/>
  <c r="L293" i="11" s="1"/>
  <c r="I292" i="11"/>
  <c r="L292" i="11" s="1"/>
  <c r="I291" i="11"/>
  <c r="L291" i="11" s="1"/>
  <c r="I290" i="11"/>
  <c r="L290" i="11" s="1"/>
  <c r="I289" i="11"/>
  <c r="L289" i="11" s="1"/>
  <c r="I288" i="11"/>
  <c r="L288" i="11" s="1"/>
  <c r="I287" i="11"/>
  <c r="L287" i="11" s="1"/>
  <c r="I286" i="11"/>
  <c r="L286" i="11" s="1"/>
  <c r="I285" i="11"/>
  <c r="L285" i="11" s="1"/>
  <c r="I284" i="11"/>
  <c r="L284" i="11" s="1"/>
  <c r="I283" i="11"/>
  <c r="L283" i="11" s="1"/>
  <c r="I282" i="11"/>
  <c r="L282" i="11" s="1"/>
  <c r="I281" i="11"/>
  <c r="L281" i="11" s="1"/>
  <c r="N280" i="11"/>
  <c r="P280" i="11" s="1"/>
  <c r="I280" i="11"/>
  <c r="L280" i="11" s="1"/>
  <c r="I279" i="11"/>
  <c r="L279" i="11" s="1"/>
  <c r="I278" i="11"/>
  <c r="L278" i="11" s="1"/>
  <c r="N277" i="11"/>
  <c r="P277" i="11" s="1"/>
  <c r="I277" i="11"/>
  <c r="L277" i="11" s="1"/>
  <c r="I276" i="11"/>
  <c r="L276" i="11" s="1"/>
  <c r="I275" i="11"/>
  <c r="L275" i="11" s="1"/>
  <c r="I274" i="11"/>
  <c r="L274" i="11" s="1"/>
  <c r="I273" i="11"/>
  <c r="L273" i="11" s="1"/>
  <c r="I272" i="11"/>
  <c r="L272" i="11" s="1"/>
  <c r="I271" i="11"/>
  <c r="L271" i="11" s="1"/>
  <c r="I270" i="11"/>
  <c r="L270" i="11" s="1"/>
  <c r="I269" i="11"/>
  <c r="L269" i="11" s="1"/>
  <c r="I268" i="11"/>
  <c r="L268" i="11" s="1"/>
  <c r="I267" i="11"/>
  <c r="L267" i="11" s="1"/>
  <c r="I266" i="11"/>
  <c r="L266" i="11" s="1"/>
  <c r="I265" i="11"/>
  <c r="L265" i="11" s="1"/>
  <c r="I264" i="11"/>
  <c r="L264" i="11" s="1"/>
  <c r="I263" i="11"/>
  <c r="L263" i="11" s="1"/>
  <c r="I262" i="11"/>
  <c r="L262" i="11" s="1"/>
  <c r="I261" i="11"/>
  <c r="L261" i="11" s="1"/>
  <c r="I260" i="11"/>
  <c r="L260" i="11" s="1"/>
  <c r="I259" i="11"/>
  <c r="L259" i="11" s="1"/>
  <c r="I258" i="11"/>
  <c r="L258" i="11" s="1"/>
  <c r="I257" i="11"/>
  <c r="L257" i="11" s="1"/>
  <c r="I256" i="11"/>
  <c r="L256" i="11" s="1"/>
  <c r="I255" i="11"/>
  <c r="L255" i="11" s="1"/>
  <c r="I254" i="11"/>
  <c r="L254" i="11" s="1"/>
  <c r="I253" i="11"/>
  <c r="L253" i="11" s="1"/>
  <c r="I252" i="11"/>
  <c r="L252" i="11" s="1"/>
  <c r="I251" i="11"/>
  <c r="L251" i="11" s="1"/>
  <c r="I250" i="11"/>
  <c r="L250" i="11" s="1"/>
  <c r="I249" i="11"/>
  <c r="L249" i="11" s="1"/>
  <c r="I248" i="11"/>
  <c r="L248" i="11" s="1"/>
  <c r="I247" i="11"/>
  <c r="L247" i="11" s="1"/>
  <c r="I246" i="11"/>
  <c r="L246" i="11" s="1"/>
  <c r="I245" i="11"/>
  <c r="L245" i="11" s="1"/>
  <c r="I244" i="11"/>
  <c r="L244" i="11" s="1"/>
  <c r="I243" i="11"/>
  <c r="L243" i="11" s="1"/>
  <c r="I242" i="11"/>
  <c r="L242" i="11" s="1"/>
  <c r="I241" i="11"/>
  <c r="L241" i="11" s="1"/>
  <c r="I240" i="11"/>
  <c r="L240" i="11" s="1"/>
  <c r="I239" i="11"/>
  <c r="L239" i="11" s="1"/>
  <c r="I238" i="11"/>
  <c r="L238" i="11" s="1"/>
  <c r="I237" i="11"/>
  <c r="L237" i="11" s="1"/>
  <c r="I236" i="11"/>
  <c r="L236" i="11" s="1"/>
  <c r="I235" i="11"/>
  <c r="L235" i="11" s="1"/>
  <c r="I234" i="11"/>
  <c r="L234" i="11" s="1"/>
  <c r="N225" i="11"/>
  <c r="N226" i="11" s="1"/>
  <c r="P224" i="11"/>
  <c r="I224" i="11"/>
  <c r="L224" i="11" s="1"/>
  <c r="I223" i="11"/>
  <c r="L223" i="11" s="1"/>
  <c r="N218" i="11"/>
  <c r="N219" i="11" s="1"/>
  <c r="N220" i="11" s="1"/>
  <c r="N221" i="11" s="1"/>
  <c r="N222" i="11" s="1"/>
  <c r="P222" i="11" s="1"/>
  <c r="P217" i="11"/>
  <c r="I217" i="11"/>
  <c r="L217" i="11" s="1"/>
  <c r="I216" i="11"/>
  <c r="L216" i="11" s="1"/>
  <c r="I215" i="11"/>
  <c r="L215" i="11" s="1"/>
  <c r="I214" i="11"/>
  <c r="L214" i="11" s="1"/>
  <c r="I213" i="11"/>
  <c r="L213" i="11" s="1"/>
  <c r="I212" i="11"/>
  <c r="L212" i="11" s="1"/>
  <c r="I211" i="11"/>
  <c r="L211" i="11" s="1"/>
  <c r="I210" i="11"/>
  <c r="L210" i="11" s="1"/>
  <c r="I209" i="11"/>
  <c r="L209" i="11" s="1"/>
  <c r="I208" i="11"/>
  <c r="L208" i="11" s="1"/>
  <c r="I207" i="11"/>
  <c r="L207" i="11" s="1"/>
  <c r="I206" i="11"/>
  <c r="L206" i="11" s="1"/>
  <c r="I205" i="11"/>
  <c r="L205" i="11" s="1"/>
  <c r="I204" i="11"/>
  <c r="L204" i="11" s="1"/>
  <c r="I203" i="11"/>
  <c r="L203" i="11" s="1"/>
  <c r="I202" i="11"/>
  <c r="L202" i="11" s="1"/>
  <c r="I201" i="11"/>
  <c r="L201" i="11" s="1"/>
  <c r="I200" i="11"/>
  <c r="L200" i="11" s="1"/>
  <c r="I199" i="11"/>
  <c r="L199" i="11" s="1"/>
  <c r="I198" i="11"/>
  <c r="L198" i="11" s="1"/>
  <c r="I197" i="11"/>
  <c r="L197" i="11" s="1"/>
  <c r="I196" i="11"/>
  <c r="L196" i="11" s="1"/>
  <c r="I195" i="11"/>
  <c r="L195" i="11" s="1"/>
  <c r="I194" i="11"/>
  <c r="L194" i="11" s="1"/>
  <c r="I193" i="11"/>
  <c r="L193" i="11" s="1"/>
  <c r="I192" i="11"/>
  <c r="L192" i="11" s="1"/>
  <c r="I191" i="11"/>
  <c r="L191" i="11" s="1"/>
  <c r="I190" i="11"/>
  <c r="L190" i="11" s="1"/>
  <c r="I189" i="11"/>
  <c r="L189" i="11" s="1"/>
  <c r="I188" i="11"/>
  <c r="L188" i="11" s="1"/>
  <c r="I187" i="11"/>
  <c r="L187" i="11" s="1"/>
  <c r="I186" i="11"/>
  <c r="L186" i="11" s="1"/>
  <c r="I185" i="11"/>
  <c r="L185" i="11" s="1"/>
  <c r="I184" i="11"/>
  <c r="L184" i="11" s="1"/>
  <c r="I183" i="11"/>
  <c r="L183" i="11" s="1"/>
  <c r="I182" i="11"/>
  <c r="L182" i="11" s="1"/>
  <c r="I181" i="11"/>
  <c r="L181" i="11" s="1"/>
  <c r="I180" i="11"/>
  <c r="L180" i="11" s="1"/>
  <c r="I179" i="11"/>
  <c r="L179" i="11" s="1"/>
  <c r="I178" i="11"/>
  <c r="L178" i="11" s="1"/>
  <c r="I177" i="11"/>
  <c r="L177" i="11" s="1"/>
  <c r="I176" i="11"/>
  <c r="L176" i="11" s="1"/>
  <c r="I175" i="11"/>
  <c r="L175" i="11" s="1"/>
  <c r="I174" i="11"/>
  <c r="L174" i="11" s="1"/>
  <c r="I173" i="11"/>
  <c r="L173" i="11" s="1"/>
  <c r="I172" i="11"/>
  <c r="L172" i="11" s="1"/>
  <c r="I171" i="11"/>
  <c r="L171" i="11" s="1"/>
  <c r="I170" i="11"/>
  <c r="L170" i="11" s="1"/>
  <c r="I169" i="11"/>
  <c r="L169" i="11" s="1"/>
  <c r="I168" i="11"/>
  <c r="L168" i="11" s="1"/>
  <c r="I167" i="11"/>
  <c r="L167" i="11" s="1"/>
  <c r="I166" i="11"/>
  <c r="L166" i="11" s="1"/>
  <c r="I165" i="11"/>
  <c r="L165" i="11" s="1"/>
  <c r="I164" i="11"/>
  <c r="L164" i="11" s="1"/>
  <c r="I163" i="11"/>
  <c r="L163" i="11" s="1"/>
  <c r="I162" i="11"/>
  <c r="L162" i="11" s="1"/>
  <c r="I161" i="11"/>
  <c r="L161" i="11" s="1"/>
  <c r="I160" i="11"/>
  <c r="L160" i="11" s="1"/>
  <c r="I159" i="11"/>
  <c r="L159" i="11" s="1"/>
  <c r="I158" i="11"/>
  <c r="L158" i="11" s="1"/>
  <c r="I157" i="11"/>
  <c r="L157" i="11" s="1"/>
  <c r="I156" i="11"/>
  <c r="L156" i="11" s="1"/>
  <c r="I155" i="11"/>
  <c r="L155" i="11" s="1"/>
  <c r="I154" i="11"/>
  <c r="L154" i="11" s="1"/>
  <c r="I153" i="11"/>
  <c r="L153" i="11" s="1"/>
  <c r="I152" i="11"/>
  <c r="L152" i="11" s="1"/>
  <c r="I151" i="11"/>
  <c r="L151" i="11" s="1"/>
  <c r="I150" i="11"/>
  <c r="L150" i="11" s="1"/>
  <c r="I149" i="11"/>
  <c r="L149" i="11" s="1"/>
  <c r="I148" i="11"/>
  <c r="L148" i="11" s="1"/>
  <c r="I147" i="11"/>
  <c r="L147" i="11" s="1"/>
  <c r="I146" i="11"/>
  <c r="L146" i="11" s="1"/>
  <c r="I145" i="11"/>
  <c r="L145" i="11" s="1"/>
  <c r="I144" i="11"/>
  <c r="L144" i="11" s="1"/>
  <c r="I143" i="11"/>
  <c r="L143" i="11" s="1"/>
  <c r="I142" i="11"/>
  <c r="L142" i="11" s="1"/>
  <c r="N133" i="11"/>
  <c r="P133" i="11" s="1"/>
  <c r="P132" i="11"/>
  <c r="I132" i="11"/>
  <c r="L132" i="11" s="1"/>
  <c r="I131" i="11"/>
  <c r="L131" i="11" s="1"/>
  <c r="N122" i="11"/>
  <c r="P122" i="11" s="1"/>
  <c r="P121" i="11"/>
  <c r="I121" i="11"/>
  <c r="L121" i="11" s="1"/>
  <c r="I120" i="11"/>
  <c r="L120" i="11" s="1"/>
  <c r="I119" i="11"/>
  <c r="L119" i="11" s="1"/>
  <c r="I118" i="11"/>
  <c r="L118" i="11" s="1"/>
  <c r="I117" i="11"/>
  <c r="L117" i="11" s="1"/>
  <c r="I116" i="11"/>
  <c r="L116" i="11" s="1"/>
  <c r="I115" i="11"/>
  <c r="L115" i="11" s="1"/>
  <c r="I114" i="11"/>
  <c r="L114" i="11" s="1"/>
  <c r="I113" i="11"/>
  <c r="L113" i="11" s="1"/>
  <c r="I112" i="11"/>
  <c r="L112" i="11" s="1"/>
  <c r="I111" i="11"/>
  <c r="L111" i="11" s="1"/>
  <c r="I110" i="11"/>
  <c r="L110" i="11" s="1"/>
  <c r="I109" i="11"/>
  <c r="L109" i="11" s="1"/>
  <c r="I108" i="11"/>
  <c r="L108" i="11" s="1"/>
  <c r="I107" i="11"/>
  <c r="L107" i="11" s="1"/>
  <c r="I106" i="11"/>
  <c r="L106" i="11" s="1"/>
  <c r="I105" i="11"/>
  <c r="L105" i="11" s="1"/>
  <c r="I104" i="11"/>
  <c r="L104" i="11" s="1"/>
  <c r="I103" i="11"/>
  <c r="L103" i="11" s="1"/>
  <c r="I102" i="11"/>
  <c r="L102" i="11" s="1"/>
  <c r="I101" i="11"/>
  <c r="L101" i="11" s="1"/>
  <c r="I100" i="11"/>
  <c r="L100" i="11" s="1"/>
  <c r="I99" i="11"/>
  <c r="L99" i="11" s="1"/>
  <c r="I98" i="11"/>
  <c r="L98" i="11" s="1"/>
  <c r="I97" i="11"/>
  <c r="L97" i="11" s="1"/>
  <c r="I96" i="11"/>
  <c r="L96" i="11" s="1"/>
  <c r="I95" i="11"/>
  <c r="L95" i="11" s="1"/>
  <c r="I94" i="11"/>
  <c r="L94" i="11" s="1"/>
  <c r="I93" i="11"/>
  <c r="L93" i="11" s="1"/>
  <c r="I92" i="11"/>
  <c r="L92" i="11" s="1"/>
  <c r="I91" i="11"/>
  <c r="L91" i="11" s="1"/>
  <c r="I90" i="11"/>
  <c r="L90" i="11" s="1"/>
  <c r="I89" i="11"/>
  <c r="L89" i="11" s="1"/>
  <c r="I88" i="11"/>
  <c r="L88" i="11" s="1"/>
  <c r="I87" i="11"/>
  <c r="L87" i="11" s="1"/>
  <c r="I86" i="11"/>
  <c r="L86" i="11" s="1"/>
  <c r="I85" i="11"/>
  <c r="L85" i="11" s="1"/>
  <c r="I84" i="11"/>
  <c r="L84" i="11" s="1"/>
  <c r="I83" i="11"/>
  <c r="L83" i="11" s="1"/>
  <c r="I82" i="11"/>
  <c r="L82" i="11" s="1"/>
  <c r="I81" i="11"/>
  <c r="L81" i="11" s="1"/>
  <c r="I80" i="11"/>
  <c r="L80" i="11" s="1"/>
  <c r="I79" i="11"/>
  <c r="L79" i="11" s="1"/>
  <c r="I78" i="11"/>
  <c r="L78" i="11" s="1"/>
  <c r="I77" i="11"/>
  <c r="L77" i="11" s="1"/>
  <c r="I76" i="11"/>
  <c r="L76" i="11" s="1"/>
  <c r="I75" i="11"/>
  <c r="L75" i="11" s="1"/>
  <c r="I74" i="11"/>
  <c r="L74" i="11" s="1"/>
  <c r="I73" i="11"/>
  <c r="L73" i="11" s="1"/>
  <c r="I72" i="11"/>
  <c r="L72" i="11" s="1"/>
  <c r="I71" i="11"/>
  <c r="L71" i="11" s="1"/>
  <c r="I70" i="11"/>
  <c r="L70" i="11" s="1"/>
  <c r="I69" i="11"/>
  <c r="L69" i="11" s="1"/>
  <c r="I68" i="11"/>
  <c r="L68" i="11" s="1"/>
  <c r="I67" i="11"/>
  <c r="L67" i="11" s="1"/>
  <c r="I66" i="11"/>
  <c r="L66" i="11" s="1"/>
  <c r="I65" i="11"/>
  <c r="L65" i="11" s="1"/>
  <c r="I64" i="11"/>
  <c r="L64" i="11" s="1"/>
  <c r="I63" i="11"/>
  <c r="L63" i="11" s="1"/>
  <c r="I62" i="11"/>
  <c r="L62" i="11" s="1"/>
  <c r="I61" i="11"/>
  <c r="L61" i="11" s="1"/>
  <c r="I60" i="11"/>
  <c r="L60" i="11" s="1"/>
  <c r="I59" i="11"/>
  <c r="L59" i="11" s="1"/>
  <c r="I58" i="11"/>
  <c r="L58" i="11" s="1"/>
  <c r="I57" i="11"/>
  <c r="L57" i="11" s="1"/>
  <c r="I56" i="11"/>
  <c r="L56" i="11" s="1"/>
  <c r="I55" i="11"/>
  <c r="L55" i="11" s="1"/>
  <c r="I54" i="11"/>
  <c r="L54" i="11" s="1"/>
  <c r="I53" i="11"/>
  <c r="L53" i="11" s="1"/>
  <c r="I52" i="11"/>
  <c r="L52" i="11" s="1"/>
  <c r="I51" i="11"/>
  <c r="L51" i="11" s="1"/>
  <c r="I50" i="11"/>
  <c r="L50" i="11" s="1"/>
  <c r="I49" i="11"/>
  <c r="L49" i="11" s="1"/>
  <c r="I48" i="11"/>
  <c r="L48" i="11" s="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N25" i="11"/>
  <c r="P25" i="11" s="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AS84" i="24" l="1"/>
  <c r="AW11" i="24"/>
  <c r="AV104" i="24" s="1"/>
  <c r="AS69" i="24"/>
  <c r="BG11" i="24"/>
  <c r="BF104" i="24" s="1"/>
  <c r="AS12" i="24"/>
  <c r="C13" i="3"/>
  <c r="Q568" i="14"/>
  <c r="S794" i="12"/>
  <c r="AV89" i="24"/>
  <c r="O674" i="12"/>
  <c r="O678" i="12"/>
  <c r="O573" i="12"/>
  <c r="O577" i="12"/>
  <c r="O572" i="12"/>
  <c r="O478" i="12"/>
  <c r="O382" i="12"/>
  <c r="O386" i="12"/>
  <c r="O279" i="12"/>
  <c r="O283" i="12"/>
  <c r="O287" i="12"/>
  <c r="O276" i="12"/>
  <c r="O174" i="12"/>
  <c r="O178" i="12"/>
  <c r="O182" i="12"/>
  <c r="O170" i="12"/>
  <c r="O6" i="12"/>
  <c r="L12" i="11"/>
  <c r="L16" i="11"/>
  <c r="L20" i="11"/>
  <c r="L24" i="11"/>
  <c r="L44" i="11"/>
  <c r="O695" i="12"/>
  <c r="O675" i="12"/>
  <c r="O679" i="12"/>
  <c r="O574" i="12"/>
  <c r="O578" i="12"/>
  <c r="O551" i="12"/>
  <c r="O453" i="12"/>
  <c r="O383" i="12"/>
  <c r="O379" i="12"/>
  <c r="O280" i="12"/>
  <c r="O284" i="12"/>
  <c r="O288" i="12"/>
  <c r="O171" i="12"/>
  <c r="O175" i="12"/>
  <c r="O179" i="12"/>
  <c r="O183" i="12"/>
  <c r="O5" i="12"/>
  <c r="L9" i="11"/>
  <c r="L17" i="11"/>
  <c r="L25" i="11"/>
  <c r="L29" i="11"/>
  <c r="L33" i="11"/>
  <c r="L37" i="11"/>
  <c r="L41" i="11"/>
  <c r="L45" i="11"/>
  <c r="O676" i="12"/>
  <c r="O575" i="12"/>
  <c r="O480" i="12"/>
  <c r="O384" i="12"/>
  <c r="O281" i="12"/>
  <c r="O172" i="12"/>
  <c r="O180" i="12"/>
  <c r="O98" i="12"/>
  <c r="L26" i="11"/>
  <c r="L34" i="11"/>
  <c r="L42" i="11"/>
  <c r="O677" i="12"/>
  <c r="O576" i="12"/>
  <c r="O479" i="12"/>
  <c r="O385" i="12"/>
  <c r="O282" i="12"/>
  <c r="O173" i="12"/>
  <c r="O181" i="12"/>
  <c r="O7" i="12"/>
  <c r="L11" i="11"/>
  <c r="L19" i="11"/>
  <c r="L27" i="11"/>
  <c r="L35" i="11"/>
  <c r="L43" i="11"/>
  <c r="O673" i="12"/>
  <c r="O580" i="12"/>
  <c r="O278" i="12"/>
  <c r="O177" i="12"/>
  <c r="L7" i="11"/>
  <c r="L23" i="11"/>
  <c r="O671" i="12"/>
  <c r="O286" i="12"/>
  <c r="O185" i="12"/>
  <c r="O680" i="12"/>
  <c r="O380" i="12"/>
  <c r="O285" i="12"/>
  <c r="O184" i="12"/>
  <c r="L30" i="11"/>
  <c r="L46" i="11"/>
  <c r="L5" i="11"/>
  <c r="O381" i="12"/>
  <c r="L15" i="11"/>
  <c r="L38" i="11"/>
  <c r="O277" i="12"/>
  <c r="O672" i="12"/>
  <c r="O176" i="12"/>
  <c r="O579" i="12"/>
  <c r="AX25" i="24"/>
  <c r="AY12" i="24"/>
  <c r="AY84" i="24"/>
  <c r="AY69" i="24"/>
  <c r="AY11" i="24"/>
  <c r="AX104" i="24" s="1"/>
  <c r="L18" i="11"/>
  <c r="L28" i="11"/>
  <c r="P220" i="11"/>
  <c r="L13" i="11"/>
  <c r="L21" i="11"/>
  <c r="L31" i="11"/>
  <c r="L39" i="11"/>
  <c r="L47" i="11"/>
  <c r="P218" i="11"/>
  <c r="P225" i="11"/>
  <c r="P553" i="11"/>
  <c r="AV88" i="24"/>
  <c r="M11" i="24"/>
  <c r="L101" i="24" s="1"/>
  <c r="L36" i="11"/>
  <c r="O294" i="12"/>
  <c r="L22" i="11"/>
  <c r="L32" i="11"/>
  <c r="L40" i="11"/>
  <c r="P551" i="11"/>
  <c r="P557" i="11"/>
  <c r="O289" i="12"/>
  <c r="T107" i="24"/>
  <c r="T98" i="24"/>
  <c r="T95" i="24"/>
  <c r="T103" i="24"/>
  <c r="T101" i="24"/>
  <c r="T97" i="24"/>
  <c r="T96" i="24"/>
  <c r="T104" i="24"/>
  <c r="AB107" i="24"/>
  <c r="AT107" i="24" s="1"/>
  <c r="AB101" i="24"/>
  <c r="AB104" i="24"/>
  <c r="AB103" i="24"/>
  <c r="AT103" i="24" s="1"/>
  <c r="AT100" i="24" s="1"/>
  <c r="BB71" i="24"/>
  <c r="AJ107" i="24"/>
  <c r="BB107" i="24" s="1"/>
  <c r="AJ101" i="24"/>
  <c r="AJ103" i="24"/>
  <c r="BB103" i="24" s="1"/>
  <c r="BB100" i="24" s="1"/>
  <c r="BC100" i="24" s="1"/>
  <c r="AJ104" i="24"/>
  <c r="AZ70" i="24"/>
  <c r="BA71" i="24"/>
  <c r="AU84" i="24"/>
  <c r="AU69" i="24"/>
  <c r="AT25" i="24"/>
  <c r="AU11" i="24"/>
  <c r="AT104" i="24" s="1"/>
  <c r="AU12" i="24"/>
  <c r="BI11" i="24"/>
  <c r="BF77" i="24"/>
  <c r="BF71" i="24" s="1"/>
  <c r="BH76" i="24"/>
  <c r="BH77" i="24" s="1"/>
  <c r="BH71" i="24" s="1"/>
  <c r="AX71" i="24"/>
  <c r="AV74" i="24"/>
  <c r="AF101" i="24"/>
  <c r="AF103" i="24"/>
  <c r="AF104" i="24"/>
  <c r="AF107" i="24"/>
  <c r="L103" i="24"/>
  <c r="L96" i="24"/>
  <c r="L97" i="24"/>
  <c r="AX85" i="24"/>
  <c r="AY86" i="24"/>
  <c r="BC84" i="24"/>
  <c r="BC69" i="24"/>
  <c r="BB25" i="24"/>
  <c r="BC11" i="24"/>
  <c r="BB104" i="24" s="1"/>
  <c r="BC12" i="24"/>
  <c r="AZ26" i="24"/>
  <c r="BA29" i="24"/>
  <c r="AP101" i="24"/>
  <c r="AP104" i="24"/>
  <c r="AP103" i="24"/>
  <c r="AP107" i="24"/>
  <c r="AU71" i="24"/>
  <c r="AT70" i="24"/>
  <c r="AL107" i="24"/>
  <c r="BD107" i="24" s="1"/>
  <c r="AL101" i="24"/>
  <c r="AL104" i="24"/>
  <c r="AL103" i="24"/>
  <c r="BD103" i="24" s="1"/>
  <c r="BD100" i="24" s="1"/>
  <c r="BE100" i="24" s="1"/>
  <c r="K26" i="24"/>
  <c r="K84" i="24"/>
  <c r="Y11" i="24"/>
  <c r="K12" i="24"/>
  <c r="W11" i="24"/>
  <c r="Q11" i="24"/>
  <c r="S11" i="24"/>
  <c r="O11" i="24"/>
  <c r="K69" i="24"/>
  <c r="AF70" i="24"/>
  <c r="AG71" i="24"/>
  <c r="BD70" i="24"/>
  <c r="BE71" i="24"/>
  <c r="AV86" i="24"/>
  <c r="AR89" i="24"/>
  <c r="AR86" i="24" s="1"/>
  <c r="AH101" i="24"/>
  <c r="AH104" i="24"/>
  <c r="AH103" i="24"/>
  <c r="AZ103" i="24" s="1"/>
  <c r="AZ100" i="24" s="1"/>
  <c r="BA100" i="24" s="1"/>
  <c r="AH107" i="24"/>
  <c r="AZ107" i="24" s="1"/>
  <c r="Z25" i="24"/>
  <c r="AA26" i="24" s="1"/>
  <c r="AN101" i="24"/>
  <c r="AN103" i="24"/>
  <c r="BF103" i="24" s="1"/>
  <c r="BF100" i="24" s="1"/>
  <c r="BG100" i="24" s="1"/>
  <c r="AN107" i="24"/>
  <c r="BF107" i="24" s="1"/>
  <c r="AN104" i="24"/>
  <c r="BD25" i="24"/>
  <c r="BE11" i="24"/>
  <c r="BD104" i="24" s="1"/>
  <c r="BE84" i="24"/>
  <c r="BE12" i="24"/>
  <c r="BE69" i="24"/>
  <c r="BG86" i="24"/>
  <c r="BF85" i="24"/>
  <c r="Z74" i="24"/>
  <c r="AD71" i="24"/>
  <c r="AD73" i="24"/>
  <c r="O250" i="12"/>
  <c r="O72" i="12"/>
  <c r="O156" i="12"/>
  <c r="O84" i="12"/>
  <c r="L14" i="11"/>
  <c r="N134" i="11"/>
  <c r="P219" i="11"/>
  <c r="P221" i="11"/>
  <c r="P226" i="11"/>
  <c r="N227" i="11"/>
  <c r="N123" i="11"/>
  <c r="P540" i="11"/>
  <c r="N541" i="11"/>
  <c r="N428" i="11"/>
  <c r="P552" i="11"/>
  <c r="P556" i="11"/>
  <c r="N317" i="11"/>
  <c r="P555" i="11"/>
  <c r="P554" i="11"/>
  <c r="P558" i="11"/>
  <c r="N689" i="11"/>
  <c r="L856" i="11" l="1"/>
  <c r="L95" i="24"/>
  <c r="L98" i="24"/>
  <c r="L107" i="24"/>
  <c r="L104" i="24"/>
  <c r="AJ100" i="24"/>
  <c r="AK100" i="24" s="1"/>
  <c r="AV77" i="24"/>
  <c r="AR77" i="24" s="1"/>
  <c r="O548" i="12"/>
  <c r="AP100" i="24"/>
  <c r="AV25" i="24"/>
  <c r="AW26" i="24" s="1"/>
  <c r="T94" i="24"/>
  <c r="U94" i="24" s="1"/>
  <c r="O547" i="12"/>
  <c r="L94" i="24"/>
  <c r="L99" i="24" s="1"/>
  <c r="M99" i="24" s="1"/>
  <c r="L100" i="24"/>
  <c r="M100" i="24" s="1"/>
  <c r="N107" i="24"/>
  <c r="N97" i="24"/>
  <c r="N95" i="24"/>
  <c r="N98" i="24"/>
  <c r="N96" i="24"/>
  <c r="N104" i="24"/>
  <c r="AD104" i="24"/>
  <c r="AB100" i="24"/>
  <c r="AE71" i="24"/>
  <c r="AD70" i="24"/>
  <c r="R101" i="24"/>
  <c r="R96" i="24"/>
  <c r="R98" i="24"/>
  <c r="R103" i="24"/>
  <c r="R97" i="24"/>
  <c r="R95" i="24"/>
  <c r="R107" i="24"/>
  <c r="R104" i="24"/>
  <c r="X97" i="24"/>
  <c r="X101" i="24"/>
  <c r="X96" i="24"/>
  <c r="X95" i="24"/>
  <c r="X103" i="24"/>
  <c r="X98" i="24"/>
  <c r="X107" i="24"/>
  <c r="X104" i="24"/>
  <c r="AP105" i="24"/>
  <c r="AD103" i="24"/>
  <c r="AX103" i="24"/>
  <c r="BH70" i="24"/>
  <c r="BH105" i="24"/>
  <c r="BC71" i="24"/>
  <c r="BB70" i="24"/>
  <c r="BB105" i="24"/>
  <c r="AY71" i="24"/>
  <c r="AX70" i="24"/>
  <c r="T99" i="24"/>
  <c r="U99" i="24" s="1"/>
  <c r="AH100" i="24"/>
  <c r="P97" i="24"/>
  <c r="P101" i="24"/>
  <c r="P96" i="24"/>
  <c r="P98" i="24"/>
  <c r="P95" i="24"/>
  <c r="P103" i="24"/>
  <c r="P107" i="24"/>
  <c r="P104" i="24"/>
  <c r="AL100" i="24"/>
  <c r="AD101" i="24"/>
  <c r="Z101" i="24" s="1"/>
  <c r="Z100" i="24" s="1"/>
  <c r="AF100" i="24"/>
  <c r="BG71" i="24"/>
  <c r="BF70" i="24"/>
  <c r="BF105" i="24"/>
  <c r="AU100" i="24"/>
  <c r="AT105" i="24"/>
  <c r="T100" i="24"/>
  <c r="U100" i="24" s="1"/>
  <c r="AW86" i="24"/>
  <c r="AV85" i="24"/>
  <c r="AN100" i="24"/>
  <c r="AS86" i="24"/>
  <c r="AR85" i="24"/>
  <c r="V107" i="24"/>
  <c r="V103" i="24"/>
  <c r="V97" i="24"/>
  <c r="V96" i="24"/>
  <c r="V95" i="24"/>
  <c r="V101" i="24"/>
  <c r="V98" i="24"/>
  <c r="V104" i="24"/>
  <c r="AZ105" i="24"/>
  <c r="AX107" i="24"/>
  <c r="AD107" i="24"/>
  <c r="AV107" i="24" s="1"/>
  <c r="AR74" i="24"/>
  <c r="AR25" i="24"/>
  <c r="AS26" i="24" s="1"/>
  <c r="BD105" i="24"/>
  <c r="O48" i="12"/>
  <c r="O134" i="12"/>
  <c r="O147" i="12"/>
  <c r="O60" i="12"/>
  <c r="O142" i="12"/>
  <c r="O63" i="12"/>
  <c r="O141" i="12"/>
  <c r="O113" i="12"/>
  <c r="O127" i="12"/>
  <c r="O241" i="12"/>
  <c r="P689" i="11"/>
  <c r="N690" i="11"/>
  <c r="P428" i="11"/>
  <c r="N429" i="11"/>
  <c r="P134" i="11"/>
  <c r="N135" i="11"/>
  <c r="P541" i="11"/>
  <c r="N542" i="11"/>
  <c r="P123" i="11"/>
  <c r="N124" i="11"/>
  <c r="P227" i="11"/>
  <c r="N228" i="11"/>
  <c r="P317" i="11"/>
  <c r="N318" i="11"/>
  <c r="AJ105" i="24" l="1"/>
  <c r="AJ106" i="24" s="1"/>
  <c r="M94" i="24"/>
  <c r="AV71" i="24"/>
  <c r="AW71" i="24" s="1"/>
  <c r="V94" i="24"/>
  <c r="W94" i="24" s="1"/>
  <c r="L105" i="24"/>
  <c r="L108" i="24" s="1"/>
  <c r="X100" i="24"/>
  <c r="Y100" i="24" s="1"/>
  <c r="X94" i="24"/>
  <c r="X99" i="24" s="1"/>
  <c r="Y99" i="24" s="1"/>
  <c r="V100" i="24"/>
  <c r="W100" i="24" s="1"/>
  <c r="AT106" i="24"/>
  <c r="AT108" i="24"/>
  <c r="BF108" i="24"/>
  <c r="BF106" i="24"/>
  <c r="AD100" i="24"/>
  <c r="AV101" i="24"/>
  <c r="N101" i="24"/>
  <c r="P100" i="24"/>
  <c r="Q100" i="24" s="1"/>
  <c r="AV103" i="24"/>
  <c r="AX100" i="24"/>
  <c r="BD108" i="24"/>
  <c r="BD106" i="24"/>
  <c r="AM100" i="24"/>
  <c r="AL105" i="24"/>
  <c r="P94" i="24"/>
  <c r="R94" i="24"/>
  <c r="AG100" i="24"/>
  <c r="AF105" i="24"/>
  <c r="T105" i="24"/>
  <c r="BB106" i="24"/>
  <c r="BB108" i="24"/>
  <c r="AA100" i="24"/>
  <c r="Z105" i="24"/>
  <c r="AZ108" i="24"/>
  <c r="AZ106" i="24"/>
  <c r="AO100" i="24"/>
  <c r="AN105" i="24"/>
  <c r="N103" i="24"/>
  <c r="N94" i="24"/>
  <c r="AI100" i="24"/>
  <c r="AH105" i="24"/>
  <c r="BH108" i="24"/>
  <c r="BH106" i="24"/>
  <c r="AP108" i="24"/>
  <c r="AP106" i="24"/>
  <c r="R100" i="24"/>
  <c r="S100" i="24" s="1"/>
  <c r="AC100" i="24"/>
  <c r="AB105" i="24"/>
  <c r="O238" i="12"/>
  <c r="O99" i="12"/>
  <c r="O39" i="12"/>
  <c r="P429" i="11"/>
  <c r="N430" i="11"/>
  <c r="P318" i="11"/>
  <c r="N319" i="11"/>
  <c r="P542" i="11"/>
  <c r="N543" i="11"/>
  <c r="P124" i="11"/>
  <c r="N125" i="11"/>
  <c r="P135" i="11"/>
  <c r="N136" i="11"/>
  <c r="P690" i="11"/>
  <c r="N691" i="11"/>
  <c r="P228" i="11"/>
  <c r="N229" i="11"/>
  <c r="AJ108" i="24" l="1"/>
  <c r="L106" i="24"/>
  <c r="AV70" i="24"/>
  <c r="V99" i="24"/>
  <c r="W99" i="24" s="1"/>
  <c r="Y94" i="24"/>
  <c r="AZ116" i="24"/>
  <c r="AZ118" i="24" s="1"/>
  <c r="AZ120" i="24" s="1"/>
  <c r="AZ110" i="24"/>
  <c r="AB108" i="24"/>
  <c r="AB106" i="24"/>
  <c r="AN108" i="24"/>
  <c r="AN106" i="24"/>
  <c r="AL106" i="24"/>
  <c r="AL108" i="24"/>
  <c r="P99" i="24"/>
  <c r="Q99" i="24" s="1"/>
  <c r="Q94" i="24"/>
  <c r="L110" i="24"/>
  <c r="L116" i="24"/>
  <c r="L118" i="24" s="1"/>
  <c r="L120" i="24" s="1"/>
  <c r="L121" i="24" s="1"/>
  <c r="AJ116" i="24"/>
  <c r="AJ118" i="24" s="1"/>
  <c r="AJ120" i="24" s="1"/>
  <c r="AJ110" i="24"/>
  <c r="BB110" i="24"/>
  <c r="BB116" i="24"/>
  <c r="BB118" i="24" s="1"/>
  <c r="BB120" i="24" s="1"/>
  <c r="N100" i="24"/>
  <c r="O100" i="24" s="1"/>
  <c r="BF116" i="24"/>
  <c r="BF118" i="24" s="1"/>
  <c r="BF120" i="24" s="1"/>
  <c r="BF110" i="24"/>
  <c r="AP116" i="24"/>
  <c r="AP118" i="24" s="1"/>
  <c r="AP120" i="24" s="1"/>
  <c r="AP110" i="24"/>
  <c r="T108" i="24"/>
  <c r="T106" i="24"/>
  <c r="BD116" i="24"/>
  <c r="BD118" i="24" s="1"/>
  <c r="BD120" i="24" s="1"/>
  <c r="BD110" i="24"/>
  <c r="AE100" i="24"/>
  <c r="AD105" i="24"/>
  <c r="Z108" i="24"/>
  <c r="Z106" i="24"/>
  <c r="AF108" i="24"/>
  <c r="AF106" i="24"/>
  <c r="AY100" i="24"/>
  <c r="AX105" i="24"/>
  <c r="BH116" i="24"/>
  <c r="BH118" i="24" s="1"/>
  <c r="BH120" i="24" s="1"/>
  <c r="BH110" i="24"/>
  <c r="AH108" i="24"/>
  <c r="AH106" i="24"/>
  <c r="O94" i="24"/>
  <c r="N99" i="24"/>
  <c r="O99" i="24" s="1"/>
  <c r="X105" i="24"/>
  <c r="R99" i="24"/>
  <c r="S99" i="24" s="1"/>
  <c r="S94" i="24"/>
  <c r="AV100" i="24"/>
  <c r="AR101" i="24"/>
  <c r="AR100" i="24" s="1"/>
  <c r="AT110" i="24"/>
  <c r="AT116" i="24"/>
  <c r="AT118" i="24" s="1"/>
  <c r="AT120" i="24" s="1"/>
  <c r="O226" i="12"/>
  <c r="O36" i="12"/>
  <c r="P125" i="11"/>
  <c r="N126" i="11"/>
  <c r="P229" i="11"/>
  <c r="N230" i="11"/>
  <c r="P136" i="11"/>
  <c r="N137" i="11"/>
  <c r="P543" i="11"/>
  <c r="N544" i="11"/>
  <c r="P430" i="11"/>
  <c r="N431" i="11"/>
  <c r="P691" i="11"/>
  <c r="N692" i="11"/>
  <c r="P319" i="11"/>
  <c r="N320" i="11"/>
  <c r="P320" i="11" s="1"/>
  <c r="V105" i="24" l="1"/>
  <c r="P105" i="24"/>
  <c r="N105" i="24"/>
  <c r="R105" i="24"/>
  <c r="R108" i="24" s="1"/>
  <c r="AS100" i="24"/>
  <c r="AR105" i="24"/>
  <c r="AW100" i="24"/>
  <c r="AV105" i="24"/>
  <c r="X108" i="24"/>
  <c r="X106" i="24"/>
  <c r="AX108" i="24"/>
  <c r="AX106" i="24"/>
  <c r="BD119" i="24"/>
  <c r="BD115" i="24"/>
  <c r="AP115" i="24"/>
  <c r="AP119" i="24"/>
  <c r="AL116" i="24"/>
  <c r="AL118" i="24" s="1"/>
  <c r="AL120" i="24" s="1"/>
  <c r="AL110" i="24"/>
  <c r="Z110" i="24"/>
  <c r="Z116" i="24"/>
  <c r="AB116" i="24"/>
  <c r="AB118" i="24" s="1"/>
  <c r="AB120" i="24" s="1"/>
  <c r="AB110" i="24"/>
  <c r="N106" i="24"/>
  <c r="N108" i="24"/>
  <c r="AH116" i="24"/>
  <c r="AH118" i="24" s="1"/>
  <c r="AH120" i="24" s="1"/>
  <c r="AH110" i="24"/>
  <c r="AT119" i="24"/>
  <c r="AT115" i="24"/>
  <c r="BH119" i="24"/>
  <c r="BH115" i="24"/>
  <c r="AD106" i="24"/>
  <c r="AD108" i="24"/>
  <c r="BF115" i="24"/>
  <c r="BF119" i="24"/>
  <c r="BB119" i="24"/>
  <c r="BB115" i="24"/>
  <c r="L119" i="24"/>
  <c r="L115" i="24"/>
  <c r="AZ119" i="24"/>
  <c r="AZ115" i="24"/>
  <c r="AF116" i="24"/>
  <c r="AF118" i="24" s="1"/>
  <c r="AF120" i="24" s="1"/>
  <c r="AF110" i="24"/>
  <c r="T110" i="24"/>
  <c r="T116" i="24"/>
  <c r="T118" i="24" s="1"/>
  <c r="T120" i="24" s="1"/>
  <c r="T121" i="24" s="1"/>
  <c r="AJ119" i="24"/>
  <c r="AJ115" i="24"/>
  <c r="P108" i="24"/>
  <c r="P106" i="24"/>
  <c r="AN116" i="24"/>
  <c r="AN118" i="24" s="1"/>
  <c r="AN120" i="24" s="1"/>
  <c r="AN110" i="24"/>
  <c r="O22" i="12"/>
  <c r="O217" i="12"/>
  <c r="P692" i="11"/>
  <c r="N693" i="11"/>
  <c r="P230" i="11"/>
  <c r="N231" i="11"/>
  <c r="P544" i="11"/>
  <c r="N545" i="11"/>
  <c r="P431" i="11"/>
  <c r="N432" i="11"/>
  <c r="P137" i="11"/>
  <c r="N138" i="11"/>
  <c r="P126" i="11"/>
  <c r="N127" i="11"/>
  <c r="V106" i="24" l="1"/>
  <c r="V108" i="24"/>
  <c r="R106" i="24"/>
  <c r="AH115" i="24"/>
  <c r="AH119" i="24"/>
  <c r="AB119" i="24"/>
  <c r="AB115" i="24"/>
  <c r="AV108" i="24"/>
  <c r="AV106" i="24"/>
  <c r="P116" i="24"/>
  <c r="P118" i="24" s="1"/>
  <c r="P120" i="24" s="1"/>
  <c r="P121" i="24" s="1"/>
  <c r="P110" i="24"/>
  <c r="R110" i="24"/>
  <c r="R116" i="24"/>
  <c r="R118" i="24" s="1"/>
  <c r="R120" i="24" s="1"/>
  <c r="R121" i="24" s="1"/>
  <c r="AX116" i="24"/>
  <c r="AX118" i="24" s="1"/>
  <c r="AX120" i="24" s="1"/>
  <c r="AX110" i="24"/>
  <c r="T119" i="24"/>
  <c r="T115" i="24"/>
  <c r="AN119" i="24"/>
  <c r="AN115" i="24"/>
  <c r="AF119" i="24"/>
  <c r="AF115" i="24"/>
  <c r="AD116" i="24"/>
  <c r="AD118" i="24" s="1"/>
  <c r="AD120" i="24" s="1"/>
  <c r="AD110" i="24"/>
  <c r="N110" i="24"/>
  <c r="N116" i="24"/>
  <c r="N118" i="24" s="1"/>
  <c r="N120" i="24" s="1"/>
  <c r="N121" i="24" s="1"/>
  <c r="Z118" i="24"/>
  <c r="Z120" i="24" s="1"/>
  <c r="Z121" i="24" s="1"/>
  <c r="AA116" i="24"/>
  <c r="AL119" i="24"/>
  <c r="AL115" i="24"/>
  <c r="AR108" i="24"/>
  <c r="AR106" i="24"/>
  <c r="Z115" i="24"/>
  <c r="Z119" i="24"/>
  <c r="X116" i="24"/>
  <c r="X118" i="24" s="1"/>
  <c r="X120" i="24" s="1"/>
  <c r="X121" i="24" s="1"/>
  <c r="X110" i="24"/>
  <c r="O214" i="12"/>
  <c r="O8" i="12"/>
  <c r="O13" i="12"/>
  <c r="P432" i="11"/>
  <c r="N433" i="11"/>
  <c r="P127" i="11"/>
  <c r="N128" i="11"/>
  <c r="P231" i="11"/>
  <c r="N232" i="11"/>
  <c r="P138" i="11"/>
  <c r="N139" i="11"/>
  <c r="P545" i="11"/>
  <c r="N546" i="11"/>
  <c r="P693" i="11"/>
  <c r="N694" i="11"/>
  <c r="V110" i="24" l="1"/>
  <c r="V116" i="24"/>
  <c r="V118" i="24" s="1"/>
  <c r="V120" i="24" s="1"/>
  <c r="V121" i="24" s="1"/>
  <c r="R115" i="24"/>
  <c r="R119" i="24"/>
  <c r="AD119" i="24"/>
  <c r="AD115" i="24"/>
  <c r="AX115" i="24"/>
  <c r="AX119" i="24"/>
  <c r="P119" i="24"/>
  <c r="P115" i="24"/>
  <c r="AR116" i="24"/>
  <c r="AR110" i="24"/>
  <c r="X119" i="24"/>
  <c r="X115" i="24"/>
  <c r="N119" i="24"/>
  <c r="N115" i="24"/>
  <c r="AV116" i="24"/>
  <c r="AV118" i="24" s="1"/>
  <c r="AV120" i="24" s="1"/>
  <c r="AV110" i="24"/>
  <c r="O200" i="12"/>
  <c r="P139" i="11"/>
  <c r="N140" i="11"/>
  <c r="P128" i="11"/>
  <c r="N129" i="11"/>
  <c r="P546" i="11"/>
  <c r="N547" i="11"/>
  <c r="P232" i="11"/>
  <c r="N233" i="11"/>
  <c r="P233" i="11" s="1"/>
  <c r="P433" i="11"/>
  <c r="N434" i="11"/>
  <c r="P694" i="11"/>
  <c r="N695" i="11"/>
  <c r="V115" i="24" l="1"/>
  <c r="V119" i="24"/>
  <c r="AS116" i="24"/>
  <c r="AR118" i="24"/>
  <c r="AR120" i="24" s="1"/>
  <c r="AR121" i="24" s="1"/>
  <c r="AV119" i="24"/>
  <c r="AV115" i="24"/>
  <c r="AR119" i="24"/>
  <c r="AR115" i="24"/>
  <c r="O186" i="12"/>
  <c r="O794" i="12" s="1"/>
  <c r="O191" i="12"/>
  <c r="P695" i="11"/>
  <c r="N696" i="11"/>
  <c r="P696" i="11" s="1"/>
  <c r="P434" i="11"/>
  <c r="N435" i="11"/>
  <c r="P435" i="11" s="1"/>
  <c r="P547" i="11"/>
  <c r="N548" i="11"/>
  <c r="P548" i="11" s="1"/>
  <c r="P140" i="11"/>
  <c r="N141" i="11"/>
  <c r="P141" i="11" s="1"/>
  <c r="P129" i="11"/>
  <c r="N130" i="11"/>
  <c r="P130" i="11" s="1"/>
  <c r="P856" i="11" l="1"/>
  <c r="S795" i="12"/>
  <c r="B3" i="25"/>
  <c r="C14" i="3"/>
  <c r="D14" i="3" s="1"/>
  <c r="C15" i="3"/>
  <c r="D13" i="3"/>
  <c r="E13" i="3" s="1"/>
  <c r="B6" i="25" l="1"/>
  <c r="B9" i="25" s="1"/>
  <c r="B11" i="25" s="1"/>
  <c r="P857" i="11"/>
  <c r="C16" i="3"/>
  <c r="D16" i="3" s="1"/>
  <c r="E16" i="3" s="1"/>
  <c r="E12" i="3" l="1"/>
  <c r="D15" i="3"/>
  <c r="E15" i="3" s="1"/>
  <c r="B12" i="25" l="1"/>
  <c r="E14" i="3"/>
  <c r="B13" i="25" l="1"/>
  <c r="B14" i="25" s="1"/>
  <c r="B15" i="25" l="1"/>
  <c r="B16" i="25" s="1"/>
  <c r="C14" i="25"/>
  <c r="C15" i="25" s="1"/>
  <c r="C16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Александр</author>
  </authors>
  <commentList>
    <comment ref="Z7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факт 1 квартала 2023 = 11,11 руб</t>
        </r>
      </text>
    </comment>
    <comment ref="D72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юси - НН</t>
        </r>
      </text>
    </comment>
    <comment ref="D75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ЛИГОВСКАЯ - СН2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Александр</author>
  </authors>
  <commentList>
    <comment ref="A1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04"/>
          </rPr>
          <t>Высоцкий</t>
        </r>
      </text>
    </comment>
    <comment ref="A2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04"/>
          </rPr>
          <t>Белоус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Александр</author>
  </authors>
  <commentList>
    <comment ref="B2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>нечепоренко</t>
        </r>
      </text>
    </comment>
  </commentList>
</comments>
</file>

<file path=xl/sharedStrings.xml><?xml version="1.0" encoding="utf-8"?>
<sst xmlns="http://schemas.openxmlformats.org/spreadsheetml/2006/main" count="4923" uniqueCount="1036">
  <si>
    <t xml:space="preserve">Код </t>
  </si>
  <si>
    <t>Наименование услуг (работ)</t>
  </si>
  <si>
    <t>Цена, руб.</t>
  </si>
  <si>
    <t>НДС 20%</t>
  </si>
  <si>
    <t>Всего, руб.</t>
  </si>
  <si>
    <t>Генеральный директор</t>
  </si>
  <si>
    <t>УТВЕРЖДАЮ</t>
  </si>
  <si>
    <t>оклад</t>
  </si>
  <si>
    <t>л</t>
  </si>
  <si>
    <t>_______________________2023 г.</t>
  </si>
  <si>
    <t>Техническое обслуживание и технический ремонт газового оборудования</t>
  </si>
  <si>
    <t>Техническое обслуживание и технический ремонт электрохозяйства</t>
  </si>
  <si>
    <t xml:space="preserve">Техническое обслуживание и технический ремонт оборудования КИПиА </t>
  </si>
  <si>
    <t>Техническое обслуживание и технический ремонт метрологического оборудования</t>
  </si>
  <si>
    <t>ИТОГО</t>
  </si>
  <si>
    <t>1</t>
  </si>
  <si>
    <t>2</t>
  </si>
  <si>
    <t>3</t>
  </si>
  <si>
    <t>4</t>
  </si>
  <si>
    <t xml:space="preserve">СТОИМОСТЬ  РАБОТ </t>
  </si>
  <si>
    <t>выполняемых специалистами ООО "СКС" с 20.12.2023 года</t>
  </si>
  <si>
    <t>ООО "СКС"</t>
  </si>
  <si>
    <t>__________________С.Н. Бурыкин</t>
  </si>
  <si>
    <t>Исходные данные для расчета затрат на ТО, ТР оборудования КИПиА ООО "ТТК"</t>
  </si>
  <si>
    <t>№
п/п</t>
  </si>
  <si>
    <t>Адрес, котельной</t>
  </si>
  <si>
    <t>Наименование оборудования</t>
  </si>
  <si>
    <t>Количество</t>
  </si>
  <si>
    <t>Вид работ, (ТО или ТР)</t>
  </si>
  <si>
    <t>Основание</t>
  </si>
  <si>
    <t>Норма времени на ед., ч/час.</t>
  </si>
  <si>
    <t>Переодичность
 в год</t>
  </si>
  <si>
    <t>Оплата труда</t>
  </si>
  <si>
    <t>Материалы</t>
  </si>
  <si>
    <t>Всего за год, ч/час.</t>
  </si>
  <si>
    <t>Разряд слесаря по КИП и А</t>
  </si>
  <si>
    <t>Часова тарифная ставка, руб.</t>
  </si>
  <si>
    <t>Затраты по оплате труда, руб.</t>
  </si>
  <si>
    <t>Наименование</t>
  </si>
  <si>
    <t>Колличествово, ед.</t>
  </si>
  <si>
    <t>Стоимость за ед., руб.</t>
  </si>
  <si>
    <t>Затраты по материалам, тыс.руб.</t>
  </si>
  <si>
    <t>Термопреобразователь сопротивленияДТС035-50М.В2.160</t>
  </si>
  <si>
    <t>ТР</t>
  </si>
  <si>
    <t>ТО</t>
  </si>
  <si>
    <t>Термопреобразователь сопротивленияДТС035-50М.В2.300</t>
  </si>
  <si>
    <t>Манометр с электроконтактной приставкойТМ-510 РКТ.05 (0-0,4 МПа) М20х1,5.1,5</t>
  </si>
  <si>
    <t>Датчик протокаFLU 25</t>
  </si>
  <si>
    <t>Датчик-реле перепада давленияРДД-2Р-0,2 МПа - G1/4</t>
  </si>
  <si>
    <t>Датчик давления 4-20 мАПД100-ДИ 0,4 -111-0,25</t>
  </si>
  <si>
    <t>ТермометрБТ-51.211 (0-200 с) М20х1,5. 150.1,5</t>
  </si>
  <si>
    <t>ТермометрБТ-51.211 (0-120 с) М20х1,5. 150.1,5</t>
  </si>
  <si>
    <t>ТермометрБТ-51.211 (0-250 с) М20х1,5. 300.1,5</t>
  </si>
  <si>
    <t>Манометр показывающийТМ-510Р.00 (0-0,4 МПа) М20х1,5.1,5</t>
  </si>
  <si>
    <t>Тягонапоромер показывающий пределТНМП-100-М1Р</t>
  </si>
  <si>
    <t>Спирт технический, литр</t>
  </si>
  <si>
    <t>Термопреобразователь сопротивленияДТС035-50М.В2.200</t>
  </si>
  <si>
    <t>ТермометрБТ-51.211 (0-200 с) М20х1,5. 200.1,5</t>
  </si>
  <si>
    <t>ТермометрБТ-51.211 (0-120 с) М20х1,5. 200.1,5</t>
  </si>
  <si>
    <t>Манометр показывающийТМ-510Р.00 (0-1.0 МПа) М20х1,5.1,5</t>
  </si>
  <si>
    <t>Манометр показывающийТМ-510Р.00 (0-0,25 МПа) М20х1,5.1,5</t>
  </si>
  <si>
    <t>ТермометрБТ-51.211 (0-160 с) М20х1,5. 200.1,5</t>
  </si>
  <si>
    <t>ТермометрБТ-51.211 (0-200 с) М20х1,5. 300.1,5</t>
  </si>
  <si>
    <t>ТермометрБТ-51.211 (0-120 с) М20х1,5. 300.1,5</t>
  </si>
  <si>
    <t>ТермометрБТ-51.211 (0-60 с) М20х1,5. 300.1,5</t>
  </si>
  <si>
    <t>Термопреобразователь сопротивленияДТС3005-РТ100.В3</t>
  </si>
  <si>
    <t>Термопреобразователь сопротивленияДТС 035-50м.В3.250</t>
  </si>
  <si>
    <t>Термопреобразователь сопротивленияДТС 035-50м.В3.200</t>
  </si>
  <si>
    <t>Датчик давления 4-20 мАПД100-ДИ 1,0 -111-0,25</t>
  </si>
  <si>
    <t>Датчик давления 4-20 мАПД100-ДИ 0,1 -111-0,25</t>
  </si>
  <si>
    <t>Датчик-реле перепада давленияРДД-2Р-0,6 МПа - G1/4</t>
  </si>
  <si>
    <t>Датчик-реле перепада давленияРДД-2Р-0,4 МПа - G1/4</t>
  </si>
  <si>
    <t>Датчик-реле давленияРД-2Р-0,3 МПа-G1/4</t>
  </si>
  <si>
    <t>Контроллер для авт упр котельнойКТР-121.22.01.10</t>
  </si>
  <si>
    <t>Реле с 1 перекидным контактом на DIN-рейку 230 AC/DC, 6А38.51.0.240.0060</t>
  </si>
  <si>
    <t>Кнопка аварийного стопаМТВ2-ES54</t>
  </si>
  <si>
    <t>Кнопка  МТВ2-EА2</t>
  </si>
  <si>
    <t>Основание 1НОМТВ2-EZ11</t>
  </si>
  <si>
    <t>Основание 1НЗМТВ2-EZ12</t>
  </si>
  <si>
    <t>Блок питания 24В 60ВтБП60-24</t>
  </si>
  <si>
    <t>Автоматический выключательACTI9-iC 60N-2P-C10A</t>
  </si>
  <si>
    <t>Автоматический выключательACTI9-iC 60N-2P-C6A</t>
  </si>
  <si>
    <t>Лампа сигнальная зелёного цветаМТ22-D63</t>
  </si>
  <si>
    <t>Светосигнальная колонна с зуммером, 220В АСМТ45-RYG220B</t>
  </si>
  <si>
    <t>Процессорный модуль  ПЛК210-03CS</t>
  </si>
  <si>
    <t>Модуль ввода аналоговых сигналов 8 AIMB210-101</t>
  </si>
  <si>
    <t>Модуль ввода дискретных сигналов 8 DIMB210-214</t>
  </si>
  <si>
    <t>Модуль дискретного вывода 24 DOМУ210-403</t>
  </si>
  <si>
    <t>Автоматический выключательACTI9-iC 60N-2P-C16A</t>
  </si>
  <si>
    <t>Автоматический выключательACTI9-iC 60N-1P-C6A</t>
  </si>
  <si>
    <t>Сетевой шлюз RS485-GPRSПМ210</t>
  </si>
  <si>
    <t>Блок питания БПЭК-02/М</t>
  </si>
  <si>
    <t>Датчик-реле давления 0,5-200 кПаGW 2000 A4 HP IP54M</t>
  </si>
  <si>
    <t>Сейсмический сенсорSeismic M16</t>
  </si>
  <si>
    <t>Сигнализатор СО СН4СТГ1-2Д10</t>
  </si>
  <si>
    <t>Резистор МЛТ-0,125-30Ом</t>
  </si>
  <si>
    <t>Резистор МЛТ-1,0-60 Ом</t>
  </si>
  <si>
    <t>Конденсатор К50-6-400В-4,7мкФ HITANO</t>
  </si>
  <si>
    <t>Микросхема DB155S</t>
  </si>
  <si>
    <t>Микросхема TNY274GN</t>
  </si>
  <si>
    <t>Микросхема SFHG156-3</t>
  </si>
  <si>
    <t>Микросхема AN6884</t>
  </si>
  <si>
    <t>Микросхема NE555</t>
  </si>
  <si>
    <t>Транзистор С945</t>
  </si>
  <si>
    <t>Резонатор HPA24AX</t>
  </si>
  <si>
    <t>Сигнализатор СО СН4СТГ1-1Д10</t>
  </si>
  <si>
    <t>Резистор МЛТ-1,0-60Ом</t>
  </si>
  <si>
    <t>Дифференциальный манометр</t>
  </si>
  <si>
    <t>Манометр показывающийТМ-510Р.00 (0-0,1 МПа) М20х1,5.1,5</t>
  </si>
  <si>
    <t>Реле давления воздуха Kromschroder DG50U-5</t>
  </si>
  <si>
    <t>Реле давления газа MAX DUNGS GW500A6</t>
  </si>
  <si>
    <t>Реле давления газа MIN DUNGS GW150A6</t>
  </si>
  <si>
    <t>Дифференциальный манометрДСП-80В-РАСКО-1-1,6 кПа</t>
  </si>
  <si>
    <t>Датчик наличия пламени фотоэлектрический</t>
  </si>
  <si>
    <t>Трансформатор розжига</t>
  </si>
  <si>
    <t>Реле давления воздуха</t>
  </si>
  <si>
    <t>МКЭШнг(А)-LS 7х0,75 (на 1000м)</t>
  </si>
  <si>
    <t>МКЭШнг(А)-LS 3х0,75 (на 1000м)</t>
  </si>
  <si>
    <t>МКЭШнг(А)-LS 2х0,75 (на 1000м)</t>
  </si>
  <si>
    <t>ПВСнг(А)-LS 2х0,75 (на 1000м)</t>
  </si>
  <si>
    <t>ПВСнг(А)-LS 3х0,75 (на 1000м)</t>
  </si>
  <si>
    <t>ВВГнг(А) 4х1,0 (на 1000м)</t>
  </si>
  <si>
    <t>КИПЭВнг(А)-LS 2х2х0,6 (на 1000м)</t>
  </si>
  <si>
    <t>Датчик температурыМТВ3560 (0…200с) 4…20мА, G1/2, L-100</t>
  </si>
  <si>
    <t>Датчик давления водыMBS 1700, 4…20, М20х1,5</t>
  </si>
  <si>
    <t>Датчик разряженияАДР-0,50.4, (+/- 0,50кПа, 4…20мА</t>
  </si>
  <si>
    <t>Реле давления воздухаLGW10A4 (0..10бар)</t>
  </si>
  <si>
    <t>Манометр ДМ02-100-1-М-16кгс/см2-1.5, М20х1,5</t>
  </si>
  <si>
    <t>ТермометрТБ-1-100-1-200-100-2,5, G1/2</t>
  </si>
  <si>
    <t>Реле перепада давленияРДД-110 (0,1-1МПа) G1/4</t>
  </si>
  <si>
    <t>Программируемый конртоллерПЛК110-60.Р.-М</t>
  </si>
  <si>
    <t>Модульввода аналоговыйМВА8</t>
  </si>
  <si>
    <t>Модульввода аналоговыйМВА9</t>
  </si>
  <si>
    <t>Панель оператораСП270-Т</t>
  </si>
  <si>
    <t>Сетевой концетраторHUB</t>
  </si>
  <si>
    <t>Манометр показывающийТМ-510Р.00 (0-1,6 МПа) М20х1,5.1,5</t>
  </si>
  <si>
    <t>ТермометрБТ-51.111 (0-160 с) G1/2х1,5.</t>
  </si>
  <si>
    <t>ТермометрБТ-51.111 (0-200 с) G1/2х1,5</t>
  </si>
  <si>
    <t>Реле давления (-0,4…12,0 ,бар) 10А KPI</t>
  </si>
  <si>
    <t>Реле давления (-0,2…0,8 ,бар) 10А KPI</t>
  </si>
  <si>
    <t>Датчик давления 4-20 мАСДВ-И-1,0-4-20мА-D3422-0600</t>
  </si>
  <si>
    <t>Термопреобразователь сопротивленияДТС3005-РТ100.В2 120/0,5</t>
  </si>
  <si>
    <t>Термопреобразователь сопротивленияДТС 125-50м.В2.60</t>
  </si>
  <si>
    <t>Контроллер САУ-У-Щ11</t>
  </si>
  <si>
    <t>Контроллер ТРМ32-Щ4.ТС03</t>
  </si>
  <si>
    <t>Микросхема 243</t>
  </si>
  <si>
    <t>Диод SK358</t>
  </si>
  <si>
    <t>Диод MD7B</t>
  </si>
  <si>
    <t>Реле 793-P-1C-S</t>
  </si>
  <si>
    <t>Конденсатор 22 мкф*400V</t>
  </si>
  <si>
    <t>Предохранитель SCK20</t>
  </si>
  <si>
    <t>Сигнализатор загазованностиСТГ1-2Д20</t>
  </si>
  <si>
    <t>Модуль упарвления каскадом котловКМ</t>
  </si>
  <si>
    <t>Кабель монтажныйМКЭШнг(А)-LS 3х0,75</t>
  </si>
  <si>
    <t>Кабель RS-485КИПЭВнг(А)-LS 2х2х0,75</t>
  </si>
  <si>
    <t>Кабель  КВВГнг 4х1,5</t>
  </si>
  <si>
    <t>Кабель  КВВГнг 7х1,5</t>
  </si>
  <si>
    <t>Кабель  КВВГнг 10х1,5</t>
  </si>
  <si>
    <t>МКЭШнг(А)-LS 3х0,75</t>
  </si>
  <si>
    <t>МКЭШнг(А)-LS 2х0,75</t>
  </si>
  <si>
    <t>автомат горения LFL1.333</t>
  </si>
  <si>
    <t>Регулятор давления топлива</t>
  </si>
  <si>
    <t>Регулятор давления</t>
  </si>
  <si>
    <t>Манометр показывающий</t>
  </si>
  <si>
    <t>Реле минимального давления газа</t>
  </si>
  <si>
    <t>Реле максимального давления газа</t>
  </si>
  <si>
    <t>Манометр техническийМТ-100, (0..11,6МПа) М20х1,5.1,5</t>
  </si>
  <si>
    <t>Тягонапоромер ДГ-СВ, +/-2кПа</t>
  </si>
  <si>
    <t>Тягонапоромер ДГ-СВ, +/-1,25 кПа</t>
  </si>
  <si>
    <t>Манометр сигнализирующийДМ210Сг, 0..1МПа, 2НЗ</t>
  </si>
  <si>
    <t>ТермометрТБ-2, L-160, 0… 300с</t>
  </si>
  <si>
    <t>ТермометрТБ-2, L-100, 0… 200с</t>
  </si>
  <si>
    <t>Термометр сопротивленияТС-045-50М.В2.120 (-50… +150с)</t>
  </si>
  <si>
    <t>Устройство регулирования работой котолаR21</t>
  </si>
  <si>
    <t>Манометр показывающий0…4 бар</t>
  </si>
  <si>
    <t>Термопреобразователь сопротивленияДТС 045-50м.В3.80/0,2</t>
  </si>
  <si>
    <t>Сигнализатор-регулятор уровняСАУ-М7Е-Щ1</t>
  </si>
  <si>
    <t>Датчик уровня кондуктометрическийДС.ПВТ.М20х1,5</t>
  </si>
  <si>
    <t>Логический контроллерСАУ-У-Щ11</t>
  </si>
  <si>
    <t>Датчик-реле максимального давления газа</t>
  </si>
  <si>
    <t>Датчик-реле контроля герметичности</t>
  </si>
  <si>
    <t>Датчик реле минимального давления воздуха</t>
  </si>
  <si>
    <t>Ионизационный зонд</t>
  </si>
  <si>
    <t>Трансформатор зажигания</t>
  </si>
  <si>
    <t>Реле температурыКР81 +80..120 с</t>
  </si>
  <si>
    <t>Термостат регулировочныйРt100</t>
  </si>
  <si>
    <t>Датчик температурыДТС035-Pt100.В2.160</t>
  </si>
  <si>
    <t>Датчик температурыДТС035-Pt100.В2.300</t>
  </si>
  <si>
    <t>Манометр с электроконтактной приставкойТМ-510 (0-0,4 МПа) G1/2х1,5</t>
  </si>
  <si>
    <t>Датчик-реле напора и тягиРД-0,25 кПа-ДИВ</t>
  </si>
  <si>
    <t>Датчик давления 4-20 мАПД100-ДИ 1,0 -111-0,4</t>
  </si>
  <si>
    <t>ТермометрБТ-51.211 (0-160 с) G1/2.150.1,5</t>
  </si>
  <si>
    <t>ТермометрБТ-51.211 (0-120 с) G1/2.150.1,5</t>
  </si>
  <si>
    <t>ТермометрБТ-51.211 (0-350 с) G1/2.300.1,5</t>
  </si>
  <si>
    <t>Тягонапоромер показывающийТНМП-100-М1-У3 0,2…+0,2кПа</t>
  </si>
  <si>
    <t>Манометр показывающийТМ-510Р.00 (0-0,16 МПа) М20х1,5.1,5</t>
  </si>
  <si>
    <t>ТермометрБТ-51.211 (0-250 с) М20х1,5. 100.1,5</t>
  </si>
  <si>
    <t>ТермометрБТ-51.211 (0-120 с) М20х1,5. 250.1,5</t>
  </si>
  <si>
    <t>ТермометрБТ-51.211 (0-200 с) М20х1,5. 250.1,5</t>
  </si>
  <si>
    <t>ТермометрБТ-51.211 (0-120 с) М20х1,5. 100.1,5</t>
  </si>
  <si>
    <t>ТермометрБТ-51.211 (0-60 с) М20х1,5. 100.1,5</t>
  </si>
  <si>
    <t>Датчик давления 4-20 мАПД100-ДИ 1,0 -111-1,0</t>
  </si>
  <si>
    <t>Датчик давления 4-20 мАПД100-ДИ 0,4 -111-1,0</t>
  </si>
  <si>
    <t>Датчик давления 4-20 мАПД100-ДИ 0,16 -111-0,1</t>
  </si>
  <si>
    <t>Датчик-реле давленияРД-2Р-1,0 МПа-G1/4</t>
  </si>
  <si>
    <t>Манометр с электроконтактной приставкойТМ-510 РКТ.05 (0-0,6 МПа) М20х1,5.1,5</t>
  </si>
  <si>
    <t>Сигнализатор СО СН4СТГ1-2Д</t>
  </si>
  <si>
    <t>МКЭШнг(А)-LS 7х0,75</t>
  </si>
  <si>
    <t>ПВСнг(А)-LS 2х0,75</t>
  </si>
  <si>
    <t>ПВСнг(А)-LS 3х0,75</t>
  </si>
  <si>
    <t>ВВГнг(А) 4х1,0</t>
  </si>
  <si>
    <t>Термопреобразователь сопротивленияДТС035-50М.В2.180</t>
  </si>
  <si>
    <t>Датчик давления 4-20 мАПД100-ДИ 1,0 -111-0,5</t>
  </si>
  <si>
    <t xml:space="preserve">Комплект оборудования для газовых анализаторовКГА - 1-1 </t>
  </si>
  <si>
    <t>Термометр биметаллическийТБ-1, 0…+150, 200мм</t>
  </si>
  <si>
    <t>Термометр биметаллическийТБ-1, 0…+120, 200мм</t>
  </si>
  <si>
    <t>Термометр биметаллическийТБ-1, 0…+300, 200мм</t>
  </si>
  <si>
    <t>Термометр биметаллическийТБ-1, 0…+150, 250мм</t>
  </si>
  <si>
    <t>Термометр биметаллическийТБ-1, 0…+120, 250мм</t>
  </si>
  <si>
    <t>Термометр биметаллическийТБ-1, 0…+60, 80мм</t>
  </si>
  <si>
    <t>МанометрМП4-у 0,0… 1,0кгс/см2</t>
  </si>
  <si>
    <t>МанометрМП4-у 0,0… 1,0кгс/см3</t>
  </si>
  <si>
    <t>МанометрМП4-у 0,0… 4,0кгс/см2</t>
  </si>
  <si>
    <t>МанометрМП4-у 0,0… 4,0кгс/см3</t>
  </si>
  <si>
    <t>МанометрМП4-у 0,0… 6,0кгс/см2</t>
  </si>
  <si>
    <t>МанометрМП4-у 0,0… 6,0кгс/см3</t>
  </si>
  <si>
    <t>МанометрМП4-у 0,0… 10,0кгс/см2</t>
  </si>
  <si>
    <t>МанометрМП4-у 0,0… 10,0кгс/см3</t>
  </si>
  <si>
    <t>МанометрДМ2010СГ 0,0… 4,0кгс/см2</t>
  </si>
  <si>
    <t>МанометрДМ2010СГ 0,0… 4,0кгс/см3</t>
  </si>
  <si>
    <t>Датчик давления 4-20 мАПД200-ДД 0,7-155-0,1-2-Н</t>
  </si>
  <si>
    <t>Датчик уровняДУ, 5</t>
  </si>
  <si>
    <t>Блок согласования кондуктометрических датчиковБКК1-220</t>
  </si>
  <si>
    <t>Датчик затопленияWD2-BP2</t>
  </si>
  <si>
    <t>Комплект термпреобразователейКдТС035-Pt100.В4250/1,5 (-50… +180)</t>
  </si>
  <si>
    <t>Датчик давления 4-20 мАПД100-ДИ 0,6 -111-0,5</t>
  </si>
  <si>
    <t>Датчик давления 4-20 мАПД100-ДИ 0,4 -111-0,5</t>
  </si>
  <si>
    <t>Датчик реле давления KPI 35 G1/2</t>
  </si>
  <si>
    <t>КонтроллерПЛК 110.60М-220</t>
  </si>
  <si>
    <t>Модуль ввода дискретных сигналовМВ110-16Д</t>
  </si>
  <si>
    <t>Модуль вводаа аналоговых сигналовМВ110-8А</t>
  </si>
  <si>
    <t>Модуль дискретного выводаМУ110-8Р</t>
  </si>
  <si>
    <t>Ethernet-терминалЕТ2000</t>
  </si>
  <si>
    <t>Манометр показывающийТМ 510</t>
  </si>
  <si>
    <t>Манометр показывающийТМ 510 (0…0,1 МПа)</t>
  </si>
  <si>
    <t>Датчик-реле давления, пределGW 2000А4НР</t>
  </si>
  <si>
    <t>Диффернциальный манометрДСП-80В-РАСКО (0…2,5кПа)</t>
  </si>
  <si>
    <t>Кабель монтажныйМКЭШнг(А)-LS 2х0,75</t>
  </si>
  <si>
    <t>Провод соединительныйПВСнг(А)-LS 2х0,75</t>
  </si>
  <si>
    <t>Провод соединительныйПВСнг(А)-LS 3х0,75</t>
  </si>
  <si>
    <t>Провод соединительныйПВСнг(А)-LS 5х0,75</t>
  </si>
  <si>
    <t>Кабель  КВВГнг 4х1,0</t>
  </si>
  <si>
    <t>Кабель  КВВГнг 10х0,75</t>
  </si>
  <si>
    <t>Кабель  КВВГЭнг 4х0,75</t>
  </si>
  <si>
    <t>Витая параFTPCat5e 4х2х0,51</t>
  </si>
  <si>
    <t>Датчик-реле минимального давления газа</t>
  </si>
  <si>
    <t>Датчик-реде максимального давления газа</t>
  </si>
  <si>
    <t>Термостат защитный</t>
  </si>
  <si>
    <t>Термостат регулировочный</t>
  </si>
  <si>
    <t>Термопреобразователь сопротивленияДТС 035-50м.В3.160</t>
  </si>
  <si>
    <t>Термопреобразователь сопротивленияДТС 035-50м.В3.300</t>
  </si>
  <si>
    <t>Датчик протока FLU</t>
  </si>
  <si>
    <t>Датчик-реле напора и тягиДРДЭ-0,25 кПа-ДИВ (-0,25…+0,25 кПа)</t>
  </si>
  <si>
    <t>ТягонапоромерТНМП-100-М1Р (-0,…+0,2 кПа)</t>
  </si>
  <si>
    <t>Термопреобразователь сопротивленияДТС3005-РТ1000.В3 (-40…+85)</t>
  </si>
  <si>
    <t>Датчик давления 4-20 мАПД100-ДИ 0,16 -111-1,0</t>
  </si>
  <si>
    <t>Датчик давления 4-20 мА</t>
  </si>
  <si>
    <t>Контроллер для авт упр котельнойКТР-121.24.01.10</t>
  </si>
  <si>
    <t>Модульный таймер80.01.0.240.0000</t>
  </si>
  <si>
    <t>Контроллер  ПЛК210-02-CS</t>
  </si>
  <si>
    <t>Панель оператораСП310-Р</t>
  </si>
  <si>
    <t>Модуль ввода дискретных сигналов DIMB210-214</t>
  </si>
  <si>
    <t>Модуль дискретного вывода  DOМУ210-403</t>
  </si>
  <si>
    <t>Кабель монтажныйМКЭШнг(А)-LS 7х0,75</t>
  </si>
  <si>
    <t>Кабель монтажныйМКЭШнг(А)-LS 5х0,75</t>
  </si>
  <si>
    <t>Кабель  ВВГнг(А) 4х1,0</t>
  </si>
  <si>
    <t>Кабель RS-485КИПЭВнг(А)-LS 2х2х0,6</t>
  </si>
  <si>
    <t>Всего по службе</t>
  </si>
  <si>
    <t>*</t>
  </si>
  <si>
    <t xml:space="preserve">Состав работ по ТО, ТР в приложении + графики ППР + основание норм т/затрат и норм расхода ТМЦ  </t>
  </si>
  <si>
    <t>Исходные данные для расчета затрат на ТО, ТР метрологического оборудования ООО "ТТК"</t>
  </si>
  <si>
    <t>Кол-во</t>
  </si>
  <si>
    <t>Вид работ,*</t>
  </si>
  <si>
    <t>Итого затрат, тыс.руб.</t>
  </si>
  <si>
    <t>Категория, инженер метролог</t>
  </si>
  <si>
    <t>Оклад, руб.</t>
  </si>
  <si>
    <t>Затраты по оплате труда, тыс.руб.</t>
  </si>
  <si>
    <t>Разряд, слесарь КИП и А</t>
  </si>
  <si>
    <t>Затраты по материалам, .руб.</t>
  </si>
  <si>
    <t xml:space="preserve">Вычислитель ВКГ-2 </t>
  </si>
  <si>
    <t>ТО-2</t>
  </si>
  <si>
    <t>Смазка Циатим-201 ГОСТ 6267-74</t>
  </si>
  <si>
    <t>ТО-3</t>
  </si>
  <si>
    <t>Припой ПОС 61 ГОСТ 21931-76</t>
  </si>
  <si>
    <t>ТО-5</t>
  </si>
  <si>
    <t>Канифоль сосновая ГОСТ 19113-84</t>
  </si>
  <si>
    <t xml:space="preserve">Счётчик газа ротационный RVG G250 </t>
  </si>
  <si>
    <t>Салфетки х/б ГОСТ 4643-75</t>
  </si>
  <si>
    <t>Ветошь ГОСТ 5354-79</t>
  </si>
  <si>
    <t>Сальниковое уплотнение</t>
  </si>
  <si>
    <t>Бензин</t>
  </si>
  <si>
    <t>Изолента Лэтсар БП-0,2 ТУ 38-103171-80</t>
  </si>
  <si>
    <t>Прокладка паронит</t>
  </si>
  <si>
    <t>Магнитно-индукционный датчик (МИД)</t>
  </si>
  <si>
    <t>Металлорукав РЗ-ЦХ-ДУ20-ПВХ</t>
  </si>
  <si>
    <t>Шлифовальная шкурка ГОСТ 21445-84</t>
  </si>
  <si>
    <t>Спирт этиловый технический ГОСТ 17299-78</t>
  </si>
  <si>
    <t>Растворитель</t>
  </si>
  <si>
    <t>Эмаль</t>
  </si>
  <si>
    <t xml:space="preserve">АИР 20/М2 ДИ 160 </t>
  </si>
  <si>
    <t xml:space="preserve">Бензин </t>
  </si>
  <si>
    <t>Салфетка х/б ГОСТ 4643-75</t>
  </si>
  <si>
    <t>Антифриз</t>
  </si>
  <si>
    <t>Термоусадочная лента</t>
  </si>
  <si>
    <t>Изолента ПВХ</t>
  </si>
  <si>
    <t>Лента ФУМ 0,1х20 ТУ 6-05-1388-86</t>
  </si>
  <si>
    <t>Прокладка паронит  ГОСТ  481-80</t>
  </si>
  <si>
    <t>Термоусадочная трубка</t>
  </si>
  <si>
    <t>Металлорукав или гофра</t>
  </si>
  <si>
    <t>Провод заземляющий гибкий</t>
  </si>
  <si>
    <t>Обжим крепежный для заземляющего провода</t>
  </si>
  <si>
    <t>Кабель КВВГ 4х1,0</t>
  </si>
  <si>
    <t xml:space="preserve">АИР 20/М2 ДД 410 </t>
  </si>
  <si>
    <t xml:space="preserve">ТС-1088 </t>
  </si>
  <si>
    <t>Резиновый уплотнитель</t>
  </si>
  <si>
    <t>Бензин калоша</t>
  </si>
  <si>
    <t>Изолента Лэтсар</t>
  </si>
  <si>
    <t>Лента ФУМ</t>
  </si>
  <si>
    <t>По факту</t>
  </si>
  <si>
    <t>Счётчик СГ16МТ-1600-Р-2</t>
  </si>
  <si>
    <t>Корректор ЕК270</t>
  </si>
  <si>
    <t xml:space="preserve">Счетчик турбинный TRZ, G1000 </t>
  </si>
  <si>
    <t>ТВ7-04М</t>
  </si>
  <si>
    <t>Расходомер ультразвуковой Парус</t>
  </si>
  <si>
    <t xml:space="preserve"> КТСП-Н Pt100</t>
  </si>
  <si>
    <t>MBS 4003(датчик Р)</t>
  </si>
  <si>
    <t>ПРЭМ150</t>
  </si>
  <si>
    <t>КТС-Б Pt100</t>
  </si>
  <si>
    <t>Счётчик холодной воды GROEN Ду80</t>
  </si>
  <si>
    <t xml:space="preserve">Счётчик газовый СГ16МТ-2500-Р-3 </t>
  </si>
  <si>
    <t xml:space="preserve">Преобразователь давления АИР-20/М2 ДД 410 </t>
  </si>
  <si>
    <t xml:space="preserve">Преобразователь давления АИР-20/М2 ДИ 130 </t>
  </si>
  <si>
    <t xml:space="preserve">Термометры сопротивления ТС-1088/1 50М/В/4 </t>
  </si>
  <si>
    <t>ТВ7-04.1М</t>
  </si>
  <si>
    <t>ПРЭМ 50</t>
  </si>
  <si>
    <t xml:space="preserve">КТСП-Н </t>
  </si>
  <si>
    <t>СТВХ-80</t>
  </si>
  <si>
    <t xml:space="preserve">Счётчик газовый RVG G-400 </t>
  </si>
  <si>
    <t>ТВ7-07М</t>
  </si>
  <si>
    <t>КТСП-Н Pt100</t>
  </si>
  <si>
    <t>СВК-25</t>
  </si>
  <si>
    <t xml:space="preserve">АИР-20/М2-ДИ-130 </t>
  </si>
  <si>
    <t xml:space="preserve">Термопреобразователь сопротивления ТС-1088/1 </t>
  </si>
  <si>
    <t xml:space="preserve">АИР-20/М2-ДД-410 </t>
  </si>
  <si>
    <t xml:space="preserve">Счётчик газовый TRZ G-2500 </t>
  </si>
  <si>
    <t xml:space="preserve">Термометр сопротивления ТС-1088/1 </t>
  </si>
  <si>
    <t>ТВ7-04</t>
  </si>
  <si>
    <t>МФ-5.2 .2-Б -200</t>
  </si>
  <si>
    <t>ТПС Pt500</t>
  </si>
  <si>
    <t xml:space="preserve">Счётчик газовый СГ16МТ-1600-Р </t>
  </si>
  <si>
    <t>Взлёт ЭРСВ-540Ф В, ДУ300</t>
  </si>
  <si>
    <t>Взлёт ЭРСВ-570Ф В, ДУ32</t>
  </si>
  <si>
    <t>ВСХН-40</t>
  </si>
  <si>
    <t>ПАРУС "СУ-02"</t>
  </si>
  <si>
    <t>Прэм40</t>
  </si>
  <si>
    <t>ВСХН-80</t>
  </si>
  <si>
    <t xml:space="preserve">КИПиА </t>
  </si>
  <si>
    <t>Исходные данные для расчёта затрат на ТО, ТР оборудования электрохозяйства ООО "ТТК"</t>
  </si>
  <si>
    <t>№ п/п</t>
  </si>
  <si>
    <t>Адрес котельной</t>
  </si>
  <si>
    <t>Марка насоса (электродвигателя) (все оборудование, потребляющее эл и требующее ТР и ТО</t>
  </si>
  <si>
    <t>Мощность оборудования, кВт</t>
  </si>
  <si>
    <t>Норма времени на ед., ч/час</t>
  </si>
  <si>
    <t>Переодичность в год</t>
  </si>
  <si>
    <t>Всего за год, ч/час</t>
  </si>
  <si>
    <t>Разряд электрика</t>
  </si>
  <si>
    <t>Часовая тарифная ставка, руб.</t>
  </si>
  <si>
    <t>Затраты по оплате труда, тыс. руб. в мес</t>
  </si>
  <si>
    <t>Затраты по оплате труда, руб. в год</t>
  </si>
  <si>
    <t>Колличество, ед</t>
  </si>
  <si>
    <t>Стоимость за ед, руб</t>
  </si>
  <si>
    <t>Затраты по материалам, руб.</t>
  </si>
  <si>
    <t>Горелка котла №1</t>
  </si>
  <si>
    <t>Cib Unigas R1030 M-.MD.S.RU.A.8.80.EI</t>
  </si>
  <si>
    <t>тр</t>
  </si>
  <si>
    <t>Подшипник 6210 2Z C3</t>
  </si>
  <si>
    <t>то</t>
  </si>
  <si>
    <t>Горелка котла №2</t>
  </si>
  <si>
    <t>Горелка котла №3</t>
  </si>
  <si>
    <t>Cib Unigas R2050 M-.MD.S.RU.A.8.80.EI</t>
  </si>
  <si>
    <t>Подшипник 6212 2Z C3</t>
  </si>
  <si>
    <t>Горелка котла №4</t>
  </si>
  <si>
    <t>Сетевой насос</t>
  </si>
  <si>
    <t>Wilo IL 200/370-45/4</t>
  </si>
  <si>
    <t>Подшипник 6213 2Z C3</t>
  </si>
  <si>
    <t>Wilo IL 200/370-55/4</t>
  </si>
  <si>
    <t>Подшипник 6215 2Z C3</t>
  </si>
  <si>
    <t>Рециркуляционный насос</t>
  </si>
  <si>
    <t>Wilo IL 80/160-1.5/4</t>
  </si>
  <si>
    <t>Подшипник 6205 2Z C3</t>
  </si>
  <si>
    <t>Подшипник 6004 2Z C3</t>
  </si>
  <si>
    <t>Wilo IL 100/160-2.2/4</t>
  </si>
  <si>
    <t>Подшипник 6206 2Z C3</t>
  </si>
  <si>
    <t>Подпиточный насос</t>
  </si>
  <si>
    <t>Wilo MHI 1603-1/E/3-400-50-2/1 E3</t>
  </si>
  <si>
    <t>Насос сырой воды</t>
  </si>
  <si>
    <t>Трёхфазный автоматический выключатель на номинальный ток до 200А -9шт</t>
  </si>
  <si>
    <t>CVS</t>
  </si>
  <si>
    <t>Наждачная бумага М-40 3 листа 170х240</t>
  </si>
  <si>
    <t>Пускатели магнитные для электродвигателей, мощностью до 17кВт -6шт</t>
  </si>
  <si>
    <t>Наждачная бумага М-40 2 листа 170х240</t>
  </si>
  <si>
    <t>Частотный преобразователь -4шт</t>
  </si>
  <si>
    <t>ESQ</t>
  </si>
  <si>
    <t>Определяется на основании дифектовки</t>
  </si>
  <si>
    <t>Щит наружного освещения этап 1</t>
  </si>
  <si>
    <t>Автоматический выключатель ВА47-29 1Р, 16А х-ка С</t>
  </si>
  <si>
    <t>Щит распределительный нагрузочный розеток</t>
  </si>
  <si>
    <t>Аварийное освещение котельной</t>
  </si>
  <si>
    <t>Блок аварийного питания 40Вт аккум. 1ч. 220В (220В)</t>
  </si>
  <si>
    <t>Рабочее освещение котельной</t>
  </si>
  <si>
    <t>Лампа светодиод. 20W 6500К 2000Лм G13 T8 220V (1200мм.)</t>
  </si>
  <si>
    <t>Эвакуационное освещение котельной</t>
  </si>
  <si>
    <t xml:space="preserve">Светильник аварийный LED 2ч. "ВЫХОД-EXIT" 220В </t>
  </si>
  <si>
    <t xml:space="preserve">Светильник аварийный LED 2ч. "ВЫХОД ЗАПАСНЫЙ" 220В </t>
  </si>
  <si>
    <t>Внутрикотельные силовые сети сечением до 6мм2</t>
  </si>
  <si>
    <t>Изолента ПВХ, рул</t>
  </si>
  <si>
    <t xml:space="preserve">Наждачная бумага М-40 </t>
  </si>
  <si>
    <t>Внутрикотельные силовые сети сечением от 10 до 16мм2</t>
  </si>
  <si>
    <t>Внутрикотельные силовые сети сечением от 25 до 35мм2</t>
  </si>
  <si>
    <t>Осветительные сети сечением от 1,5 до 4мм2</t>
  </si>
  <si>
    <t>Вводно-распределительное устройство котельной 0,4кВ</t>
  </si>
  <si>
    <t>Газовая горелка котла К1.1</t>
  </si>
  <si>
    <t>IBSM 1400</t>
  </si>
  <si>
    <t>Блок управл котла К1.1</t>
  </si>
  <si>
    <t>Насос котловой рециркул</t>
  </si>
  <si>
    <t>IL 100/200-4/4</t>
  </si>
  <si>
    <t>Подшипник 6306 2Z C3</t>
  </si>
  <si>
    <t>Газовая горелка котла К1.2</t>
  </si>
  <si>
    <t>Блок управл котла К1.2</t>
  </si>
  <si>
    <t>Насос сырой воды раб</t>
  </si>
  <si>
    <t>HMP 603</t>
  </si>
  <si>
    <t>Подшипник 6202 2Z C3</t>
  </si>
  <si>
    <t>Насос сырой воды резер</t>
  </si>
  <si>
    <t>Насос подпиточн раб</t>
  </si>
  <si>
    <t>HMP 604</t>
  </si>
  <si>
    <t>Насос подпиточн резерв</t>
  </si>
  <si>
    <t>Насос сетевой  раб</t>
  </si>
  <si>
    <t>Wilo</t>
  </si>
  <si>
    <t>Подшипник 6317 C3</t>
  </si>
  <si>
    <t>Насос сетевой рез</t>
  </si>
  <si>
    <t>Газовая горелка котла К1.3</t>
  </si>
  <si>
    <t>Блок управл котла К1.3</t>
  </si>
  <si>
    <t>Газовая горелка котла К1.4</t>
  </si>
  <si>
    <t>Блок управл котла К1.4</t>
  </si>
  <si>
    <t>Станция поддер давления</t>
  </si>
  <si>
    <t xml:space="preserve">
Transfero TecBox Ti 62.2 PC1</t>
  </si>
  <si>
    <t>Щит управления сетевыми насосами с частотным преобразователем и устройствами плавного пуска</t>
  </si>
  <si>
    <t>Пускатели магнитные для электродвигателей, мощностью до 17кВт -8шт</t>
  </si>
  <si>
    <t>Щит рабочего освещения на 9 групп</t>
  </si>
  <si>
    <t>Щит аварийного освещения на 2 группы</t>
  </si>
  <si>
    <t>Ящики с понижающими трансформаторами ремонтного освещения -2шт</t>
  </si>
  <si>
    <t>ЯТП-0,25</t>
  </si>
  <si>
    <t>Внутрикотельные силовые сети сечением от 50 до 70мм2</t>
  </si>
  <si>
    <t>Вводно-распределительное устройство котельной 0,4кВ с АВР из 5 панелей</t>
  </si>
  <si>
    <t>Распределительные сети заземления</t>
  </si>
  <si>
    <t>Эмаль ПФ-115 цвет черный, 1 кг</t>
  </si>
  <si>
    <t xml:space="preserve">    Дутьевой вентилятор № 1</t>
  </si>
  <si>
    <t>CIB UNIGAS R525A M-MD</t>
  </si>
  <si>
    <t>Подшипник 6209 2Z C3</t>
  </si>
  <si>
    <t xml:space="preserve">    Дутьевой вентилятор № 2</t>
  </si>
  <si>
    <t xml:space="preserve">    Дутьевой вентилятор № 3</t>
  </si>
  <si>
    <t xml:space="preserve">    Подпиточный насос  № 1</t>
  </si>
  <si>
    <t>WILO MHI405N-1/E/3-400-50-2</t>
  </si>
  <si>
    <t xml:space="preserve">    Подпиточный насос №2</t>
  </si>
  <si>
    <t xml:space="preserve">    Насос сырой воды </t>
  </si>
  <si>
    <t>ЭЦВ 6-10-80</t>
  </si>
  <si>
    <t>смазка EFELE MG-211, грамм</t>
  </si>
  <si>
    <t xml:space="preserve">    Сетевой насос </t>
  </si>
  <si>
    <t>WILO NL150/400-45-4-12</t>
  </si>
  <si>
    <t xml:space="preserve">     Рециркуляционный насос</t>
  </si>
  <si>
    <t>WILO Stratos GIGA100/1-13/1.9</t>
  </si>
  <si>
    <t>Пускатели магнитные для электродвигателей, мощностью до 17кВт -7шт</t>
  </si>
  <si>
    <t>Наждачная бумага М-40, лист</t>
  </si>
  <si>
    <t>Пускатели магнитные для электродвигателей, мощностью до 30кВт -3шт</t>
  </si>
  <si>
    <t>Пускатели магнитные для электродвигателей, мощностью до 55кВт -4шт</t>
  </si>
  <si>
    <t>Щит рабочего освещения на 8 групп</t>
  </si>
  <si>
    <t>Щит аварийного освещения на 4 группы</t>
  </si>
  <si>
    <t xml:space="preserve">Вводно-распределительное устройство котельной 0,4кВ </t>
  </si>
  <si>
    <t>Эмаль ПФ-115 цвет черный, кг</t>
  </si>
  <si>
    <t>BGN-350</t>
  </si>
  <si>
    <t>Подшипник 6208 2Z C3</t>
  </si>
  <si>
    <t>COMIST 122</t>
  </si>
  <si>
    <t>Насос внутрен контура №1</t>
  </si>
  <si>
    <t>Grundfos TPE 100-330/4-S</t>
  </si>
  <si>
    <t>Подшипник 6309 2Z C3</t>
  </si>
  <si>
    <t>Насос внутрен контура №2</t>
  </si>
  <si>
    <t>Насос внутрен контура №3</t>
  </si>
  <si>
    <t>Наcос внешнего контура №1 с частотным преобразователем</t>
  </si>
  <si>
    <t>Grundfos  TPE 100-170/4-S</t>
  </si>
  <si>
    <t>Наcос внешнего контура №2 с частотным преобразователем</t>
  </si>
  <si>
    <t>Наcос внешнего контура №3 с частотным преобразователем</t>
  </si>
  <si>
    <t>Подпиточный насос №1</t>
  </si>
  <si>
    <t>Grundfos  cr5-7-a-fgj-a-e-hqqe</t>
  </si>
  <si>
    <t>Подпиточный насос №2</t>
  </si>
  <si>
    <t>Пускатели магнитные для электродвигателей, мощностью до 17кВт -3шт</t>
  </si>
  <si>
    <t>Щит рабочего освещения на 4 группы</t>
  </si>
  <si>
    <t>Ящик с понижающим трансформатором ремонтного освещения</t>
  </si>
  <si>
    <t>Щит силовой управления котельной с автоматами на 22 группы</t>
  </si>
  <si>
    <t>IBSM ENERGY 850</t>
  </si>
  <si>
    <t>IBSM ENERGY 1400</t>
  </si>
  <si>
    <t>Wilo il250/385-75/4</t>
  </si>
  <si>
    <t>Наос внешнего контура №1</t>
  </si>
  <si>
    <t>Наос внешнего контура №2</t>
  </si>
  <si>
    <t>Wilo  MHI206</t>
  </si>
  <si>
    <t>Скважинный насос</t>
  </si>
  <si>
    <t>Grundfos</t>
  </si>
  <si>
    <t>Частотный преобразователь -2шт</t>
  </si>
  <si>
    <t>Danfoss</t>
  </si>
  <si>
    <t xml:space="preserve">Частотный преобразователь </t>
  </si>
  <si>
    <t>Щит рабочего освещения на 12 групп</t>
  </si>
  <si>
    <t>Пускатели магнитные нереверсивные для электродвигателей, мощностью 75кВт -2шт</t>
  </si>
  <si>
    <t>Вводно-распределительное устройство котельной 0,4кВ с АВР -3 панели</t>
  </si>
  <si>
    <t>Riello  rls650 m</t>
  </si>
  <si>
    <t>Burners rx2080M</t>
  </si>
  <si>
    <t>Горелка котла №5</t>
  </si>
  <si>
    <t>Насос сетевой №1</t>
  </si>
  <si>
    <t>Wilo BL100/315</t>
  </si>
  <si>
    <t>Насос сетевой №2</t>
  </si>
  <si>
    <t>Насос сетевой №3</t>
  </si>
  <si>
    <t>Насос сетевой №4</t>
  </si>
  <si>
    <t>Wilo IL200/380-75/4</t>
  </si>
  <si>
    <t>Насос сетевой №5</t>
  </si>
  <si>
    <t>Насос сетевой №6</t>
  </si>
  <si>
    <t>Рецирк. Насос котла №1</t>
  </si>
  <si>
    <t>Wilo BL40/150</t>
  </si>
  <si>
    <t>Рецирк. Насос котла №2</t>
  </si>
  <si>
    <t>Wilo  IPL65/150</t>
  </si>
  <si>
    <t>Рецирк. Насос котла №3</t>
  </si>
  <si>
    <t>Рецирк. Насос котла №4</t>
  </si>
  <si>
    <t>Wilo IL200/170-4/4</t>
  </si>
  <si>
    <t>Рецирк. Насос котла №5</t>
  </si>
  <si>
    <t>Wilo IL200/170-4/5</t>
  </si>
  <si>
    <t>Насос котла №4</t>
  </si>
  <si>
    <t>Wilo IL200/230-11/4</t>
  </si>
  <si>
    <t>Насос котла №5</t>
  </si>
  <si>
    <t xml:space="preserve"> Насос сырой воды №1</t>
  </si>
  <si>
    <t>Wilo MVIL904-16/e/1-230-50-2</t>
  </si>
  <si>
    <t xml:space="preserve"> Насос сырой воды №2</t>
  </si>
  <si>
    <t>Wilo  MP604N-DM</t>
  </si>
  <si>
    <t>Пускатели магнитные нереверсивные для электродвигателей, мощностью до 17кВт     -11шт</t>
  </si>
  <si>
    <t>Пускатели магнитные нереверсивные для электродвигателей, мощностью до 30кВт     -3шт</t>
  </si>
  <si>
    <t>Пускатели магнитные нереверсивные для электродвигателей, мощностью 75кВт -3шт</t>
  </si>
  <si>
    <t xml:space="preserve">Вводно-распределительное устройство котельной 0,4кВ с АВР </t>
  </si>
  <si>
    <t xml:space="preserve">Эмаль ПФ-115 цвет черный </t>
  </si>
  <si>
    <t>Исходные данные для расчета затрат на ТО, ТР газового оборудования ООО "ТТК"</t>
  </si>
  <si>
    <t>Периодичность
 в год</t>
  </si>
  <si>
    <t>Разряд, слесаря</t>
  </si>
  <si>
    <t xml:space="preserve">Затраты по оплате труда, руб. </t>
  </si>
  <si>
    <t>Газовое оборудование котела №1</t>
  </si>
  <si>
    <t>Паронит листовой толщ.3мм</t>
  </si>
  <si>
    <t>кг</t>
  </si>
  <si>
    <t xml:space="preserve">Мембранное полотно </t>
  </si>
  <si>
    <t>Газовое оборудование котела №2</t>
  </si>
  <si>
    <t>Лента ФУМ (рул. по 0,016 кг)</t>
  </si>
  <si>
    <t>Лен очищенный «Пакля»</t>
  </si>
  <si>
    <t>Газовое оборудование котела №3</t>
  </si>
  <si>
    <t>масло « Shell Morlina 10»</t>
  </si>
  <si>
    <t xml:space="preserve">ТР </t>
  </si>
  <si>
    <t>Сальниковая набивка</t>
  </si>
  <si>
    <t>Газовое оборудование котела №4</t>
  </si>
  <si>
    <t>Резина листовая МБС</t>
  </si>
  <si>
    <t>Газовое оборудование котела №5</t>
  </si>
  <si>
    <t xml:space="preserve">Газовое оборудование ГРУ1линия: Фильтр, ПЗК, ПСК, Регулятор, Газовый счетчик </t>
  </si>
  <si>
    <t>Т осм</t>
  </si>
  <si>
    <t>Проверка срабатывания</t>
  </si>
  <si>
    <t xml:space="preserve">Газовое оборудование ГРУ2линия: Фильтр, ПЗК, ПСК, Регулятор, Газовый счетчик </t>
  </si>
  <si>
    <t>л.</t>
  </si>
  <si>
    <t xml:space="preserve">К таблицам приложить </t>
  </si>
  <si>
    <t>1.</t>
  </si>
  <si>
    <t>2.</t>
  </si>
  <si>
    <t>3.</t>
  </si>
  <si>
    <t>страх</t>
  </si>
  <si>
    <t>итого</t>
  </si>
  <si>
    <t>час.ставка</t>
  </si>
  <si>
    <t>Слесарь</t>
  </si>
  <si>
    <t>энергетик</t>
  </si>
  <si>
    <t>Специалист КИПиА</t>
  </si>
  <si>
    <t>Фонд оплаты труда</t>
  </si>
  <si>
    <t>Отчисления на социальные нужды</t>
  </si>
  <si>
    <t xml:space="preserve">Расходы по содержанию и эксплуатации оборудования, в том числе:   </t>
  </si>
  <si>
    <t>- амортизация</t>
  </si>
  <si>
    <t>- арендная плата</t>
  </si>
  <si>
    <t>НД1</t>
  </si>
  <si>
    <t>НД2</t>
  </si>
  <si>
    <t>АА1</t>
  </si>
  <si>
    <t>Славянка</t>
  </si>
  <si>
    <t>Лиговский</t>
  </si>
  <si>
    <t>Кияшко</t>
  </si>
  <si>
    <t>КАЛЬКУЛЯЦИЯ</t>
  </si>
  <si>
    <t>экономической обоснованности расходов по статьям затрат, обоснование объемов полезного отпуска тепловой энергии (мощности) и величины прибыли, необходимой для эффективного функционирования регулируемой организации на 2024 г.</t>
  </si>
  <si>
    <t>ООО "Тепловая транспортная компания"</t>
  </si>
  <si>
    <t>№ пп</t>
  </si>
  <si>
    <t>Наименование показателей</t>
  </si>
  <si>
    <t>Ед. измере-ния</t>
  </si>
  <si>
    <t>Факт 2021 г.</t>
  </si>
  <si>
    <t xml:space="preserve"> РЭК-ДЦиТ          на 2022 г.</t>
  </si>
  <si>
    <t>Конгрессная (утвержденный)</t>
  </si>
  <si>
    <t>Тех.</t>
  </si>
  <si>
    <t>Факт 2022 год</t>
  </si>
  <si>
    <t xml:space="preserve"> ИТОГО СЦТ 2</t>
  </si>
  <si>
    <t xml:space="preserve">Конгрессная </t>
  </si>
  <si>
    <t>Предприятие на 2024 год</t>
  </si>
  <si>
    <t>Предприятие на 2025 год</t>
  </si>
  <si>
    <t>A</t>
  </si>
  <si>
    <t>B</t>
  </si>
  <si>
    <t>C</t>
  </si>
  <si>
    <t>Выработка тепловой энергии</t>
  </si>
  <si>
    <t>Гкал</t>
  </si>
  <si>
    <t>СНК</t>
  </si>
  <si>
    <t>Покупная тепловая энергия</t>
  </si>
  <si>
    <t>4.</t>
  </si>
  <si>
    <t>Отпуск в сеть</t>
  </si>
  <si>
    <t>5.</t>
  </si>
  <si>
    <t>Потери в сетях</t>
  </si>
  <si>
    <t>6.</t>
  </si>
  <si>
    <t>Полезный отпуск тепловой энергии</t>
  </si>
  <si>
    <t>в т.ч. 1) на сторону:</t>
  </si>
  <si>
    <t xml:space="preserve">         -  население</t>
  </si>
  <si>
    <t xml:space="preserve">         - бюджет</t>
  </si>
  <si>
    <t xml:space="preserve">         - прочие, </t>
  </si>
  <si>
    <t>в т.ч. организации-перепродавцы</t>
  </si>
  <si>
    <t>2) собственное потребление</t>
  </si>
  <si>
    <t>Перевыставлено/недовыставлено</t>
  </si>
  <si>
    <t>7.</t>
  </si>
  <si>
    <t>Себестоимость по статьям затрат:</t>
  </si>
  <si>
    <t>7.1.</t>
  </si>
  <si>
    <t>Топливо на технологические нужды,                                          в том числе:</t>
  </si>
  <si>
    <t>т.у.т.</t>
  </si>
  <si>
    <t>тыс. руб.</t>
  </si>
  <si>
    <t>7.1.1.</t>
  </si>
  <si>
    <r>
      <t>природный газ ВСЕГО,                                                                в том числе по группам потребителей с объемом потребления газа (млн,м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/год):</t>
    </r>
  </si>
  <si>
    <t>тыс. м3</t>
  </si>
  <si>
    <t>руб./т.м3</t>
  </si>
  <si>
    <t>тыс.руб.</t>
  </si>
  <si>
    <t>до 0,01 включительно</t>
  </si>
  <si>
    <t>цена газа</t>
  </si>
  <si>
    <t>сумма</t>
  </si>
  <si>
    <t>от 0,01 до 0,1 включительно</t>
  </si>
  <si>
    <t>от 0,1 до 1 включительно</t>
  </si>
  <si>
    <t>от 1 до 10 включительно</t>
  </si>
  <si>
    <t>от 10 до 100 включительно</t>
  </si>
  <si>
    <t>7.1.2.</t>
  </si>
  <si>
    <t xml:space="preserve">печное топливо </t>
  </si>
  <si>
    <t>тн</t>
  </si>
  <si>
    <t>руб./тонн</t>
  </si>
  <si>
    <t>7.1.3.</t>
  </si>
  <si>
    <t xml:space="preserve">мазут </t>
  </si>
  <si>
    <t>7.1.4.</t>
  </si>
  <si>
    <t xml:space="preserve">Уголь   </t>
  </si>
  <si>
    <t>7.1.5.</t>
  </si>
  <si>
    <t xml:space="preserve">Дизельное топливо  </t>
  </si>
  <si>
    <t>7.1.6.</t>
  </si>
  <si>
    <t xml:space="preserve">Дрова       </t>
  </si>
  <si>
    <t>7.1.7.</t>
  </si>
  <si>
    <t xml:space="preserve">Сжиженный газ   </t>
  </si>
  <si>
    <t>7.1.8.</t>
  </si>
  <si>
    <t>Иное топливо</t>
  </si>
  <si>
    <t>руб/тонн</t>
  </si>
  <si>
    <t>7.2.</t>
  </si>
  <si>
    <t xml:space="preserve">Покупная тепловая энергия </t>
  </si>
  <si>
    <t>руб./Гкал</t>
  </si>
  <si>
    <t>7.3.</t>
  </si>
  <si>
    <t>Покупная электроэнергия,                                                        в том числе:</t>
  </si>
  <si>
    <t>тыс.кВт.ч</t>
  </si>
  <si>
    <t>руб./кВт</t>
  </si>
  <si>
    <t>по уровню НН количество</t>
  </si>
  <si>
    <t>тариф НН</t>
  </si>
  <si>
    <t>по уровню СН2 количество</t>
  </si>
  <si>
    <t>тариф СН2</t>
  </si>
  <si>
    <t>по уровню СН1 количество</t>
  </si>
  <si>
    <t>тариф СН1</t>
  </si>
  <si>
    <t>по уровню ВН количество</t>
  </si>
  <si>
    <t>тариф ВН</t>
  </si>
  <si>
    <t xml:space="preserve"> 7.4</t>
  </si>
  <si>
    <t xml:space="preserve">Вода </t>
  </si>
  <si>
    <t xml:space="preserve"> тыс.м3</t>
  </si>
  <si>
    <t>руб./м3</t>
  </si>
  <si>
    <t xml:space="preserve">        1)  на технологические нужды </t>
  </si>
  <si>
    <t xml:space="preserve">тариф </t>
  </si>
  <si>
    <t xml:space="preserve">         2) на нужды ГВС (справочно)</t>
  </si>
  <si>
    <t>7.5.</t>
  </si>
  <si>
    <t>Водоотведение сточных вод</t>
  </si>
  <si>
    <t>7.6.</t>
  </si>
  <si>
    <t xml:space="preserve">  Основной персонал</t>
  </si>
  <si>
    <t xml:space="preserve">  Ремонтный персонал</t>
  </si>
  <si>
    <t xml:space="preserve">  Цеховый персонал</t>
  </si>
  <si>
    <t xml:space="preserve">  АУП</t>
  </si>
  <si>
    <t xml:space="preserve"> 7.7</t>
  </si>
  <si>
    <t xml:space="preserve"> 7.8</t>
  </si>
  <si>
    <t>- затраты на ремонт и обслуживание</t>
  </si>
  <si>
    <t xml:space="preserve"> тыс.руб.</t>
  </si>
  <si>
    <t xml:space="preserve"> 7.9</t>
  </si>
  <si>
    <t>Цеховые расходы</t>
  </si>
  <si>
    <t>8.</t>
  </si>
  <si>
    <t>ИТОГО цеховая себестоимость:</t>
  </si>
  <si>
    <t>8.1.</t>
  </si>
  <si>
    <t>Цеховая себестоимость 1 Гкал.</t>
  </si>
  <si>
    <t>9.</t>
  </si>
  <si>
    <t>Общехозяйственные расходы (в т.ч. налог на имущество)</t>
  </si>
  <si>
    <t>Итого производственная себестоимость:</t>
  </si>
  <si>
    <t>Производ. себестомость  на выработку тепловой энергии для собств. потреб.</t>
  </si>
  <si>
    <t>8.2.</t>
  </si>
  <si>
    <t>Производ. себестомость  на выработку тепловой энергии для реализации</t>
  </si>
  <si>
    <t>Необходимая расчетная прибыль, в том числе:</t>
  </si>
  <si>
    <t xml:space="preserve">    прибыль на соцразвитие</t>
  </si>
  <si>
    <t xml:space="preserve">    прибыль на прочие цели</t>
  </si>
  <si>
    <t xml:space="preserve">     налог на прибыль (или налог, уплач. при спецрежиме)</t>
  </si>
  <si>
    <t>10.</t>
  </si>
  <si>
    <t>Итого необходимая валовая выручка</t>
  </si>
  <si>
    <t>11.</t>
  </si>
  <si>
    <t>Выручка на реализацию тепловой энергии</t>
  </si>
  <si>
    <t>12.</t>
  </si>
  <si>
    <t>Выпадающие расходы (-)/ излишне полученные доходы (+) в доле на реализацию т/э</t>
  </si>
  <si>
    <t>13.</t>
  </si>
  <si>
    <t>Выручка на реализацию с учетом Выпадающих расходов (-)/ излишне полученных доходов (+) (Товарная выручка на сторону)</t>
  </si>
  <si>
    <t>14.</t>
  </si>
  <si>
    <t>Себестоимость реализации 1 Гкал.</t>
  </si>
  <si>
    <t>ЭОТ тариф (без НДС)  на тепловую энергию</t>
  </si>
  <si>
    <r>
      <t>руб./</t>
    </r>
    <r>
      <rPr>
        <b/>
        <sz val="10"/>
        <rFont val="Times New Roman"/>
        <family val="1"/>
        <charset val="204"/>
      </rPr>
      <t>Гкал</t>
    </r>
  </si>
  <si>
    <t>С НДС</t>
  </si>
  <si>
    <t>О.А. Яшина</t>
  </si>
  <si>
    <t xml:space="preserve">Премия раз в месяц 30% </t>
  </si>
  <si>
    <t xml:space="preserve">Счетчик RABO G250 (п.3.16.193) </t>
  </si>
  <si>
    <t>Преобразователь абсолютного давления (п.2.5.99)</t>
  </si>
  <si>
    <t>Преобразователь температуры ТС (п. 1.1.3)</t>
  </si>
  <si>
    <t>Вычислитель ЕК-270 (п.8.327)</t>
  </si>
  <si>
    <t>Клеммы, контакты (п.13.431)</t>
  </si>
  <si>
    <t>ТО-1</t>
  </si>
  <si>
    <t>Счетчик ИРВИС-Ультра ПП16- DN150 (п.3.16.193)</t>
  </si>
  <si>
    <t>Вычислитель ИРВИС-Ультра (п.8.327)</t>
  </si>
  <si>
    <t>Блок питания (п.8.337)</t>
  </si>
  <si>
    <t>Принтер (табл. 1, п.8 и п.11)</t>
  </si>
  <si>
    <t>Счетчик TRZ G1000 DN150 (п.3.16.193)</t>
  </si>
  <si>
    <t>блок Альфа-М</t>
  </si>
  <si>
    <t>плата контроля факела</t>
  </si>
  <si>
    <t>ключ управления</t>
  </si>
  <si>
    <t>светозвуковая арматура</t>
  </si>
  <si>
    <t>реле РПУ</t>
  </si>
  <si>
    <t>трансформатор эл питания</t>
  </si>
  <si>
    <t>трансформатор розжига</t>
  </si>
  <si>
    <t>электро запальник</t>
  </si>
  <si>
    <t>контрольный электрод</t>
  </si>
  <si>
    <t>ЭИМ газ клапан</t>
  </si>
  <si>
    <t>Регулятор 2ТРМ-1</t>
  </si>
  <si>
    <t>Сигн. уровня ЕSР,САУ-М7 и др.</t>
  </si>
  <si>
    <t>Контроллер ТРМ-32</t>
  </si>
  <si>
    <t xml:space="preserve">Регулирующий  клапан </t>
  </si>
  <si>
    <t>Исполнит.механизм МИС  ПКН, ЗСК</t>
  </si>
  <si>
    <t>датчик ТСМ-50</t>
  </si>
  <si>
    <t>датчик Р газа ДН 250</t>
  </si>
  <si>
    <t>Датчик тяги ДНТ 100</t>
  </si>
  <si>
    <t>Датчик Р воды ЭКМ</t>
  </si>
  <si>
    <t>автомат эл питания</t>
  </si>
  <si>
    <t>Сигнализатор загазованности СТГ1</t>
  </si>
  <si>
    <t>манометр МП</t>
  </si>
  <si>
    <t>прибор ТНМП/НМП</t>
  </si>
  <si>
    <t>Пульт управления котлом Bosch UT-L-50</t>
  </si>
  <si>
    <t>Автомат горения LOA/LMO/LMG Siemens</t>
  </si>
  <si>
    <t>Электрод ионизации Bosch</t>
  </si>
  <si>
    <t>Термометр КТСП-Н</t>
  </si>
  <si>
    <t xml:space="preserve">Манометр технический </t>
  </si>
  <si>
    <t>Датчик-реле давления</t>
  </si>
  <si>
    <t>Сейсмодатчик SEISMIC M16</t>
  </si>
  <si>
    <t>Блок сигнализации и управления газ-ов</t>
  </si>
  <si>
    <t>Сигнализатор загазованности</t>
  </si>
  <si>
    <t>Блок управления котлом ICI Unigas</t>
  </si>
  <si>
    <t>Электрод контрольный CIB Unigas</t>
  </si>
  <si>
    <t>Термометр сопротивления</t>
  </si>
  <si>
    <t>Термометр биметалический</t>
  </si>
  <si>
    <t>Датчик давления 4...20А</t>
  </si>
  <si>
    <t>Напоромеры НМП</t>
  </si>
  <si>
    <t>Мультиблок газовый</t>
  </si>
  <si>
    <t>Сетевой насос №1</t>
  </si>
  <si>
    <t>Сетевой насос №2</t>
  </si>
  <si>
    <t>Сетевой насос №3</t>
  </si>
  <si>
    <t>Сетевой насос №4</t>
  </si>
  <si>
    <t>Насос ГВС №1</t>
  </si>
  <si>
    <t>Насос ГВС №2</t>
  </si>
  <si>
    <t>Пускатели магнитные до 17кВт (6 шт)</t>
  </si>
  <si>
    <t>Осветительная сеть из кабеля  сечением 2,5мм2 (L=46м)</t>
  </si>
  <si>
    <t xml:space="preserve">Общее освещение котельной </t>
  </si>
  <si>
    <t xml:space="preserve">Внутрикотельная силовая сеть сечением до 6 мм2 </t>
  </si>
  <si>
    <t xml:space="preserve">Вводно-распределительное устройство с счётчиком </t>
  </si>
  <si>
    <t>АЦМС-90-2-2</t>
  </si>
  <si>
    <t>К45-30</t>
  </si>
  <si>
    <t>Calpeda NR65AE</t>
  </si>
  <si>
    <t>ЛСП 44-2х36</t>
  </si>
  <si>
    <t>Подшипник 6309</t>
  </si>
  <si>
    <t>Подшипник 6208</t>
  </si>
  <si>
    <t>смазка EFELE MG-211</t>
  </si>
  <si>
    <t>ЭПРА 2х36Вт Т8/G13</t>
  </si>
  <si>
    <t>Предохранители ПН2-60</t>
  </si>
  <si>
    <t>Газовая горелка котла №1</t>
  </si>
  <si>
    <t>RX2050 M</t>
  </si>
  <si>
    <t>Газовая горелка котла №2</t>
  </si>
  <si>
    <t>Газовая горелка котла №3</t>
  </si>
  <si>
    <t>К750А</t>
  </si>
  <si>
    <t>Насос котловой рециркуляции №1</t>
  </si>
  <si>
    <t>TD150-12.5/4G</t>
  </si>
  <si>
    <t>Насос котловой рециркуляции №2</t>
  </si>
  <si>
    <t>Насос котловой рециркуляции №3</t>
  </si>
  <si>
    <t>LLT125-5A-3</t>
  </si>
  <si>
    <t>NM100/200-202</t>
  </si>
  <si>
    <t>Насос подпитки №1</t>
  </si>
  <si>
    <t>ST 5 230/400-50</t>
  </si>
  <si>
    <t>Насос подпитки №2</t>
  </si>
  <si>
    <t>Повысительный насос подпитки №1</t>
  </si>
  <si>
    <t>NMM 32-160-146</t>
  </si>
  <si>
    <t>Повысительный насос подпитки №2</t>
  </si>
  <si>
    <t>Насос воды №1</t>
  </si>
  <si>
    <t>ECH10-50</t>
  </si>
  <si>
    <t>Насос воды №2</t>
  </si>
  <si>
    <t>Частотный преобразователь -9шт</t>
  </si>
  <si>
    <t>ELHART</t>
  </si>
  <si>
    <t>Выключатели автоматические
установочные на номинальный ток до 200А  -35 шт.</t>
  </si>
  <si>
    <t>Выключатели автоматические
установочные на номинальный ток до 400А  -1 шт.</t>
  </si>
  <si>
    <t>Выключатели автоматические
установочные на номинальный ток до 500А  -2 шт.</t>
  </si>
  <si>
    <t>Разъединители на ток 630А -2шт</t>
  </si>
  <si>
    <t>Щит общего освещения на 6 групп</t>
  </si>
  <si>
    <t>Щит аварийного освещения на 3 группы</t>
  </si>
  <si>
    <t>Трансформатор ремонтного освещения</t>
  </si>
  <si>
    <t>Внутрикотельные силовые сети сечением до 6мм2 -397м</t>
  </si>
  <si>
    <t>Внутрикотельные силовые сети сечением 16мм2 -30м</t>
  </si>
  <si>
    <t>Внутрикотельные силовые сети сечением 35мм2 -146м</t>
  </si>
  <si>
    <t>Осветительные сети сечением от 1,5 до 4мм2 -226м</t>
  </si>
  <si>
    <t>Релейная защита и электроавтоматика
с вторичными сетями на одну питающую линию (2 линии)</t>
  </si>
  <si>
    <t>Трансформаторы тока однофазные на напряжение 0,4кВ (6 шт.)</t>
  </si>
  <si>
    <t>Счетчики трехфазные для учета
активной и реактивной энергии -2шт.</t>
  </si>
  <si>
    <t>Меркурий 230</t>
  </si>
  <si>
    <t>Распределительные сети заземления -54м</t>
  </si>
  <si>
    <t>Подшипник 6206</t>
  </si>
  <si>
    <t>Подшипник 6205</t>
  </si>
  <si>
    <t>Автоматический выключатель ВА47-29, 1Р, 10А</t>
  </si>
  <si>
    <t>Меркурий 230 АRT-03 PQRSIDN</t>
  </si>
  <si>
    <t>1 кг</t>
  </si>
  <si>
    <t>«Водогрейная котельная, расположенная по адресу: г. Краснодар, ст. Елизаветинская, КГАУ учхоз «Кубань», земельный участок с кадастровым номером 3:43:0114001:544»</t>
  </si>
  <si>
    <t>N1060A M</t>
  </si>
  <si>
    <t>LLT125-5/4</t>
  </si>
  <si>
    <t>NIS150-125-400G/45</t>
  </si>
  <si>
    <t>CDM5-11</t>
  </si>
  <si>
    <t>NIS100-65-250G/7.5</t>
  </si>
  <si>
    <t>ESQ-770</t>
  </si>
  <si>
    <t>Выключатели автоматические
установочные на номинальный ток до 200А  -43 шт.</t>
  </si>
  <si>
    <t>Аварийное освещение котельной  -11шт</t>
  </si>
  <si>
    <t>ДПА-2104</t>
  </si>
  <si>
    <t>Рабочее освещение котельной   -23шт</t>
  </si>
  <si>
    <t xml:space="preserve"> VARTON IP65,
54W 4000K</t>
  </si>
  <si>
    <t>Наружное освещение котельной  -6шт</t>
  </si>
  <si>
    <t xml:space="preserve">ДКУ-100вт </t>
  </si>
  <si>
    <t>Внутрикотельные силовые сети сечением до 6мм2 -375м</t>
  </si>
  <si>
    <t>Внутрикотельные силовые сети сечением 16мм2 -78м</t>
  </si>
  <si>
    <t>Внутрикотельные силовые сети сечением 35мм2 -98м</t>
  </si>
  <si>
    <t>Осветительные сети сечением от 1,5 до 4мм2 -579м</t>
  </si>
  <si>
    <t>Распределительные сети заземления -174м</t>
  </si>
  <si>
    <t>Светильник ДПА-2104</t>
  </si>
  <si>
    <t>Светильник VARTON IP65,
54W 4000K</t>
  </si>
  <si>
    <t>Уличный консольный светильник
светодиодный ДКУ-100вт</t>
  </si>
  <si>
    <t>3 кг</t>
  </si>
  <si>
    <t>CIB UNIGAS R2050</t>
  </si>
  <si>
    <t>Wilo IL 150/370-45/4</t>
  </si>
  <si>
    <t>Рециркуляционный насос №1</t>
  </si>
  <si>
    <t>Рециркуляционный насос №2</t>
  </si>
  <si>
    <t>Рециркуляционный насос №3</t>
  </si>
  <si>
    <t>Wilo MHI
1603-1/E/3-400-50-2/I E3</t>
  </si>
  <si>
    <t>Насос сырой воды №1</t>
  </si>
  <si>
    <t>Насос сырой воды №2</t>
  </si>
  <si>
    <t>Трёхфазный автоматический выключатель на номинальный ток до 200А -22шт</t>
  </si>
  <si>
    <t>EKF Proximf</t>
  </si>
  <si>
    <t>Трёхфазный автоматический выключатель на номинальный ток до 400А -2шт</t>
  </si>
  <si>
    <t>ВА99/630</t>
  </si>
  <si>
    <t>Рубильник с центральной и
боковой рукояткой трехфаз
ный на номинальный ток до 600А -4шт.</t>
  </si>
  <si>
    <t>Щит освещения на 7 групп</t>
  </si>
  <si>
    <t>Частотный преобразователь -11шт</t>
  </si>
  <si>
    <t>Ящики с понижающими трансформаторами ремонтного освещения -1шт</t>
  </si>
  <si>
    <t>Светильники общего освещения 30 шт.</t>
  </si>
  <si>
    <t>СD LED 18 MS 4000K ARCTIC.OPL ECO LED 1500 H</t>
  </si>
  <si>
    <t>Внутрикотельные силовые сети сечением до 6мм2  -330м</t>
  </si>
  <si>
    <t>Внутрикотельные силовые сети сечением от 10 до 16мм2  -220м</t>
  </si>
  <si>
    <t>Внутрикотельные силовые сети сечением от 50 до 70мм2  -20м</t>
  </si>
  <si>
    <t>Внутрикотельные силовые сети сечением 95мм2  -20м</t>
  </si>
  <si>
    <t>Осветительные сети сечением от 1,5 до 4мм2 -530м</t>
  </si>
  <si>
    <t>ТШП-0,66 500/5А</t>
  </si>
  <si>
    <t>Распределительные сети заземления -65м</t>
  </si>
  <si>
    <t>Установки конденсаторные
регулируемые, для повышения
коэффициента мощности
напряжением 380 В, мощностью,
150 кВАр</t>
  </si>
  <si>
    <t>УКРМ-0,4-150-50</t>
  </si>
  <si>
    <t xml:space="preserve">Газовое оборудование ГРУ1линия: Газовый электромпгнитный клапан,  газовый счетчик TRZ-G1000, фильтр ФВ6-6, MADAS RG/2MB, ПСК50С/50 </t>
  </si>
  <si>
    <t xml:space="preserve">Газовое оборудование ГРУ2линия: Газовый электромпгнитный клапан,  газовый счетчик TRZ-G1000, фильтр ФВ6-6, MADAS RG/2MB, ПСК50С/50 </t>
  </si>
  <si>
    <t>Паронит ПОН-Б 3м    ГОСТ 481-80 ПРС</t>
  </si>
  <si>
    <t>Полотно мембранное резинотканевое 0,3 мм   ТУ 38 105362-97</t>
  </si>
  <si>
    <t>Полотно мембранное резинотканевое 1 мм      ТУ 38 105362-97</t>
  </si>
  <si>
    <t>Полотно мембранное резинотканевое 1,2мм    ТУ 38 105362-97</t>
  </si>
  <si>
    <t>Техпластина 1-Н-1-МБС-М 3мм</t>
  </si>
  <si>
    <t xml:space="preserve">Техпластина 1-Н-1-МБС-М 6мм </t>
  </si>
  <si>
    <t>Лента ФУМЛента ФУМ-1 0.1*20мм ТУ 6-05-1388-86</t>
  </si>
  <si>
    <t>Лён сантехнический</t>
  </si>
  <si>
    <t>мл.</t>
  </si>
  <si>
    <t>Набивка АП-31          ГОСТ 5152-84
Сечение (мм) 8x8</t>
  </si>
  <si>
    <t>Газовое оборудование котла №1 Unimat- UT-L- 50</t>
  </si>
  <si>
    <t>Газовое оборудование котла №2 Unimat- UT-L- 50</t>
  </si>
  <si>
    <t>Газовое оборудование котла №3 Unimat- UT-L- 40</t>
  </si>
  <si>
    <t>Газовое оборудование ГРУ 1 линия КТЗ-001-150, ФН-6- фильтр ВН-6Н РДГ-80Н ПСК 50с/50</t>
  </si>
  <si>
    <t>Газовое оборудование ГРУ 2 линия РДГ-80Н ПСК 50с/50; ФН-6- фильтр</t>
  </si>
  <si>
    <t>Газовое оборудование котла №1 CIB Unigas</t>
  </si>
  <si>
    <t>Газовое оборудование котла № 2 CIB Unigas</t>
  </si>
  <si>
    <t>Газовое оборудование котла №3 CIB Unigas</t>
  </si>
  <si>
    <t>Затраты по 10 котельным в год</t>
  </si>
  <si>
    <t>ВСЕГО ФОТ+ТМЦ</t>
  </si>
  <si>
    <r>
      <rPr>
        <b/>
        <sz val="12"/>
        <color theme="1"/>
        <rFont val="Times New Roman"/>
        <family val="1"/>
        <charset val="204"/>
      </rPr>
      <t>Норма времени на ед.,ч/час</t>
    </r>
    <r>
      <rPr>
        <sz val="12"/>
        <color theme="1"/>
        <rFont val="Times New Roman"/>
        <family val="1"/>
        <charset val="204"/>
      </rPr>
      <t xml:space="preserve"> - Типовые нормы времени на техническое обслуживание и ремонт оборудования газового хозяйства. В нормах времени на техническое обслуживание и ремонт оборудования газового хозяйства виды работ под пунктами с описанием - 1.1.1., 1.1.3., 1.1.4, 1.1.6, 2.1.3., 2.1.5;</t>
    </r>
  </si>
  <si>
    <r>
      <rPr>
        <b/>
        <sz val="12"/>
        <color theme="1"/>
        <rFont val="Times New Roman"/>
        <family val="1"/>
        <charset val="204"/>
      </rPr>
      <t xml:space="preserve">Периодичность  </t>
    </r>
    <r>
      <rPr>
        <sz val="12"/>
        <color theme="1"/>
        <rFont val="Times New Roman"/>
        <family val="1"/>
        <charset val="204"/>
      </rPr>
      <t>- Федеральные нормы и правила в области промышленной безопасности, правила безопасности сетей газораспределения и газопотребления, технический регламент о безопасности сетей газораспределения и газопотребления (п. 99).</t>
    </r>
  </si>
  <si>
    <r>
      <rPr>
        <b/>
        <sz val="12"/>
        <color theme="1"/>
        <rFont val="Times New Roman"/>
        <family val="1"/>
        <charset val="204"/>
      </rPr>
      <t>Нормирование материалов</t>
    </r>
    <r>
      <rPr>
        <sz val="12"/>
        <color theme="1"/>
        <rFont val="Times New Roman"/>
        <family val="1"/>
        <charset val="204"/>
      </rPr>
      <t xml:space="preserve"> - Рекомендации по нормированию материальных ресурсов на техническое обслуживание и ремонт теплоэнергетического оборудования и тепловых сетей (пункт 3.5. Тепловые сети - 3.5.1. Трубопроводы и трубопроводная арматура.).</t>
    </r>
  </si>
  <si>
    <t>ФОТ расчитан по часовой тарифной ставке ООО "СКС" на 2024 год, без учета индексации зароботной платы. Взносы не учтены</t>
  </si>
  <si>
    <t>Расчет НМЦ ТО газового оборудования, КИПиА, метрологического оборудования, электрохозяйства</t>
  </si>
  <si>
    <t>Расходы по статьям затрат:</t>
  </si>
  <si>
    <t xml:space="preserve">Расходы по содержанию и эксплуатации оборудования </t>
  </si>
  <si>
    <t>ИТОГО сумма прямых затрат:</t>
  </si>
  <si>
    <t>Цеховые расходы(гсм, транспортные расходы, м/осмотр, спец.одежда и пр.)</t>
  </si>
  <si>
    <t>ИТОГО сумма затрат:</t>
  </si>
  <si>
    <t>Необходимая расчетная прибыль:</t>
  </si>
  <si>
    <t xml:space="preserve">Налог на прибыль </t>
  </si>
  <si>
    <t xml:space="preserve">Начальник ПЭО </t>
  </si>
  <si>
    <t>Н.В. Волокитина</t>
  </si>
  <si>
    <t>Взносы по ЗП</t>
  </si>
  <si>
    <t>Премирование 30%</t>
  </si>
  <si>
    <t>Счет</t>
  </si>
  <si>
    <t>Обороты за период</t>
  </si>
  <si>
    <t>Статьи затрат</t>
  </si>
  <si>
    <t>Дебет</t>
  </si>
  <si>
    <t>302 471 496,52</t>
  </si>
  <si>
    <t>&lt;...&gt;</t>
  </si>
  <si>
    <t>-26 383,38</t>
  </si>
  <si>
    <t>Аварийно-диспетчерское обслуживание</t>
  </si>
  <si>
    <t>28 002 462,11</t>
  </si>
  <si>
    <t>Аварийно-спасательные работы</t>
  </si>
  <si>
    <t>37 500,03</t>
  </si>
  <si>
    <t>Амортизация</t>
  </si>
  <si>
    <t>43 534 106,40</t>
  </si>
  <si>
    <t>Амортизация Котельная "Славянка"</t>
  </si>
  <si>
    <t>9 778 335,95</t>
  </si>
  <si>
    <t>Амортизация Котельная 1-й проезд Лиговский</t>
  </si>
  <si>
    <t>6 213 507,68</t>
  </si>
  <si>
    <t>Амортизация Котельная КН 23:43:0137001:7621 (Ивана Кияшко,д.6)</t>
  </si>
  <si>
    <t>254 619,09</t>
  </si>
  <si>
    <t>Амортизация Тепловые сети КН 23:43:0106012:7693;9476;13573; (Западный обход д.39/2)</t>
  </si>
  <si>
    <t>1 587 915,07</t>
  </si>
  <si>
    <t>Амортизация ТС Котельная "Анна Ахматова "</t>
  </si>
  <si>
    <t>9 218 889,86</t>
  </si>
  <si>
    <t>Амортизация ТС Котельная "Немецкая деревня 2 "</t>
  </si>
  <si>
    <t>433 255,77</t>
  </si>
  <si>
    <t>Аренда ЗУ котельной Анны Ахматовой уч.1</t>
  </si>
  <si>
    <t>1 884 168,65</t>
  </si>
  <si>
    <t>Аренда котельной Анны Ахматовой 1</t>
  </si>
  <si>
    <t>1 510 347,08</t>
  </si>
  <si>
    <t>Аренда котельной Немецкая деревня 1</t>
  </si>
  <si>
    <t>504 003,84</t>
  </si>
  <si>
    <t>Аренда котельной Немецкая деревня 2</t>
  </si>
  <si>
    <t>1 527 167,08</t>
  </si>
  <si>
    <t>Аренда котельной ЮСИ</t>
  </si>
  <si>
    <t>2 672 029,35</t>
  </si>
  <si>
    <t>Аренда нежилого помещения</t>
  </si>
  <si>
    <t>545 821,92</t>
  </si>
  <si>
    <t>Взносы в ФСС от НС и ПЗ</t>
  </si>
  <si>
    <t>3 497,28</t>
  </si>
  <si>
    <t>Водоснабжение</t>
  </si>
  <si>
    <t>1 294 011,30</t>
  </si>
  <si>
    <t>Газ природный (20)</t>
  </si>
  <si>
    <t>130 691 924,96</t>
  </si>
  <si>
    <t>Газ ССУ (20)</t>
  </si>
  <si>
    <t>4 654 312,36</t>
  </si>
  <si>
    <t>Земельный налог</t>
  </si>
  <si>
    <t>11 772,00</t>
  </si>
  <si>
    <t>Налог на имущество</t>
  </si>
  <si>
    <t>296 628,29</t>
  </si>
  <si>
    <t>Обслуживание компьютерной инфраструктуры</t>
  </si>
  <si>
    <t>2 683,03</t>
  </si>
  <si>
    <t>1 751 534,29</t>
  </si>
  <si>
    <t>Ремонт сервопривода</t>
  </si>
  <si>
    <t>42 000,00</t>
  </si>
  <si>
    <t>Содержание служебного автотранспорта</t>
  </si>
  <si>
    <t>38 603,50</t>
  </si>
  <si>
    <t>Списание материалов</t>
  </si>
  <si>
    <t>9 803 607,83</t>
  </si>
  <si>
    <t>Страхование котельных</t>
  </si>
  <si>
    <t>31 987,69</t>
  </si>
  <si>
    <t>Страховые взносы</t>
  </si>
  <si>
    <t>385 271,47</t>
  </si>
  <si>
    <t>Текущий ремонт, содержание зданий,сооружений,инвентаря</t>
  </si>
  <si>
    <t>2 557 338,55</t>
  </si>
  <si>
    <t>Тех обслуживание и ремонт газопроводов и газового оборудования (20)</t>
  </si>
  <si>
    <t>279 088,67</t>
  </si>
  <si>
    <t>Техническое обслуживание котельной</t>
  </si>
  <si>
    <t>3 912 158,22</t>
  </si>
  <si>
    <t>техническое обслуживание узла учета газа</t>
  </si>
  <si>
    <t>36 666,64</t>
  </si>
  <si>
    <t>Техподдержка ЛЭРС</t>
  </si>
  <si>
    <t>15 833,33</t>
  </si>
  <si>
    <t>Транспортировка газа</t>
  </si>
  <si>
    <t>12 842 915,92</t>
  </si>
  <si>
    <t>Эксплуатация и тех обслуживание котельной (20)</t>
  </si>
  <si>
    <t>4 047 840,73</t>
  </si>
  <si>
    <t>Электроэнегия (20)</t>
  </si>
  <si>
    <t>22 094 073,96</t>
  </si>
  <si>
    <t>Итого</t>
  </si>
  <si>
    <t>шт</t>
  </si>
  <si>
    <t>Наждачная бумага М-40 170х240</t>
  </si>
  <si>
    <t xml:space="preserve">м </t>
  </si>
  <si>
    <t>Наждачная бумага М-40 лист 170х240</t>
  </si>
  <si>
    <t>Наждачная бумага М-40 листа 170х240</t>
  </si>
  <si>
    <t>Наждачная бумага М-40  листа 170х240</t>
  </si>
  <si>
    <t>гарантия 60 мес, новая котельная, 23шт ????</t>
  </si>
  <si>
    <t>??????</t>
  </si>
  <si>
    <t>Оплата труда (тарифная ставка 2024 год)</t>
  </si>
  <si>
    <t>Сумма индексации ЗП в 2025 г. (прогноз 107% ), к 2024 году</t>
  </si>
  <si>
    <t>в год</t>
  </si>
  <si>
    <t>в месяц</t>
  </si>
  <si>
    <t xml:space="preserve"> НДС</t>
  </si>
  <si>
    <t>Итого сумма затрат без НДС</t>
  </si>
  <si>
    <t>Итого сумма затрат с НДС</t>
  </si>
  <si>
    <t>Нежилое здание, общей площадью 432,7 кв.м., этажность:1,кадастровый номер: 23:43:0106012:1176, г. Краснодар, ул. Анны Ахматовой, уч. 1, строен. 1</t>
  </si>
  <si>
    <t>Нежилое здание, общей площадью 625,5 кв.м, этажность: 2, кадастровый номер: 23:43:0107001:34031, г. Краснодар, Прикубанский внутригородской округ, западнее улицы Средней</t>
  </si>
  <si>
    <t>Нежилое здание, общей площадью 181,7 кв.м, этажность: 2, кадастровый номер: 23:43:0107001:33857, г. Краснодар, Прикубанский внутригородской округ, западнее улицы Средней</t>
  </si>
  <si>
    <t>Нежилое здание, общей тепловой мощностью до 41 МВт, площадью 449,5 кв.м, г. Краснодар, Прикубанский внутригородской округ, кадастровый номер: 23:43:0118001:9935</t>
  </si>
  <si>
    <t>Нежилое здание, котельную общей тепловой мощностью до 45 МВт, по адресу г. Краснодар, Прикубанский внутригородской округ, кадастровый номер: 23:43:0126040:581 площадью 334,3 кв.м, количество этажей - 1, расположенную по адресу: г. Краснодар, Прикубанский внутригородской округ, ул. Западный обход, д. 26/А, кадастровый номер: 23:43:0126040:4123</t>
  </si>
  <si>
    <t>Нежилое здание (котельная) назначение: нежилое, площадь 87,2 кв.м, адрес (местоположение): г. Краснодар, Прикубанский округ, ул. Ивана Кияшко, 6,  кадастровый номер: 23:43:0137001:7621 с оборудованием</t>
  </si>
  <si>
    <t xml:space="preserve">Нежилое здание, водогрейную котельную с оборудованием, общей тепловой мощностью до 48 МВт, площадью 496,6 кв.м, количество этажей - 1, в том числе подземных 0, кадастровый номер: 23:43:0000000:21798 расположенное по адресу: г. Краснодар, ул. Проезд 1-й Лиговский, Прикубанский внутригородской округ </t>
  </si>
  <si>
    <t>Водогрейная котельная на ЗУ КН: 23:43:0118001:8840 по адресу Ул. Дзержинского (Баскет Холл)</t>
  </si>
  <si>
    <t>Водогрейная котельная КН 23:43:0116032:599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</si>
</sst>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.00\ _₽_-;\-* #,##0.00\ _₽_-;_-* &quot;-&quot;??\ _₽_-;_-@_-"/>
    <numFmt numFmtId="165" formatCode="[$-419]General"/>
    <numFmt numFmtId="166" formatCode="0.00000"/>
    <numFmt numFmtId="167" formatCode="0.0000"/>
    <numFmt numFmtId="168" formatCode="0.000"/>
    <numFmt numFmtId="169" formatCode="[$-419]0.00"/>
    <numFmt numFmtId="170" formatCode="#,##0.000"/>
    <numFmt numFmtId="171" formatCode="_-* #,##0.00_р_._-;\-* #,##0.00_р_._-;_-* &quot;-&quot;??_р_._-;_-@_-"/>
    <numFmt numFmtId="172" formatCode="#,##0.0"/>
    <numFmt numFmtId="173" formatCode="_-* #,##0.00\ _р_._-;\-* #,##0.00\ _р_._-;_-* &quot;-&quot;??\ _р_._-;_-@_-"/>
    <numFmt numFmtId="174" formatCode="#,##0.0000"/>
    <numFmt numFmtId="175" formatCode="_(&quot;$&quot;* #,##0.00_);_(&quot;$&quot;* \(#,##0.00\);_(&quot;$&quot;* &quot;-&quot;??_);_(@_)"/>
    <numFmt numFmtId="176" formatCode="d/m"/>
    <numFmt numFmtId="177" formatCode="#,##0.00_ ;\-#,##0.00\ "/>
    <numFmt numFmtId="178" formatCode="[$-419]0"/>
    <numFmt numFmtId="179" formatCode="_-* #,##0.0000000000000\ _₽_-;\-* #,##0.0000000000000\ _₽_-;_-* &quot;-&quot;??\ _₽_-;_-@_-"/>
  </numFmts>
  <fonts count="5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  <charset val="204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0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</font>
    <font>
      <i/>
      <sz val="10"/>
      <color theme="0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  <charset val="204"/>
    </font>
    <font>
      <b/>
      <sz val="12"/>
      <color theme="0"/>
      <name val="Times New Roman"/>
      <family val="1"/>
    </font>
    <font>
      <b/>
      <u/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rgb="FF003F2F"/>
      <name val="Arial"/>
      <family val="2"/>
      <charset val="204"/>
    </font>
    <font>
      <sz val="9"/>
      <color rgb="FF003F2F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0"/>
      <color rgb="FF003F2F"/>
      <name val="Arial"/>
      <family val="2"/>
      <charset val="204"/>
    </font>
    <font>
      <sz val="14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F0F0F0"/>
      </patternFill>
    </fill>
    <fill>
      <patternFill patternType="solid">
        <fgColor theme="0"/>
        <bgColor indexed="21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0F0F0"/>
      </patternFill>
    </fill>
    <fill>
      <patternFill patternType="solid">
        <fgColor rgb="FFFFFFFF"/>
        <b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6E5CB"/>
        <bgColor indexed="64"/>
      </patternFill>
    </fill>
    <fill>
      <patternFill patternType="solid">
        <fgColor rgb="FFE4F0DD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A0A0A0"/>
      </left>
      <right style="medium">
        <color rgb="FFA0A0A0"/>
      </right>
      <top style="medium">
        <color rgb="FFA0A0A0"/>
      </top>
      <bottom style="medium">
        <color rgb="FFA0A0A0"/>
      </bottom>
      <diagonal/>
    </border>
    <border>
      <left style="medium">
        <color rgb="FFA0A0A0"/>
      </left>
      <right/>
      <top style="medium">
        <color rgb="FFA0A0A0"/>
      </top>
      <bottom style="medium">
        <color rgb="FFA0A0A0"/>
      </bottom>
      <diagonal/>
    </border>
    <border>
      <left style="medium">
        <color rgb="FFA0A0A0"/>
      </left>
      <right style="medium">
        <color rgb="FFA0A0A0"/>
      </right>
      <top style="medium">
        <color rgb="FFA0A0A0"/>
      </top>
      <bottom/>
      <diagonal/>
    </border>
    <border>
      <left style="medium">
        <color rgb="FFA0A0A0"/>
      </left>
      <right style="medium">
        <color rgb="FFA0A0A0"/>
      </right>
      <top/>
      <bottom style="medium">
        <color rgb="FFA0A0A0"/>
      </bottom>
      <diagonal/>
    </border>
    <border>
      <left style="medium">
        <color rgb="FFACC8BD"/>
      </left>
      <right style="medium">
        <color rgb="FFACC8BD"/>
      </right>
      <top style="medium">
        <color rgb="FFACC8BD"/>
      </top>
      <bottom style="medium">
        <color rgb="FFACC8BD"/>
      </bottom>
      <diagonal/>
    </border>
  </borders>
  <cellStyleXfs count="15">
    <xf numFmtId="0" fontId="0" fillId="0" borderId="0"/>
    <xf numFmtId="165" fontId="7" fillId="0" borderId="0"/>
    <xf numFmtId="0" fontId="8" fillId="0" borderId="0"/>
    <xf numFmtId="0" fontId="10" fillId="0" borderId="0"/>
    <xf numFmtId="164" fontId="5" fillId="0" borderId="0" applyFont="0" applyFill="0" applyBorder="0" applyAlignment="0" applyProtection="0"/>
    <xf numFmtId="0" fontId="13" fillId="0" borderId="0"/>
    <xf numFmtId="0" fontId="5" fillId="0" borderId="0"/>
    <xf numFmtId="171" fontId="5" fillId="0" borderId="0" applyFont="0" applyFill="0" applyBorder="0" applyAlignment="0" applyProtection="0"/>
    <xf numFmtId="0" fontId="15" fillId="0" borderId="0"/>
    <xf numFmtId="173" fontId="15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75" fontId="15" fillId="0" borderId="0" applyFont="0" applyFill="0" applyBorder="0" applyAlignment="0" applyProtection="0"/>
    <xf numFmtId="0" fontId="7" fillId="0" borderId="0" applyNumberFormat="0" applyBorder="0" applyProtection="0"/>
    <xf numFmtId="164" fontId="5" fillId="0" borderId="0" applyFont="0" applyFill="0" applyBorder="0" applyAlignment="0" applyProtection="0"/>
  </cellStyleXfs>
  <cellXfs count="661">
    <xf numFmtId="0" fontId="0" fillId="0" borderId="0" xfId="0"/>
    <xf numFmtId="0" fontId="2" fillId="0" borderId="0" xfId="0" applyFont="1"/>
    <xf numFmtId="49" fontId="2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11" fillId="0" borderId="1" xfId="0" applyFont="1" applyBorder="1"/>
    <xf numFmtId="2" fontId="11" fillId="2" borderId="1" xfId="0" applyNumberFormat="1" applyFont="1" applyFill="1" applyBorder="1"/>
    <xf numFmtId="164" fontId="11" fillId="0" borderId="1" xfId="4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11" fillId="0" borderId="3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1" fillId="2" borderId="0" xfId="0" applyFont="1" applyFill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164" fontId="11" fillId="0" borderId="0" xfId="4" applyFont="1" applyBorder="1"/>
    <xf numFmtId="164" fontId="11" fillId="0" borderId="0" xfId="4" applyFont="1" applyBorder="1" applyAlignment="1">
      <alignment horizontal="center" vertical="center"/>
    </xf>
    <xf numFmtId="0" fontId="11" fillId="0" borderId="0" xfId="0" applyFont="1" applyAlignment="1">
      <alignment shrinkToFit="1"/>
    </xf>
    <xf numFmtId="0" fontId="11" fillId="0" borderId="0" xfId="6" applyFont="1" applyAlignment="1">
      <alignment vertical="center"/>
    </xf>
    <xf numFmtId="0" fontId="5" fillId="0" borderId="0" xfId="6"/>
    <xf numFmtId="4" fontId="5" fillId="0" borderId="0" xfId="6" applyNumberFormat="1"/>
    <xf numFmtId="4" fontId="18" fillId="2" borderId="7" xfId="8" applyNumberFormat="1" applyFont="1" applyFill="1" applyBorder="1" applyAlignment="1">
      <alignment horizontal="right" vertical="center"/>
    </xf>
    <xf numFmtId="0" fontId="19" fillId="0" borderId="0" xfId="3" applyFont="1" applyAlignment="1">
      <alignment vertical="center"/>
    </xf>
    <xf numFmtId="4" fontId="19" fillId="0" borderId="0" xfId="3" applyNumberFormat="1" applyFont="1" applyAlignment="1">
      <alignment vertical="center"/>
    </xf>
    <xf numFmtId="0" fontId="9" fillId="0" borderId="0" xfId="8" applyFont="1" applyAlignment="1">
      <alignment vertical="center"/>
    </xf>
    <xf numFmtId="0" fontId="19" fillId="0" borderId="0" xfId="3" applyFont="1" applyAlignment="1">
      <alignment vertical="center" wrapText="1"/>
    </xf>
    <xf numFmtId="0" fontId="9" fillId="0" borderId="14" xfId="8" applyFont="1" applyBorder="1" applyAlignment="1">
      <alignment horizontal="center" vertical="center" wrapText="1"/>
    </xf>
    <xf numFmtId="4" fontId="22" fillId="2" borderId="1" xfId="8" applyNumberFormat="1" applyFont="1" applyFill="1" applyBorder="1" applyAlignment="1">
      <alignment horizontal="center" vertical="center" wrapText="1"/>
    </xf>
    <xf numFmtId="4" fontId="22" fillId="2" borderId="14" xfId="8" applyNumberFormat="1" applyFont="1" applyFill="1" applyBorder="1" applyAlignment="1">
      <alignment horizontal="center" vertical="center" wrapText="1"/>
    </xf>
    <xf numFmtId="0" fontId="17" fillId="0" borderId="14" xfId="8" applyFont="1" applyBorder="1" applyAlignment="1">
      <alignment vertical="center" wrapText="1"/>
    </xf>
    <xf numFmtId="0" fontId="17" fillId="0" borderId="15" xfId="8" applyFont="1" applyBorder="1" applyAlignment="1">
      <alignment horizontal="center" vertical="center" wrapText="1"/>
    </xf>
    <xf numFmtId="0" fontId="17" fillId="0" borderId="14" xfId="8" applyFont="1" applyBorder="1" applyAlignment="1">
      <alignment horizontal="center" vertical="center" wrapText="1"/>
    </xf>
    <xf numFmtId="0" fontId="18" fillId="2" borderId="16" xfId="8" applyFont="1" applyFill="1" applyBorder="1" applyAlignment="1">
      <alignment horizontal="center" vertical="center" wrapText="1"/>
    </xf>
    <xf numFmtId="0" fontId="23" fillId="2" borderId="13" xfId="8" applyFont="1" applyFill="1" applyBorder="1" applyAlignment="1">
      <alignment horizontal="center" vertical="center" wrapText="1"/>
    </xf>
    <xf numFmtId="0" fontId="17" fillId="0" borderId="1" xfId="8" applyFont="1" applyBorder="1" applyAlignment="1">
      <alignment horizontal="center" vertical="center" wrapText="1"/>
    </xf>
    <xf numFmtId="0" fontId="17" fillId="8" borderId="7" xfId="8" applyFont="1" applyFill="1" applyBorder="1" applyAlignment="1">
      <alignment horizontal="center" vertical="center" wrapText="1"/>
    </xf>
    <xf numFmtId="0" fontId="23" fillId="2" borderId="7" xfId="8" applyFont="1" applyFill="1" applyBorder="1" applyAlignment="1">
      <alignment horizontal="center" vertical="center" wrapText="1"/>
    </xf>
    <xf numFmtId="0" fontId="17" fillId="8" borderId="1" xfId="8" applyFont="1" applyFill="1" applyBorder="1" applyAlignment="1">
      <alignment horizontal="center" vertical="center" wrapText="1"/>
    </xf>
    <xf numFmtId="0" fontId="17" fillId="0" borderId="0" xfId="8" applyFont="1" applyAlignment="1">
      <alignment horizontal="center" vertical="center"/>
    </xf>
    <xf numFmtId="0" fontId="9" fillId="0" borderId="1" xfId="8" applyFont="1" applyBorder="1" applyAlignment="1">
      <alignment horizontal="center" vertical="center"/>
    </xf>
    <xf numFmtId="0" fontId="18" fillId="0" borderId="1" xfId="8" applyFont="1" applyBorder="1" applyAlignment="1">
      <alignment vertical="center" wrapText="1"/>
    </xf>
    <xf numFmtId="0" fontId="9" fillId="0" borderId="14" xfId="8" applyFont="1" applyBorder="1" applyAlignment="1">
      <alignment horizontal="center" vertical="center"/>
    </xf>
    <xf numFmtId="4" fontId="17" fillId="8" borderId="7" xfId="8" applyNumberFormat="1" applyFont="1" applyFill="1" applyBorder="1" applyAlignment="1">
      <alignment horizontal="right" vertical="center"/>
    </xf>
    <xf numFmtId="3" fontId="17" fillId="8" borderId="7" xfId="8" applyNumberFormat="1" applyFont="1" applyFill="1" applyBorder="1" applyAlignment="1">
      <alignment horizontal="right" vertical="center"/>
    </xf>
    <xf numFmtId="3" fontId="23" fillId="2" borderId="7" xfId="8" applyNumberFormat="1" applyFont="1" applyFill="1" applyBorder="1" applyAlignment="1">
      <alignment horizontal="right" vertical="center"/>
    </xf>
    <xf numFmtId="170" fontId="18" fillId="2" borderId="7" xfId="8" applyNumberFormat="1" applyFont="1" applyFill="1" applyBorder="1" applyAlignment="1">
      <alignment horizontal="right" vertical="center"/>
    </xf>
    <xf numFmtId="0" fontId="9" fillId="0" borderId="1" xfId="8" applyFont="1" applyBorder="1" applyAlignment="1">
      <alignment vertical="center" wrapText="1"/>
    </xf>
    <xf numFmtId="4" fontId="9" fillId="7" borderId="7" xfId="8" applyNumberFormat="1" applyFont="1" applyFill="1" applyBorder="1" applyAlignment="1" applyProtection="1">
      <alignment horizontal="right" vertical="center"/>
      <protection locked="0"/>
    </xf>
    <xf numFmtId="4" fontId="9" fillId="0" borderId="1" xfId="8" applyNumberFormat="1" applyFont="1" applyBorder="1" applyAlignment="1" applyProtection="1">
      <alignment horizontal="right" vertical="center"/>
      <protection locked="0"/>
    </xf>
    <xf numFmtId="4" fontId="9" fillId="0" borderId="7" xfId="8" applyNumberFormat="1" applyFont="1" applyBorder="1" applyAlignment="1" applyProtection="1">
      <alignment horizontal="right" vertical="center"/>
      <protection locked="0"/>
    </xf>
    <xf numFmtId="3" fontId="9" fillId="8" borderId="7" xfId="8" applyNumberFormat="1" applyFont="1" applyFill="1" applyBorder="1" applyAlignment="1">
      <alignment horizontal="right" vertical="center"/>
    </xf>
    <xf numFmtId="3" fontId="22" fillId="2" borderId="7" xfId="8" applyNumberFormat="1" applyFont="1" applyFill="1" applyBorder="1" applyAlignment="1">
      <alignment horizontal="right" vertical="center"/>
    </xf>
    <xf numFmtId="0" fontId="24" fillId="0" borderId="0" xfId="8" applyFont="1" applyAlignment="1">
      <alignment vertical="center"/>
    </xf>
    <xf numFmtId="0" fontId="17" fillId="0" borderId="1" xfId="8" applyFont="1" applyBorder="1" applyAlignment="1">
      <alignment horizontal="center" vertical="center"/>
    </xf>
    <xf numFmtId="0" fontId="25" fillId="0" borderId="1" xfId="8" applyFont="1" applyBorder="1" applyAlignment="1">
      <alignment vertical="center" wrapText="1"/>
    </xf>
    <xf numFmtId="0" fontId="17" fillId="0" borderId="14" xfId="8" applyFont="1" applyBorder="1" applyAlignment="1">
      <alignment horizontal="center" vertical="center"/>
    </xf>
    <xf numFmtId="0" fontId="17" fillId="0" borderId="0" xfId="8" applyFont="1" applyAlignment="1">
      <alignment vertical="center"/>
    </xf>
    <xf numFmtId="49" fontId="9" fillId="0" borderId="1" xfId="8" applyNumberFormat="1" applyFont="1" applyBorder="1" applyAlignment="1">
      <alignment vertical="center" wrapText="1"/>
    </xf>
    <xf numFmtId="4" fontId="22" fillId="2" borderId="7" xfId="8" applyNumberFormat="1" applyFont="1" applyFill="1" applyBorder="1" applyAlignment="1" applyProtection="1">
      <alignment horizontal="right" vertical="center"/>
      <protection locked="0"/>
    </xf>
    <xf numFmtId="49" fontId="25" fillId="0" borderId="1" xfId="8" applyNumberFormat="1" applyFont="1" applyBorder="1" applyAlignment="1">
      <alignment vertical="center" wrapText="1"/>
    </xf>
    <xf numFmtId="172" fontId="25" fillId="8" borderId="7" xfId="8" applyNumberFormat="1" applyFont="1" applyFill="1" applyBorder="1" applyAlignment="1">
      <alignment horizontal="right" vertical="center"/>
    </xf>
    <xf numFmtId="4" fontId="25" fillId="8" borderId="7" xfId="8" applyNumberFormat="1" applyFont="1" applyFill="1" applyBorder="1" applyAlignment="1">
      <alignment horizontal="right" vertical="center"/>
    </xf>
    <xf numFmtId="172" fontId="26" fillId="2" borderId="7" xfId="8" applyNumberFormat="1" applyFont="1" applyFill="1" applyBorder="1" applyAlignment="1">
      <alignment horizontal="right" vertical="center"/>
    </xf>
    <xf numFmtId="4" fontId="26" fillId="2" borderId="7" xfId="8" applyNumberFormat="1" applyFont="1" applyFill="1" applyBorder="1" applyAlignment="1">
      <alignment horizontal="right" vertical="center"/>
    </xf>
    <xf numFmtId="0" fontId="9" fillId="0" borderId="15" xfId="8" applyFont="1" applyBorder="1" applyAlignment="1">
      <alignment horizontal="center" vertical="center"/>
    </xf>
    <xf numFmtId="172" fontId="9" fillId="0" borderId="7" xfId="8" applyNumberFormat="1" applyFont="1" applyBorder="1" applyAlignment="1">
      <alignment horizontal="right" vertical="center"/>
    </xf>
    <xf numFmtId="172" fontId="22" fillId="2" borderId="7" xfId="8" applyNumberFormat="1" applyFont="1" applyFill="1" applyBorder="1" applyAlignment="1">
      <alignment horizontal="right" vertical="center"/>
    </xf>
    <xf numFmtId="172" fontId="9" fillId="0" borderId="1" xfId="8" applyNumberFormat="1" applyFont="1" applyBorder="1" applyAlignment="1">
      <alignment horizontal="right" vertical="center"/>
    </xf>
    <xf numFmtId="0" fontId="27" fillId="6" borderId="14" xfId="11" applyFont="1" applyFill="1" applyBorder="1" applyAlignment="1">
      <alignment horizontal="center" vertical="center" wrapText="1"/>
    </xf>
    <xf numFmtId="174" fontId="9" fillId="0" borderId="1" xfId="8" applyNumberFormat="1" applyFont="1" applyBorder="1" applyAlignment="1" applyProtection="1">
      <alignment horizontal="right" vertical="center"/>
      <protection locked="0"/>
    </xf>
    <xf numFmtId="172" fontId="9" fillId="8" borderId="1" xfId="8" applyNumberFormat="1" applyFont="1" applyFill="1" applyBorder="1" applyAlignment="1" applyProtection="1">
      <alignment horizontal="right" vertical="center"/>
      <protection locked="0"/>
    </xf>
    <xf numFmtId="4" fontId="17" fillId="8" borderId="1" xfId="8" applyNumberFormat="1" applyFont="1" applyFill="1" applyBorder="1" applyAlignment="1" applyProtection="1">
      <alignment horizontal="right" vertical="center"/>
      <protection locked="0"/>
    </xf>
    <xf numFmtId="172" fontId="17" fillId="8" borderId="7" xfId="8" applyNumberFormat="1" applyFont="1" applyFill="1" applyBorder="1" applyAlignment="1" applyProtection="1">
      <alignment horizontal="right" vertical="center"/>
      <protection locked="0"/>
    </xf>
    <xf numFmtId="174" fontId="9" fillId="0" borderId="7" xfId="8" applyNumberFormat="1" applyFont="1" applyBorder="1" applyAlignment="1" applyProtection="1">
      <alignment horizontal="right" vertical="center"/>
      <protection locked="0"/>
    </xf>
    <xf numFmtId="4" fontId="25" fillId="8" borderId="7" xfId="8" applyNumberFormat="1" applyFont="1" applyFill="1" applyBorder="1" applyAlignment="1" applyProtection="1">
      <alignment horizontal="right" vertical="center"/>
      <protection locked="0"/>
    </xf>
    <xf numFmtId="49" fontId="27" fillId="6" borderId="1" xfId="11" applyNumberFormat="1" applyFont="1" applyFill="1" applyBorder="1" applyAlignment="1">
      <alignment horizontal="center" vertical="center" wrapText="1"/>
    </xf>
    <xf numFmtId="4" fontId="26" fillId="2" borderId="7" xfId="8" applyNumberFormat="1" applyFont="1" applyFill="1" applyBorder="1" applyAlignment="1" applyProtection="1">
      <alignment horizontal="right" vertical="center"/>
      <protection locked="0"/>
    </xf>
    <xf numFmtId="4" fontId="9" fillId="8" borderId="1" xfId="8" applyNumberFormat="1" applyFont="1" applyFill="1" applyBorder="1" applyAlignment="1" applyProtection="1">
      <alignment horizontal="right" vertical="center"/>
      <protection locked="0"/>
    </xf>
    <xf numFmtId="49" fontId="29" fillId="6" borderId="1" xfId="11" applyNumberFormat="1" applyFont="1" applyFill="1" applyBorder="1" applyAlignment="1">
      <alignment horizontal="center" vertical="center" wrapText="1"/>
    </xf>
    <xf numFmtId="0" fontId="24" fillId="6" borderId="14" xfId="11" applyFont="1" applyFill="1" applyBorder="1" applyAlignment="1">
      <alignment horizontal="center" vertical="center" wrapText="1"/>
    </xf>
    <xf numFmtId="4" fontId="9" fillId="8" borderId="7" xfId="8" applyNumberFormat="1" applyFont="1" applyFill="1" applyBorder="1" applyAlignment="1">
      <alignment horizontal="right" vertical="center"/>
    </xf>
    <xf numFmtId="4" fontId="22" fillId="2" borderId="7" xfId="8" applyNumberFormat="1" applyFont="1" applyFill="1" applyBorder="1" applyAlignment="1">
      <alignment horizontal="right" vertical="center"/>
    </xf>
    <xf numFmtId="4" fontId="9" fillId="7" borderId="1" xfId="8" applyNumberFormat="1" applyFont="1" applyFill="1" applyBorder="1" applyAlignment="1" applyProtection="1">
      <alignment horizontal="right" vertical="center"/>
      <protection locked="0"/>
    </xf>
    <xf numFmtId="0" fontId="25" fillId="0" borderId="1" xfId="8" applyFont="1" applyBorder="1" applyAlignment="1">
      <alignment horizontal="left" vertical="center" wrapText="1"/>
    </xf>
    <xf numFmtId="4" fontId="9" fillId="8" borderId="7" xfId="8" applyNumberFormat="1" applyFont="1" applyFill="1" applyBorder="1" applyAlignment="1" applyProtection="1">
      <alignment horizontal="right" vertical="center"/>
      <protection locked="0"/>
    </xf>
    <xf numFmtId="0" fontId="9" fillId="0" borderId="1" xfId="8" applyFont="1" applyBorder="1" applyAlignment="1">
      <alignment horizontal="left" vertical="center" wrapText="1"/>
    </xf>
    <xf numFmtId="0" fontId="9" fillId="6" borderId="14" xfId="11" applyFont="1" applyFill="1" applyBorder="1" applyAlignment="1">
      <alignment horizontal="center" vertical="center" wrapText="1"/>
    </xf>
    <xf numFmtId="0" fontId="9" fillId="0" borderId="1" xfId="11" applyFont="1" applyBorder="1" applyAlignment="1">
      <alignment vertical="center" wrapText="1"/>
    </xf>
    <xf numFmtId="4" fontId="17" fillId="8" borderId="7" xfId="8" applyNumberFormat="1" applyFont="1" applyFill="1" applyBorder="1" applyAlignment="1" applyProtection="1">
      <alignment horizontal="right" vertical="center"/>
      <protection locked="0"/>
    </xf>
    <xf numFmtId="4" fontId="23" fillId="2" borderId="7" xfId="8" applyNumberFormat="1" applyFont="1" applyFill="1" applyBorder="1" applyAlignment="1" applyProtection="1">
      <alignment horizontal="right" vertical="center"/>
      <protection locked="0"/>
    </xf>
    <xf numFmtId="172" fontId="9" fillId="0" borderId="1" xfId="8" applyNumberFormat="1" applyFont="1" applyBorder="1" applyAlignment="1" applyProtection="1">
      <alignment horizontal="right" vertical="center"/>
      <protection locked="0"/>
    </xf>
    <xf numFmtId="172" fontId="9" fillId="0" borderId="7" xfId="8" applyNumberFormat="1" applyFont="1" applyBorder="1" applyAlignment="1" applyProtection="1">
      <alignment horizontal="right" vertical="center"/>
      <protection locked="0"/>
    </xf>
    <xf numFmtId="4" fontId="9" fillId="0" borderId="18" xfId="8" applyNumberFormat="1" applyFont="1" applyBorder="1" applyAlignment="1" applyProtection="1">
      <alignment horizontal="left" vertical="center"/>
      <protection locked="0"/>
    </xf>
    <xf numFmtId="4" fontId="9" fillId="0" borderId="16" xfId="8" applyNumberFormat="1" applyFont="1" applyBorder="1" applyAlignment="1" applyProtection="1">
      <alignment horizontal="left" vertical="center"/>
      <protection locked="0"/>
    </xf>
    <xf numFmtId="0" fontId="25" fillId="6" borderId="1" xfId="11" applyFont="1" applyFill="1" applyBorder="1" applyAlignment="1">
      <alignment vertical="center" wrapText="1"/>
    </xf>
    <xf numFmtId="0" fontId="24" fillId="6" borderId="1" xfId="11" applyFont="1" applyFill="1" applyBorder="1" applyAlignment="1">
      <alignment vertical="center" wrapText="1"/>
    </xf>
    <xf numFmtId="174" fontId="24" fillId="7" borderId="7" xfId="8" applyNumberFormat="1" applyFont="1" applyFill="1" applyBorder="1" applyAlignment="1" applyProtection="1">
      <alignment horizontal="right" vertical="center"/>
      <protection locked="0"/>
    </xf>
    <xf numFmtId="174" fontId="30" fillId="2" borderId="7" xfId="8" applyNumberFormat="1" applyFont="1" applyFill="1" applyBorder="1" applyAlignment="1" applyProtection="1">
      <alignment horizontal="right" vertical="center"/>
      <protection locked="0"/>
    </xf>
    <xf numFmtId="174" fontId="24" fillId="7" borderId="1" xfId="8" applyNumberFormat="1" applyFont="1" applyFill="1" applyBorder="1" applyAlignment="1" applyProtection="1">
      <alignment horizontal="right" vertical="center"/>
      <protection locked="0"/>
    </xf>
    <xf numFmtId="0" fontId="27" fillId="6" borderId="1" xfId="11" applyFont="1" applyFill="1" applyBorder="1" applyAlignment="1">
      <alignment vertical="center" wrapText="1"/>
    </xf>
    <xf numFmtId="4" fontId="24" fillId="7" borderId="7" xfId="8" applyNumberFormat="1" applyFont="1" applyFill="1" applyBorder="1" applyAlignment="1" applyProtection="1">
      <alignment horizontal="right" vertical="center"/>
      <protection locked="0"/>
    </xf>
    <xf numFmtId="4" fontId="30" fillId="2" borderId="7" xfId="8" applyNumberFormat="1" applyFont="1" applyFill="1" applyBorder="1" applyAlignment="1" applyProtection="1">
      <alignment horizontal="right" vertical="center"/>
      <protection locked="0"/>
    </xf>
    <xf numFmtId="4" fontId="24" fillId="7" borderId="1" xfId="8" applyNumberFormat="1" applyFont="1" applyFill="1" applyBorder="1" applyAlignment="1" applyProtection="1">
      <alignment horizontal="right" vertical="center"/>
      <protection locked="0"/>
    </xf>
    <xf numFmtId="0" fontId="31" fillId="0" borderId="14" xfId="11" applyFont="1" applyBorder="1" applyAlignment="1">
      <alignment horizontal="center" vertical="center" wrapText="1"/>
    </xf>
    <xf numFmtId="0" fontId="31" fillId="0" borderId="1" xfId="11" applyFont="1" applyBorder="1" applyAlignment="1">
      <alignment vertical="center" wrapText="1"/>
    </xf>
    <xf numFmtId="0" fontId="29" fillId="6" borderId="14" xfId="11" applyFont="1" applyFill="1" applyBorder="1" applyAlignment="1">
      <alignment horizontal="center" vertical="center" wrapText="1"/>
    </xf>
    <xf numFmtId="4" fontId="25" fillId="8" borderId="1" xfId="8" applyNumberFormat="1" applyFont="1" applyFill="1" applyBorder="1" applyAlignment="1" applyProtection="1">
      <alignment horizontal="right" vertical="center"/>
      <protection locked="0"/>
    </xf>
    <xf numFmtId="49" fontId="17" fillId="6" borderId="1" xfId="11" applyNumberFormat="1" applyFont="1" applyFill="1" applyBorder="1" applyAlignment="1">
      <alignment horizontal="center" vertical="center" wrapText="1"/>
    </xf>
    <xf numFmtId="0" fontId="17" fillId="6" borderId="1" xfId="11" applyFont="1" applyFill="1" applyBorder="1" applyAlignment="1">
      <alignment vertical="center" wrapText="1"/>
    </xf>
    <xf numFmtId="0" fontId="17" fillId="6" borderId="14" xfId="11" applyFont="1" applyFill="1" applyBorder="1" applyAlignment="1">
      <alignment horizontal="center" vertical="center" wrapText="1"/>
    </xf>
    <xf numFmtId="2" fontId="17" fillId="8" borderId="1" xfId="3" applyNumberFormat="1" applyFont="1" applyFill="1" applyBorder="1" applyAlignment="1">
      <alignment horizontal="right" vertical="center" wrapText="1"/>
    </xf>
    <xf numFmtId="4" fontId="9" fillId="0" borderId="4" xfId="8" applyNumberFormat="1" applyFont="1" applyBorder="1" applyAlignment="1" applyProtection="1">
      <alignment horizontal="left" vertical="center"/>
      <protection locked="0"/>
    </xf>
    <xf numFmtId="2" fontId="17" fillId="8" borderId="1" xfId="3" applyNumberFormat="1" applyFont="1" applyFill="1" applyBorder="1" applyAlignment="1">
      <alignment horizontal="center" vertical="center" wrapText="1"/>
    </xf>
    <xf numFmtId="4" fontId="9" fillId="0" borderId="4" xfId="8" applyNumberFormat="1" applyFont="1" applyBorder="1" applyAlignment="1" applyProtection="1">
      <alignment horizontal="center" vertical="center"/>
      <protection locked="0"/>
    </xf>
    <xf numFmtId="0" fontId="24" fillId="9" borderId="1" xfId="8" applyFont="1" applyFill="1" applyBorder="1" applyAlignment="1">
      <alignment vertical="center" wrapText="1"/>
    </xf>
    <xf numFmtId="0" fontId="24" fillId="9" borderId="14" xfId="8" applyFont="1" applyFill="1" applyBorder="1" applyAlignment="1">
      <alignment horizontal="center" vertical="center"/>
    </xf>
    <xf numFmtId="2" fontId="27" fillId="8" borderId="7" xfId="3" applyNumberFormat="1" applyFont="1" applyFill="1" applyBorder="1" applyAlignment="1">
      <alignment horizontal="right" vertical="center" wrapText="1"/>
    </xf>
    <xf numFmtId="2" fontId="22" fillId="2" borderId="7" xfId="3" applyNumberFormat="1" applyFont="1" applyFill="1" applyBorder="1" applyAlignment="1">
      <alignment horizontal="right" vertical="center" wrapText="1"/>
    </xf>
    <xf numFmtId="2" fontId="27" fillId="8" borderId="7" xfId="3" applyNumberFormat="1" applyFont="1" applyFill="1" applyBorder="1" applyAlignment="1">
      <alignment horizontal="center" vertical="center" wrapText="1"/>
    </xf>
    <xf numFmtId="2" fontId="22" fillId="2" borderId="7" xfId="3" applyNumberFormat="1" applyFont="1" applyFill="1" applyBorder="1" applyAlignment="1">
      <alignment horizontal="center" vertical="center" wrapText="1"/>
    </xf>
    <xf numFmtId="2" fontId="27" fillId="8" borderId="1" xfId="3" applyNumberFormat="1" applyFont="1" applyFill="1" applyBorder="1" applyAlignment="1">
      <alignment horizontal="center" vertical="center" wrapText="1"/>
    </xf>
    <xf numFmtId="2" fontId="27" fillId="8" borderId="1" xfId="3" applyNumberFormat="1" applyFont="1" applyFill="1" applyBorder="1" applyAlignment="1">
      <alignment horizontal="right" vertical="center" wrapText="1"/>
    </xf>
    <xf numFmtId="2" fontId="32" fillId="2" borderId="7" xfId="3" applyNumberFormat="1" applyFont="1" applyFill="1" applyBorder="1" applyAlignment="1">
      <alignment horizontal="right" vertical="center" wrapText="1"/>
    </xf>
    <xf numFmtId="4" fontId="9" fillId="0" borderId="1" xfId="8" applyNumberFormat="1" applyFont="1" applyBorder="1" applyAlignment="1" applyProtection="1">
      <alignment horizontal="left" vertical="center"/>
      <protection locked="0"/>
    </xf>
    <xf numFmtId="4" fontId="9" fillId="0" borderId="1" xfId="8" applyNumberFormat="1" applyFont="1" applyBorder="1" applyAlignment="1" applyProtection="1">
      <alignment horizontal="center" vertical="center"/>
      <protection locked="0"/>
    </xf>
    <xf numFmtId="2" fontId="17" fillId="8" borderId="7" xfId="3" applyNumberFormat="1" applyFont="1" applyFill="1" applyBorder="1" applyAlignment="1">
      <alignment horizontal="right" vertical="center" wrapText="1"/>
    </xf>
    <xf numFmtId="4" fontId="9" fillId="0" borderId="7" xfId="8" applyNumberFormat="1" applyFont="1" applyBorder="1" applyAlignment="1" applyProtection="1">
      <alignment horizontal="left" vertical="center"/>
      <protection locked="0"/>
    </xf>
    <xf numFmtId="2" fontId="17" fillId="8" borderId="7" xfId="3" applyNumberFormat="1" applyFont="1" applyFill="1" applyBorder="1" applyAlignment="1">
      <alignment horizontal="center" vertical="center" wrapText="1"/>
    </xf>
    <xf numFmtId="4" fontId="9" fillId="0" borderId="7" xfId="8" applyNumberFormat="1" applyFont="1" applyBorder="1" applyAlignment="1" applyProtection="1">
      <alignment horizontal="center" vertical="center"/>
      <protection locked="0"/>
    </xf>
    <xf numFmtId="0" fontId="9" fillId="0" borderId="1" xfId="12" applyNumberFormat="1" applyFont="1" applyBorder="1" applyAlignment="1">
      <alignment horizontal="center" vertical="center"/>
    </xf>
    <xf numFmtId="0" fontId="17" fillId="0" borderId="1" xfId="12" applyNumberFormat="1" applyFont="1" applyBorder="1" applyAlignment="1">
      <alignment horizontal="center" vertical="center"/>
    </xf>
    <xf numFmtId="0" fontId="17" fillId="10" borderId="1" xfId="8" applyFont="1" applyFill="1" applyBorder="1" applyAlignment="1">
      <alignment vertical="center" wrapText="1"/>
    </xf>
    <xf numFmtId="0" fontId="17" fillId="10" borderId="14" xfId="8" applyFont="1" applyFill="1" applyBorder="1" applyAlignment="1">
      <alignment horizontal="center" vertical="center"/>
    </xf>
    <xf numFmtId="172" fontId="17" fillId="8" borderId="1" xfId="8" applyNumberFormat="1" applyFont="1" applyFill="1" applyBorder="1" applyAlignment="1" applyProtection="1">
      <alignment horizontal="right" vertical="center"/>
      <protection locked="0"/>
    </xf>
    <xf numFmtId="4" fontId="17" fillId="8" borderId="1" xfId="3" applyNumberFormat="1" applyFont="1" applyFill="1" applyBorder="1" applyAlignment="1">
      <alignment horizontal="right" vertical="center" wrapText="1"/>
    </xf>
    <xf numFmtId="4" fontId="23" fillId="2" borderId="1" xfId="3" applyNumberFormat="1" applyFont="1" applyFill="1" applyBorder="1" applyAlignment="1">
      <alignment horizontal="right" vertical="center" wrapText="1"/>
    </xf>
    <xf numFmtId="172" fontId="17" fillId="8" borderId="1" xfId="8" applyNumberFormat="1" applyFont="1" applyFill="1" applyBorder="1" applyAlignment="1" applyProtection="1">
      <alignment horizontal="center" vertical="center"/>
      <protection locked="0"/>
    </xf>
    <xf numFmtId="49" fontId="19" fillId="6" borderId="1" xfId="11" applyNumberFormat="1" applyFont="1" applyFill="1" applyBorder="1" applyAlignment="1">
      <alignment horizontal="center" vertical="center"/>
    </xf>
    <xf numFmtId="0" fontId="19" fillId="6" borderId="1" xfId="11" applyFont="1" applyFill="1" applyBorder="1" applyAlignment="1">
      <alignment vertical="center" wrapText="1"/>
    </xf>
    <xf numFmtId="0" fontId="19" fillId="6" borderId="14" xfId="11" applyFont="1" applyFill="1" applyBorder="1" applyAlignment="1">
      <alignment horizontal="center" vertical="center" wrapText="1"/>
    </xf>
    <xf numFmtId="4" fontId="17" fillId="8" borderId="1" xfId="8" applyNumberFormat="1" applyFont="1" applyFill="1" applyBorder="1" applyAlignment="1">
      <alignment horizontal="right" vertical="center"/>
    </xf>
    <xf numFmtId="4" fontId="23" fillId="2" borderId="1" xfId="8" applyNumberFormat="1" applyFont="1" applyFill="1" applyBorder="1" applyAlignment="1">
      <alignment horizontal="right" vertical="center"/>
    </xf>
    <xf numFmtId="4" fontId="17" fillId="8" borderId="1" xfId="8" applyNumberFormat="1" applyFont="1" applyFill="1" applyBorder="1" applyAlignment="1">
      <alignment horizontal="center" vertical="center"/>
    </xf>
    <xf numFmtId="176" fontId="9" fillId="0" borderId="1" xfId="8" applyNumberFormat="1" applyFont="1" applyBorder="1" applyAlignment="1">
      <alignment horizontal="center" vertical="center"/>
    </xf>
    <xf numFmtId="2" fontId="9" fillId="8" borderId="7" xfId="3" applyNumberFormat="1" applyFont="1" applyFill="1" applyBorder="1" applyAlignment="1">
      <alignment horizontal="right" vertical="center" wrapText="1"/>
    </xf>
    <xf numFmtId="2" fontId="9" fillId="8" borderId="1" xfId="3" applyNumberFormat="1" applyFont="1" applyFill="1" applyBorder="1" applyAlignment="1">
      <alignment horizontal="center" vertical="center" wrapText="1"/>
    </xf>
    <xf numFmtId="0" fontId="16" fillId="0" borderId="1" xfId="8" applyFont="1" applyBorder="1" applyAlignment="1">
      <alignment vertical="center" wrapText="1"/>
    </xf>
    <xf numFmtId="0" fontId="16" fillId="0" borderId="14" xfId="8" applyFont="1" applyBorder="1" applyAlignment="1">
      <alignment horizontal="center" vertical="center"/>
    </xf>
    <xf numFmtId="0" fontId="4" fillId="0" borderId="1" xfId="11" applyFont="1" applyBorder="1" applyAlignment="1">
      <alignment vertical="center" wrapText="1"/>
    </xf>
    <xf numFmtId="0" fontId="12" fillId="0" borderId="14" xfId="8" applyFont="1" applyBorder="1" applyAlignment="1">
      <alignment horizontal="center" vertical="center"/>
    </xf>
    <xf numFmtId="4" fontId="23" fillId="2" borderId="7" xfId="8" applyNumberFormat="1" applyFont="1" applyFill="1" applyBorder="1" applyAlignment="1">
      <alignment horizontal="right" vertical="center"/>
    </xf>
    <xf numFmtId="0" fontId="4" fillId="0" borderId="1" xfId="8" applyFont="1" applyBorder="1" applyAlignment="1">
      <alignment vertical="center" wrapText="1"/>
    </xf>
    <xf numFmtId="0" fontId="4" fillId="0" borderId="14" xfId="8" applyFont="1" applyBorder="1" applyAlignment="1">
      <alignment horizontal="center" vertical="center"/>
    </xf>
    <xf numFmtId="4" fontId="9" fillId="8" borderId="1" xfId="8" applyNumberFormat="1" applyFont="1" applyFill="1" applyBorder="1" applyAlignment="1">
      <alignment horizontal="right" vertical="center"/>
    </xf>
    <xf numFmtId="4" fontId="9" fillId="8" borderId="1" xfId="8" applyNumberFormat="1" applyFont="1" applyFill="1" applyBorder="1" applyAlignment="1">
      <alignment horizontal="center" vertical="center"/>
    </xf>
    <xf numFmtId="0" fontId="33" fillId="0" borderId="1" xfId="11" applyFont="1" applyBorder="1" applyAlignment="1">
      <alignment vertical="center" wrapText="1"/>
    </xf>
    <xf numFmtId="0" fontId="33" fillId="0" borderId="14" xfId="11" applyFont="1" applyBorder="1" applyAlignment="1">
      <alignment horizontal="center" vertical="center" wrapText="1"/>
    </xf>
    <xf numFmtId="4" fontId="22" fillId="2" borderId="1" xfId="8" applyNumberFormat="1" applyFont="1" applyFill="1" applyBorder="1" applyAlignment="1">
      <alignment horizontal="right" vertical="center"/>
    </xf>
    <xf numFmtId="0" fontId="16" fillId="0" borderId="1" xfId="8" applyFont="1" applyBorder="1" applyAlignment="1">
      <alignment horizontal="center" vertical="center"/>
    </xf>
    <xf numFmtId="4" fontId="16" fillId="8" borderId="1" xfId="8" applyNumberFormat="1" applyFont="1" applyFill="1" applyBorder="1" applyAlignment="1">
      <alignment horizontal="center" vertical="center"/>
    </xf>
    <xf numFmtId="4" fontId="16" fillId="8" borderId="1" xfId="8" applyNumberFormat="1" applyFont="1" applyFill="1" applyBorder="1" applyAlignment="1">
      <alignment horizontal="right" vertical="center"/>
    </xf>
    <xf numFmtId="4" fontId="34" fillId="2" borderId="1" xfId="8" applyNumberFormat="1" applyFont="1" applyFill="1" applyBorder="1" applyAlignment="1">
      <alignment horizontal="right" vertical="center"/>
    </xf>
    <xf numFmtId="4" fontId="9" fillId="0" borderId="14" xfId="8" applyNumberFormat="1" applyFont="1" applyBorder="1" applyAlignment="1" applyProtection="1">
      <alignment horizontal="left" vertical="center"/>
      <protection locked="0"/>
    </xf>
    <xf numFmtId="0" fontId="16" fillId="0" borderId="0" xfId="8" applyFont="1" applyAlignment="1">
      <alignment vertical="center"/>
    </xf>
    <xf numFmtId="0" fontId="33" fillId="0" borderId="1" xfId="8" applyFont="1" applyBorder="1" applyAlignment="1">
      <alignment vertical="center" wrapText="1"/>
    </xf>
    <xf numFmtId="0" fontId="33" fillId="0" borderId="14" xfId="8" applyFont="1" applyBorder="1" applyAlignment="1">
      <alignment horizontal="center" vertical="center" wrapText="1"/>
    </xf>
    <xf numFmtId="0" fontId="17" fillId="0" borderId="1" xfId="8" applyFont="1" applyBorder="1" applyAlignment="1">
      <alignment vertical="center" wrapText="1"/>
    </xf>
    <xf numFmtId="0" fontId="35" fillId="0" borderId="14" xfId="8" applyFont="1" applyBorder="1" applyAlignment="1">
      <alignment horizontal="center" vertical="center" wrapText="1"/>
    </xf>
    <xf numFmtId="0" fontId="9" fillId="0" borderId="0" xfId="8" applyFont="1" applyAlignment="1">
      <alignment horizontal="center" vertical="center"/>
    </xf>
    <xf numFmtId="0" fontId="36" fillId="2" borderId="0" xfId="8" applyFont="1" applyFill="1" applyAlignment="1">
      <alignment vertical="center"/>
    </xf>
    <xf numFmtId="4" fontId="36" fillId="2" borderId="0" xfId="8" applyNumberFormat="1" applyFont="1" applyFill="1" applyAlignment="1">
      <alignment vertical="center"/>
    </xf>
    <xf numFmtId="2" fontId="36" fillId="2" borderId="0" xfId="8" applyNumberFormat="1" applyFont="1" applyFill="1" applyAlignment="1">
      <alignment horizontal="center" vertical="center" wrapText="1"/>
    </xf>
    <xf numFmtId="4" fontId="36" fillId="0" borderId="0" xfId="8" applyNumberFormat="1" applyFont="1" applyAlignment="1">
      <alignment vertical="center"/>
    </xf>
    <xf numFmtId="2" fontId="36" fillId="0" borderId="0" xfId="8" applyNumberFormat="1" applyFont="1" applyAlignment="1">
      <alignment horizontal="center" vertical="center" wrapText="1"/>
    </xf>
    <xf numFmtId="0" fontId="2" fillId="0" borderId="0" xfId="6" applyFont="1"/>
    <xf numFmtId="4" fontId="2" fillId="0" borderId="0" xfId="6" applyNumberFormat="1" applyFont="1"/>
    <xf numFmtId="4" fontId="9" fillId="0" borderId="0" xfId="8" applyNumberFormat="1" applyFont="1" applyAlignment="1">
      <alignment vertical="center"/>
    </xf>
    <xf numFmtId="0" fontId="11" fillId="0" borderId="0" xfId="6" applyFont="1"/>
    <xf numFmtId="4" fontId="11" fillId="0" borderId="0" xfId="6" applyNumberFormat="1" applyFont="1"/>
    <xf numFmtId="0" fontId="9" fillId="0" borderId="0" xfId="8" applyFont="1" applyAlignment="1">
      <alignment horizontal="left" vertical="center"/>
    </xf>
    <xf numFmtId="0" fontId="37" fillId="0" borderId="0" xfId="0" applyFont="1"/>
    <xf numFmtId="0" fontId="1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165" fontId="38" fillId="0" borderId="1" xfId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167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0" fontId="11" fillId="0" borderId="17" xfId="0" applyFont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2" fillId="4" borderId="1" xfId="3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6" fillId="15" borderId="1" xfId="0" applyFont="1" applyFill="1" applyBorder="1" applyAlignment="1">
      <alignment horizontal="center" vertical="center" textRotation="90"/>
    </xf>
    <xf numFmtId="0" fontId="6" fillId="15" borderId="1" xfId="0" applyFont="1" applyFill="1" applyBorder="1" applyAlignment="1">
      <alignment horizontal="center" textRotation="90" wrapText="1"/>
    </xf>
    <xf numFmtId="0" fontId="6" fillId="1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15" borderId="1" xfId="0" applyFont="1" applyFill="1" applyBorder="1" applyAlignment="1">
      <alignment vertical="center" textRotation="90"/>
    </xf>
    <xf numFmtId="2" fontId="11" fillId="0" borderId="1" xfId="0" applyNumberFormat="1" applyFont="1" applyBorder="1"/>
    <xf numFmtId="0" fontId="12" fillId="4" borderId="1" xfId="3" applyFont="1" applyFill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4" fontId="11" fillId="0" borderId="1" xfId="0" applyNumberFormat="1" applyFont="1" applyBorder="1"/>
    <xf numFmtId="2" fontId="11" fillId="0" borderId="1" xfId="0" applyNumberFormat="1" applyFont="1" applyBorder="1" applyAlignment="1">
      <alignment vertical="center"/>
    </xf>
    <xf numFmtId="0" fontId="12" fillId="13" borderId="1" xfId="3" applyFont="1" applyFill="1" applyBorder="1" applyAlignment="1">
      <alignment horizontal="center" vertical="center"/>
    </xf>
    <xf numFmtId="0" fontId="11" fillId="0" borderId="17" xfId="0" applyFont="1" applyBorder="1"/>
    <xf numFmtId="0" fontId="11" fillId="2" borderId="0" xfId="0" applyFont="1" applyFill="1" applyBorder="1"/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4" fontId="11" fillId="0" borderId="0" xfId="0" applyNumberFormat="1" applyFont="1" applyBorder="1"/>
    <xf numFmtId="0" fontId="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top" wrapText="1"/>
    </xf>
    <xf numFmtId="164" fontId="6" fillId="2" borderId="0" xfId="0" applyNumberFormat="1" applyFont="1" applyFill="1" applyBorder="1"/>
    <xf numFmtId="0" fontId="1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/>
    <xf numFmtId="0" fontId="40" fillId="17" borderId="1" xfId="0" applyFont="1" applyFill="1" applyBorder="1" applyAlignment="1">
      <alignment horizontal="center" vertical="center"/>
    </xf>
    <xf numFmtId="4" fontId="40" fillId="17" borderId="1" xfId="0" applyNumberFormat="1" applyFont="1" applyFill="1" applyBorder="1"/>
    <xf numFmtId="164" fontId="39" fillId="17" borderId="1" xfId="4" applyFont="1" applyFill="1" applyBorder="1" applyAlignment="1">
      <alignment horizontal="center" vertical="center"/>
    </xf>
    <xf numFmtId="164" fontId="39" fillId="16" borderId="1" xfId="4" applyFont="1" applyFill="1" applyBorder="1"/>
    <xf numFmtId="0" fontId="6" fillId="16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 textRotation="90"/>
    </xf>
    <xf numFmtId="0" fontId="6" fillId="16" borderId="1" xfId="0" applyFont="1" applyFill="1" applyBorder="1" applyAlignment="1">
      <alignment horizontal="center" vertical="center" textRotation="90" wrapText="1"/>
    </xf>
    <xf numFmtId="2" fontId="12" fillId="2" borderId="1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2" fontId="12" fillId="0" borderId="14" xfId="0" applyNumberFormat="1" applyFont="1" applyBorder="1" applyAlignment="1">
      <alignment horizontal="center" vertical="center"/>
    </xf>
    <xf numFmtId="4" fontId="12" fillId="0" borderId="12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7" fontId="12" fillId="0" borderId="17" xfId="0" applyNumberFormat="1" applyFont="1" applyBorder="1" applyAlignment="1">
      <alignment horizontal="center" vertical="center"/>
    </xf>
    <xf numFmtId="2" fontId="12" fillId="0" borderId="19" xfId="0" applyNumberFormat="1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wrapText="1" shrinkToFit="1"/>
    </xf>
    <xf numFmtId="0" fontId="12" fillId="0" borderId="1" xfId="0" applyFont="1" applyBorder="1" applyAlignment="1" applyProtection="1">
      <alignment horizontal="center" vertical="center" shrinkToFit="1"/>
    </xf>
    <xf numFmtId="0" fontId="12" fillId="14" borderId="1" xfId="0" applyFont="1" applyFill="1" applyBorder="1" applyAlignment="1" applyProtection="1">
      <alignment horizontal="center" vertical="center" wrapText="1" shrinkToFit="1"/>
    </xf>
    <xf numFmtId="0" fontId="12" fillId="14" borderId="1" xfId="0" applyFont="1" applyFill="1" applyBorder="1" applyAlignment="1" applyProtection="1">
      <alignment horizontal="center" vertical="center" shrinkToFit="1"/>
    </xf>
    <xf numFmtId="0" fontId="12" fillId="0" borderId="17" xfId="0" applyFont="1" applyBorder="1" applyAlignment="1" applyProtection="1">
      <alignment horizontal="center" vertical="center" wrapText="1" shrinkToFit="1"/>
    </xf>
    <xf numFmtId="0" fontId="12" fillId="0" borderId="17" xfId="0" applyFont="1" applyBorder="1" applyAlignment="1" applyProtection="1">
      <alignment horizontal="center" vertical="center" shrinkToFi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7" xfId="0" applyFont="1" applyBorder="1" applyAlignment="1">
      <alignment horizontal="center" vertical="center" wrapText="1" shrinkToFit="1"/>
    </xf>
    <xf numFmtId="0" fontId="12" fillId="0" borderId="17" xfId="0" applyFont="1" applyBorder="1" applyAlignment="1">
      <alignment horizontal="center" vertical="center" shrinkToFit="1"/>
    </xf>
    <xf numFmtId="164" fontId="6" fillId="0" borderId="0" xfId="4" applyFont="1" applyFill="1" applyBorder="1" applyAlignment="1">
      <alignment shrinkToFit="1"/>
    </xf>
    <xf numFmtId="164" fontId="6" fillId="2" borderId="0" xfId="4" applyFont="1" applyFill="1" applyBorder="1" applyAlignment="1">
      <alignment horizontal="right" vertical="top"/>
    </xf>
    <xf numFmtId="0" fontId="11" fillId="0" borderId="0" xfId="0" applyFont="1" applyAlignment="1">
      <alignment horizontal="center" shrinkToFit="1"/>
    </xf>
    <xf numFmtId="0" fontId="11" fillId="0" borderId="0" xfId="0" applyFont="1" applyAlignment="1">
      <alignment horizontal="left"/>
    </xf>
    <xf numFmtId="164" fontId="42" fillId="17" borderId="1" xfId="4" applyFont="1" applyFill="1" applyBorder="1" applyAlignment="1">
      <alignment horizontal="center" vertical="center"/>
    </xf>
    <xf numFmtId="164" fontId="42" fillId="17" borderId="1" xfId="4" applyFont="1" applyFill="1" applyBorder="1" applyAlignment="1">
      <alignment horizontal="center" vertical="center" shrinkToFit="1"/>
    </xf>
    <xf numFmtId="164" fontId="42" fillId="16" borderId="7" xfId="0" applyNumberFormat="1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/>
    </xf>
    <xf numFmtId="164" fontId="6" fillId="2" borderId="0" xfId="14" applyFont="1" applyFill="1" applyAlignment="1">
      <alignment horizontal="center" vertical="center"/>
    </xf>
    <xf numFmtId="165" fontId="38" fillId="0" borderId="1" xfId="1" applyFont="1" applyFill="1" applyBorder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 shrinkToFit="1"/>
    </xf>
    <xf numFmtId="164" fontId="11" fillId="0" borderId="0" xfId="14" applyFont="1" applyAlignment="1">
      <alignment horizontal="center" vertical="center"/>
    </xf>
    <xf numFmtId="164" fontId="6" fillId="16" borderId="1" xfId="14" applyFont="1" applyFill="1" applyBorder="1" applyAlignment="1">
      <alignment horizontal="center" vertical="center" textRotation="90" wrapText="1"/>
    </xf>
    <xf numFmtId="0" fontId="6" fillId="16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164" fontId="6" fillId="2" borderId="1" xfId="14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5" fontId="38" fillId="0" borderId="1" xfId="1" applyFont="1" applyBorder="1" applyAlignment="1">
      <alignment horizontal="center" vertical="center" wrapText="1"/>
    </xf>
    <xf numFmtId="168" fontId="11" fillId="0" borderId="1" xfId="0" applyNumberFormat="1" applyFont="1" applyBorder="1" applyAlignment="1">
      <alignment horizontal="center" vertical="center"/>
    </xf>
    <xf numFmtId="168" fontId="12" fillId="0" borderId="1" xfId="3" applyNumberFormat="1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2" fontId="12" fillId="0" borderId="1" xfId="3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38" fillId="0" borderId="1" xfId="13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4" borderId="1" xfId="3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2" fontId="43" fillId="0" borderId="0" xfId="0" applyNumberFormat="1" applyFont="1" applyAlignment="1">
      <alignment horizontal="center" vertical="center"/>
    </xf>
    <xf numFmtId="164" fontId="6" fillId="2" borderId="0" xfId="14" applyFont="1" applyFill="1" applyBorder="1" applyAlignment="1">
      <alignment horizontal="center" vertical="center"/>
    </xf>
    <xf numFmtId="164" fontId="11" fillId="0" borderId="0" xfId="14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2" fontId="6" fillId="16" borderId="1" xfId="0" applyNumberFormat="1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vertical="center" textRotation="90" wrapText="1"/>
    </xf>
    <xf numFmtId="179" fontId="6" fillId="2" borderId="1" xfId="14" applyNumberFormat="1" applyFont="1" applyFill="1" applyBorder="1" applyAlignment="1">
      <alignment horizontal="center" vertical="center"/>
    </xf>
    <xf numFmtId="177" fontId="39" fillId="17" borderId="1" xfId="4" applyNumberFormat="1" applyFont="1" applyFill="1" applyBorder="1" applyAlignment="1">
      <alignment horizontal="center" vertical="center"/>
    </xf>
    <xf numFmtId="164" fontId="39" fillId="16" borderId="1" xfId="0" applyNumberFormat="1" applyFont="1" applyFill="1" applyBorder="1" applyAlignment="1">
      <alignment horizontal="center" vertical="center"/>
    </xf>
    <xf numFmtId="165" fontId="38" fillId="0" borderId="6" xfId="1" applyFont="1" applyBorder="1" applyAlignment="1">
      <alignment horizontal="center"/>
    </xf>
    <xf numFmtId="0" fontId="6" fillId="16" borderId="1" xfId="0" applyFont="1" applyFill="1" applyBorder="1" applyAlignment="1">
      <alignment horizontal="center" textRotation="90"/>
    </xf>
    <xf numFmtId="164" fontId="11" fillId="0" borderId="1" xfId="4" applyFont="1" applyFill="1" applyBorder="1" applyAlignment="1">
      <alignment vertical="center"/>
    </xf>
    <xf numFmtId="0" fontId="12" fillId="0" borderId="1" xfId="3" applyFont="1" applyBorder="1" applyAlignment="1">
      <alignment vertical="center" wrapText="1"/>
    </xf>
    <xf numFmtId="0" fontId="12" fillId="0" borderId="1" xfId="3" applyFont="1" applyBorder="1" applyAlignment="1">
      <alignment vertical="center"/>
    </xf>
    <xf numFmtId="0" fontId="12" fillId="0" borderId="1" xfId="3" applyFont="1" applyBorder="1" applyAlignment="1">
      <alignment horizontal="center" vertical="center"/>
    </xf>
    <xf numFmtId="165" fontId="38" fillId="0" borderId="6" xfId="1" applyFont="1" applyBorder="1"/>
    <xf numFmtId="165" fontId="38" fillId="0" borderId="6" xfId="1" applyFont="1" applyBorder="1" applyAlignment="1">
      <alignment vertical="top"/>
    </xf>
    <xf numFmtId="0" fontId="11" fillId="0" borderId="4" xfId="0" applyFont="1" applyBorder="1" applyAlignment="1">
      <alignment horizontal="right" vertical="center"/>
    </xf>
    <xf numFmtId="169" fontId="38" fillId="0" borderId="6" xfId="1" applyNumberFormat="1" applyFont="1" applyBorder="1"/>
    <xf numFmtId="165" fontId="38" fillId="0" borderId="0" xfId="1" applyFont="1" applyAlignment="1">
      <alignment vertical="top"/>
    </xf>
    <xf numFmtId="167" fontId="11" fillId="0" borderId="1" xfId="0" applyNumberFormat="1" applyFont="1" applyBorder="1" applyAlignment="1">
      <alignment horizontal="right"/>
    </xf>
    <xf numFmtId="166" fontId="11" fillId="0" borderId="1" xfId="0" applyNumberFormat="1" applyFont="1" applyBorder="1" applyAlignment="1">
      <alignment horizontal="right"/>
    </xf>
    <xf numFmtId="168" fontId="11" fillId="0" borderId="1" xfId="0" applyNumberFormat="1" applyFont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8" fillId="0" borderId="1" xfId="0" applyFont="1" applyFill="1" applyBorder="1" applyAlignment="1">
      <alignment horizontal="center"/>
    </xf>
    <xf numFmtId="0" fontId="38" fillId="0" borderId="1" xfId="0" applyFont="1" applyFill="1" applyBorder="1"/>
    <xf numFmtId="0" fontId="12" fillId="11" borderId="1" xfId="0" applyFont="1" applyFill="1" applyBorder="1" applyAlignment="1">
      <alignment horizontal="center" vertical="center" wrapText="1"/>
    </xf>
    <xf numFmtId="165" fontId="38" fillId="0" borderId="6" xfId="1" applyFont="1" applyFill="1" applyBorder="1" applyAlignment="1">
      <alignment horizontal="center"/>
    </xf>
    <xf numFmtId="165" fontId="38" fillId="0" borderId="6" xfId="1" applyFont="1" applyFill="1" applyBorder="1" applyAlignment="1"/>
    <xf numFmtId="165" fontId="38" fillId="12" borderId="6" xfId="1" applyFont="1" applyFill="1" applyBorder="1" applyAlignment="1">
      <alignment horizontal="center" vertical="center" wrapText="1"/>
    </xf>
    <xf numFmtId="165" fontId="38" fillId="12" borderId="9" xfId="1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wrapText="1"/>
    </xf>
    <xf numFmtId="165" fontId="38" fillId="0" borderId="9" xfId="1" applyFont="1" applyFill="1" applyBorder="1" applyAlignment="1">
      <alignment horizontal="center"/>
    </xf>
    <xf numFmtId="165" fontId="38" fillId="0" borderId="9" xfId="1" applyFont="1" applyFill="1" applyBorder="1" applyAlignment="1"/>
    <xf numFmtId="164" fontId="11" fillId="0" borderId="17" xfId="4" applyFont="1" applyFill="1" applyBorder="1" applyAlignment="1">
      <alignment vertical="center"/>
    </xf>
    <xf numFmtId="0" fontId="12" fillId="0" borderId="17" xfId="3" applyFont="1" applyBorder="1" applyAlignment="1">
      <alignment vertical="center"/>
    </xf>
    <xf numFmtId="2" fontId="12" fillId="0" borderId="17" xfId="3" applyNumberFormat="1" applyFont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164" fontId="11" fillId="0" borderId="0" xfId="4" applyFont="1" applyFill="1" applyBorder="1" applyAlignment="1">
      <alignment vertical="center"/>
    </xf>
    <xf numFmtId="164" fontId="39" fillId="17" borderId="1" xfId="4" applyFont="1" applyFill="1" applyBorder="1" applyAlignment="1">
      <alignment horizontal="right" vertical="top"/>
    </xf>
    <xf numFmtId="164" fontId="39" fillId="16" borderId="1" xfId="4" applyFont="1" applyFill="1" applyBorder="1" applyAlignment="1">
      <alignment horizontal="right" vertical="top"/>
    </xf>
    <xf numFmtId="0" fontId="39" fillId="2" borderId="0" xfId="0" applyFont="1" applyFill="1" applyBorder="1" applyAlignment="1">
      <alignment horizontal="center" shrinkToFit="1"/>
    </xf>
    <xf numFmtId="164" fontId="39" fillId="2" borderId="0" xfId="4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45" fillId="18" borderId="20" xfId="0" applyFont="1" applyFill="1" applyBorder="1" applyAlignment="1">
      <alignment horizontal="left" vertical="top" wrapText="1"/>
    </xf>
    <xf numFmtId="0" fontId="46" fillId="18" borderId="21" xfId="0" applyFont="1" applyFill="1" applyBorder="1" applyAlignment="1">
      <alignment horizontal="center" vertical="top" wrapText="1"/>
    </xf>
    <xf numFmtId="0" fontId="45" fillId="19" borderId="24" xfId="0" applyFont="1" applyFill="1" applyBorder="1" applyAlignment="1">
      <alignment horizontal="left" vertical="top" wrapText="1"/>
    </xf>
    <xf numFmtId="0" fontId="45" fillId="19" borderId="24" xfId="0" applyFont="1" applyFill="1" applyBorder="1" applyAlignment="1">
      <alignment horizontal="right" vertical="top" wrapText="1"/>
    </xf>
    <xf numFmtId="0" fontId="47" fillId="0" borderId="24" xfId="0" applyFont="1" applyBorder="1" applyAlignment="1">
      <alignment horizontal="left" vertical="top" wrapText="1"/>
    </xf>
    <xf numFmtId="0" fontId="47" fillId="0" borderId="24" xfId="0" applyFont="1" applyBorder="1" applyAlignment="1">
      <alignment horizontal="right" vertical="top" wrapText="1"/>
    </xf>
    <xf numFmtId="0" fontId="48" fillId="0" borderId="24" xfId="0" applyFont="1" applyBorder="1" applyAlignment="1">
      <alignment horizontal="right" vertical="top" wrapText="1"/>
    </xf>
    <xf numFmtId="0" fontId="49" fillId="18" borderId="20" xfId="0" applyFont="1" applyFill="1" applyBorder="1" applyAlignment="1">
      <alignment horizontal="left" vertical="top" wrapText="1"/>
    </xf>
    <xf numFmtId="0" fontId="49" fillId="18" borderId="20" xfId="0" applyFont="1" applyFill="1" applyBorder="1" applyAlignment="1">
      <alignment horizontal="right" vertical="top" wrapText="1"/>
    </xf>
    <xf numFmtId="0" fontId="47" fillId="17" borderId="24" xfId="0" applyFont="1" applyFill="1" applyBorder="1" applyAlignment="1">
      <alignment horizontal="left" vertical="top" wrapText="1"/>
    </xf>
    <xf numFmtId="0" fontId="47" fillId="17" borderId="24" xfId="0" applyFont="1" applyFill="1" applyBorder="1" applyAlignment="1">
      <alignment horizontal="right" vertical="top" wrapText="1"/>
    </xf>
    <xf numFmtId="164" fontId="11" fillId="20" borderId="1" xfId="4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164" fontId="16" fillId="2" borderId="0" xfId="0" applyNumberFormat="1" applyFont="1" applyFill="1" applyBorder="1" applyAlignment="1">
      <alignment vertical="center" wrapText="1"/>
    </xf>
    <xf numFmtId="0" fontId="50" fillId="0" borderId="1" xfId="0" applyFont="1" applyBorder="1" applyAlignment="1">
      <alignment horizontal="center" vertical="center" shrinkToFit="1"/>
    </xf>
    <xf numFmtId="0" fontId="5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165" fontId="38" fillId="0" borderId="1" xfId="1" applyFont="1" applyFill="1" applyBorder="1" applyAlignment="1">
      <alignment horizontal="center" vertical="center"/>
    </xf>
    <xf numFmtId="169" fontId="38" fillId="0" borderId="1" xfId="1" applyNumberFormat="1" applyFont="1" applyFill="1" applyBorder="1" applyAlignment="1">
      <alignment horizontal="center" vertical="center"/>
    </xf>
    <xf numFmtId="164" fontId="6" fillId="2" borderId="17" xfId="14" applyFont="1" applyFill="1" applyBorder="1" applyAlignment="1">
      <alignment horizontal="center" vertical="center"/>
    </xf>
    <xf numFmtId="178" fontId="38" fillId="0" borderId="1" xfId="1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164" fontId="11" fillId="20" borderId="1" xfId="4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horizontal="center"/>
    </xf>
    <xf numFmtId="0" fontId="51" fillId="0" borderId="1" xfId="0" applyFont="1" applyBorder="1" applyAlignment="1">
      <alignment wrapText="1"/>
    </xf>
    <xf numFmtId="4" fontId="51" fillId="0" borderId="1" xfId="0" applyNumberFormat="1" applyFont="1" applyBorder="1"/>
    <xf numFmtId="0" fontId="3" fillId="16" borderId="1" xfId="0" applyFont="1" applyFill="1" applyBorder="1" applyAlignment="1">
      <alignment wrapText="1"/>
    </xf>
    <xf numFmtId="0" fontId="3" fillId="16" borderId="1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right" wrapText="1"/>
    </xf>
    <xf numFmtId="0" fontId="3" fillId="16" borderId="1" xfId="0" applyFont="1" applyFill="1" applyBorder="1" applyAlignment="1">
      <alignment horizontal="right" wrapText="1"/>
    </xf>
    <xf numFmtId="4" fontId="2" fillId="0" borderId="1" xfId="0" applyNumberFormat="1" applyFont="1" applyBorder="1"/>
    <xf numFmtId="4" fontId="3" fillId="17" borderId="1" xfId="14" applyNumberFormat="1" applyFont="1" applyFill="1" applyBorder="1"/>
    <xf numFmtId="4" fontId="3" fillId="16" borderId="1" xfId="14" applyNumberFormat="1" applyFont="1" applyFill="1" applyBorder="1"/>
    <xf numFmtId="164" fontId="12" fillId="2" borderId="1" xfId="4" applyFont="1" applyFill="1" applyBorder="1" applyAlignment="1">
      <alignment horizontal="center" vertical="center" shrinkToFit="1"/>
    </xf>
    <xf numFmtId="164" fontId="12" fillId="2" borderId="17" xfId="4" applyFont="1" applyFill="1" applyBorder="1" applyAlignment="1">
      <alignment vertical="center" shrinkToFit="1"/>
    </xf>
    <xf numFmtId="164" fontId="12" fillId="2" borderId="1" xfId="4" applyFont="1" applyFill="1" applyBorder="1" applyAlignment="1">
      <alignment vertical="center" shrinkToFit="1"/>
    </xf>
    <xf numFmtId="164" fontId="12" fillId="2" borderId="4" xfId="4" applyFont="1" applyFill="1" applyBorder="1" applyAlignment="1">
      <alignment vertical="center" shrinkToFit="1"/>
    </xf>
    <xf numFmtId="0" fontId="9" fillId="0" borderId="1" xfId="8" applyFont="1" applyBorder="1" applyAlignment="1">
      <alignment horizontal="center" vertical="center"/>
    </xf>
    <xf numFmtId="0" fontId="9" fillId="0" borderId="1" xfId="8" applyFont="1" applyBorder="1" applyAlignment="1">
      <alignment horizontal="left" vertical="center" wrapText="1"/>
    </xf>
    <xf numFmtId="49" fontId="27" fillId="6" borderId="1" xfId="11" applyNumberFormat="1" applyFont="1" applyFill="1" applyBorder="1" applyAlignment="1">
      <alignment horizontal="center" vertical="center" wrapText="1"/>
    </xf>
    <xf numFmtId="0" fontId="27" fillId="6" borderId="1" xfId="11" applyFont="1" applyFill="1" applyBorder="1" applyAlignment="1">
      <alignment vertical="center" wrapText="1"/>
    </xf>
    <xf numFmtId="0" fontId="9" fillId="0" borderId="1" xfId="11" applyFont="1" applyBorder="1" applyAlignment="1">
      <alignment horizontal="left" vertical="center" wrapText="1"/>
    </xf>
    <xf numFmtId="0" fontId="17" fillId="8" borderId="16" xfId="8" applyFont="1" applyFill="1" applyBorder="1" applyAlignment="1">
      <alignment horizontal="center" vertical="center" wrapText="1"/>
    </xf>
    <xf numFmtId="0" fontId="17" fillId="8" borderId="13" xfId="8" applyFont="1" applyFill="1" applyBorder="1" applyAlignment="1">
      <alignment horizontal="center" vertical="center" wrapText="1"/>
    </xf>
    <xf numFmtId="0" fontId="10" fillId="0" borderId="1" xfId="3" applyBorder="1" applyAlignment="1">
      <alignment vertical="center"/>
    </xf>
    <xf numFmtId="0" fontId="17" fillId="8" borderId="17" xfId="8" applyFont="1" applyFill="1" applyBorder="1" applyAlignment="1">
      <alignment horizontal="center" vertical="center" wrapText="1"/>
    </xf>
    <xf numFmtId="0" fontId="17" fillId="8" borderId="4" xfId="8" applyFont="1" applyFill="1" applyBorder="1" applyAlignment="1">
      <alignment horizontal="center" vertical="center" wrapText="1"/>
    </xf>
    <xf numFmtId="0" fontId="17" fillId="0" borderId="1" xfId="8" applyFont="1" applyBorder="1" applyAlignment="1">
      <alignment horizontal="center" vertical="center" wrapText="1"/>
    </xf>
    <xf numFmtId="0" fontId="20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 wrapText="1"/>
    </xf>
    <xf numFmtId="0" fontId="21" fillId="0" borderId="0" xfId="3" applyFont="1" applyAlignment="1">
      <alignment horizontal="center" wrapText="1"/>
    </xf>
    <xf numFmtId="0" fontId="9" fillId="0" borderId="1" xfId="8" applyFont="1" applyBorder="1" applyAlignment="1">
      <alignment horizontal="center" vertical="center" wrapText="1"/>
    </xf>
    <xf numFmtId="0" fontId="9" fillId="0" borderId="14" xfId="8" applyFont="1" applyBorder="1" applyAlignment="1">
      <alignment horizontal="center" vertical="center" wrapText="1"/>
    </xf>
    <xf numFmtId="4" fontId="9" fillId="0" borderId="14" xfId="8" applyNumberFormat="1" applyFont="1" applyBorder="1" applyAlignment="1">
      <alignment horizontal="center" vertical="center" wrapText="1"/>
    </xf>
    <xf numFmtId="4" fontId="9" fillId="0" borderId="15" xfId="8" applyNumberFormat="1" applyFont="1" applyBorder="1" applyAlignment="1">
      <alignment horizontal="center" vertical="center" wrapText="1"/>
    </xf>
    <xf numFmtId="4" fontId="9" fillId="0" borderId="7" xfId="8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8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7" xfId="5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 shrinkToFit="1"/>
    </xf>
    <xf numFmtId="0" fontId="12" fillId="0" borderId="7" xfId="5" applyFont="1" applyBorder="1" applyAlignment="1" applyProtection="1">
      <alignment horizontal="center" vertical="center" wrapText="1"/>
    </xf>
    <xf numFmtId="0" fontId="41" fillId="0" borderId="1" xfId="0" applyFont="1" applyBorder="1" applyAlignment="1" applyProtection="1">
      <alignment horizontal="center" vertical="center" wrapText="1" shrinkToFit="1"/>
    </xf>
    <xf numFmtId="0" fontId="12" fillId="0" borderId="8" xfId="0" applyFont="1" applyBorder="1" applyAlignment="1" applyProtection="1">
      <alignment horizontal="center" vertical="center" shrinkToFit="1"/>
    </xf>
    <xf numFmtId="0" fontId="12" fillId="0" borderId="17" xfId="5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1" xfId="5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 wrapText="1" shrinkToFit="1"/>
    </xf>
    <xf numFmtId="0" fontId="42" fillId="17" borderId="14" xfId="0" applyFont="1" applyFill="1" applyBorder="1" applyAlignment="1">
      <alignment horizontal="right" vertical="center" wrapText="1"/>
    </xf>
    <xf numFmtId="0" fontId="42" fillId="17" borderId="15" xfId="0" applyFont="1" applyFill="1" applyBorder="1" applyAlignment="1">
      <alignment horizontal="right" vertical="center" wrapText="1"/>
    </xf>
    <xf numFmtId="0" fontId="42" fillId="17" borderId="7" xfId="0" applyFont="1" applyFill="1" applyBorder="1" applyAlignment="1">
      <alignment horizontal="right" vertical="center" wrapText="1"/>
    </xf>
    <xf numFmtId="0" fontId="42" fillId="17" borderId="14" xfId="0" applyFont="1" applyFill="1" applyBorder="1" applyAlignment="1">
      <alignment horizontal="center" vertical="center" shrinkToFit="1"/>
    </xf>
    <xf numFmtId="0" fontId="42" fillId="17" borderId="15" xfId="0" applyFont="1" applyFill="1" applyBorder="1" applyAlignment="1">
      <alignment horizontal="center" vertical="center" shrinkToFit="1"/>
    </xf>
    <xf numFmtId="0" fontId="42" fillId="17" borderId="7" xfId="0" applyFont="1" applyFill="1" applyBorder="1" applyAlignment="1">
      <alignment horizontal="center" vertical="center" shrinkToFit="1"/>
    </xf>
    <xf numFmtId="0" fontId="42" fillId="16" borderId="1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14" borderId="1" xfId="0" applyFont="1" applyFill="1" applyBorder="1" applyAlignment="1" applyProtection="1">
      <alignment horizontal="center" vertical="center" wrapText="1" shrinkToFit="1"/>
    </xf>
    <xf numFmtId="0" fontId="6" fillId="16" borderId="1" xfId="0" applyFont="1" applyFill="1" applyBorder="1" applyAlignment="1">
      <alignment horizontal="center" vertical="center" textRotation="90" wrapText="1"/>
    </xf>
    <xf numFmtId="0" fontId="6" fillId="16" borderId="1" xfId="0" applyFont="1" applyFill="1" applyBorder="1" applyAlignment="1">
      <alignment horizontal="center" vertical="center" textRotation="90"/>
    </xf>
    <xf numFmtId="0" fontId="6" fillId="16" borderId="1" xfId="0" applyFont="1" applyFill="1" applyBorder="1" applyAlignment="1">
      <alignment horizontal="center" vertical="center" wrapText="1"/>
    </xf>
    <xf numFmtId="0" fontId="6" fillId="16" borderId="14" xfId="0" applyFont="1" applyFill="1" applyBorder="1" applyAlignment="1">
      <alignment horizontal="center" vertical="center" textRotation="90"/>
    </xf>
    <xf numFmtId="0" fontId="6" fillId="16" borderId="7" xfId="0" applyFont="1" applyFill="1" applyBorder="1" applyAlignment="1">
      <alignment horizontal="center" vertical="center" textRotation="90"/>
    </xf>
    <xf numFmtId="0" fontId="6" fillId="16" borderId="14" xfId="0" applyFont="1" applyFill="1" applyBorder="1" applyAlignment="1">
      <alignment horizontal="center" vertical="center"/>
    </xf>
    <xf numFmtId="0" fontId="6" fillId="16" borderId="15" xfId="0" applyFont="1" applyFill="1" applyBorder="1" applyAlignment="1">
      <alignment horizontal="center" vertical="center"/>
    </xf>
    <xf numFmtId="0" fontId="6" fillId="16" borderId="7" xfId="0" applyFont="1" applyFill="1" applyBorder="1" applyAlignment="1">
      <alignment horizontal="center" vertical="center"/>
    </xf>
    <xf numFmtId="164" fontId="12" fillId="2" borderId="17" xfId="4" applyFont="1" applyFill="1" applyBorder="1" applyAlignment="1">
      <alignment horizontal="center" vertical="center" shrinkToFit="1"/>
    </xf>
    <xf numFmtId="164" fontId="12" fillId="2" borderId="4" xfId="4" applyFont="1" applyFill="1" applyBorder="1" applyAlignment="1">
      <alignment horizontal="center" vertical="center" shrinkToFit="1"/>
    </xf>
    <xf numFmtId="0" fontId="12" fillId="0" borderId="17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0" borderId="17" xfId="0" applyFont="1" applyFill="1" applyBorder="1" applyAlignment="1">
      <alignment horizontal="left" vertical="center" wrapText="1"/>
    </xf>
    <xf numFmtId="0" fontId="12" fillId="20" borderId="4" xfId="0" applyFont="1" applyFill="1" applyBorder="1" applyAlignment="1">
      <alignment horizontal="left" vertical="center" wrapText="1"/>
    </xf>
    <xf numFmtId="0" fontId="11" fillId="20" borderId="17" xfId="0" applyFont="1" applyFill="1" applyBorder="1" applyAlignment="1">
      <alignment horizontal="center" vertical="center"/>
    </xf>
    <xf numFmtId="0" fontId="11" fillId="20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top"/>
    </xf>
    <xf numFmtId="0" fontId="12" fillId="13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left" vertical="center"/>
    </xf>
    <xf numFmtId="0" fontId="12" fillId="0" borderId="1" xfId="3" applyFont="1" applyBorder="1" applyAlignment="1">
      <alignment horizontal="left" vertical="center" wrapText="1"/>
    </xf>
    <xf numFmtId="0" fontId="12" fillId="4" borderId="1" xfId="3" applyFont="1" applyFill="1" applyBorder="1" applyAlignment="1">
      <alignment horizontal="center" vertical="center"/>
    </xf>
    <xf numFmtId="0" fontId="12" fillId="13" borderId="1" xfId="3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2" fillId="4" borderId="1" xfId="3" applyFont="1" applyFill="1" applyBorder="1" applyAlignment="1">
      <alignment horizontal="left" vertical="center"/>
    </xf>
    <xf numFmtId="0" fontId="12" fillId="13" borderId="1" xfId="3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2" fillId="4" borderId="1" xfId="3" applyFont="1" applyFill="1" applyBorder="1" applyAlignment="1">
      <alignment horizontal="center"/>
    </xf>
    <xf numFmtId="0" fontId="12" fillId="0" borderId="1" xfId="3" applyFont="1" applyBorder="1" applyAlignment="1">
      <alignment horizontal="center" vertical="top"/>
    </xf>
    <xf numFmtId="0" fontId="12" fillId="0" borderId="1" xfId="3" applyFont="1" applyBorder="1" applyAlignment="1">
      <alignment horizontal="center"/>
    </xf>
    <xf numFmtId="0" fontId="12" fillId="4" borderId="1" xfId="3" applyFont="1" applyFill="1" applyBorder="1" applyAlignment="1">
      <alignment horizontal="left" vertical="center" wrapText="1"/>
    </xf>
    <xf numFmtId="0" fontId="12" fillId="2" borderId="1" xfId="3" applyFont="1" applyFill="1" applyBorder="1" applyAlignment="1">
      <alignment horizontal="left" vertical="center" wrapText="1"/>
    </xf>
    <xf numFmtId="0" fontId="12" fillId="0" borderId="1" xfId="3" applyFont="1" applyBorder="1" applyAlignment="1">
      <alignment horizontal="left" vertical="center"/>
    </xf>
    <xf numFmtId="0" fontId="12" fillId="0" borderId="1" xfId="3" applyFont="1" applyBorder="1" applyAlignment="1">
      <alignment horizontal="center" vertical="center"/>
    </xf>
    <xf numFmtId="0" fontId="12" fillId="13" borderId="1" xfId="3" applyFont="1" applyFill="1" applyBorder="1" applyAlignment="1">
      <alignment horizontal="left" vertical="center" wrapText="1"/>
    </xf>
    <xf numFmtId="0" fontId="12" fillId="4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top"/>
    </xf>
    <xf numFmtId="0" fontId="12" fillId="2" borderId="1" xfId="3" applyFont="1" applyFill="1" applyBorder="1" applyAlignment="1">
      <alignment horizontal="center"/>
    </xf>
    <xf numFmtId="0" fontId="12" fillId="13" borderId="1" xfId="3" applyFont="1" applyFill="1" applyBorder="1" applyAlignment="1">
      <alignment horizontal="center"/>
    </xf>
    <xf numFmtId="0" fontId="12" fillId="13" borderId="1" xfId="3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5" borderId="1" xfId="2" applyFont="1" applyFill="1" applyBorder="1" applyAlignment="1">
      <alignment horizontal="left" vertical="center" wrapText="1"/>
    </xf>
    <xf numFmtId="0" fontId="12" fillId="2" borderId="1" xfId="2" applyFont="1" applyFill="1" applyBorder="1" applyAlignment="1">
      <alignment horizontal="left" vertical="center" wrapText="1"/>
    </xf>
    <xf numFmtId="0" fontId="12" fillId="0" borderId="1" xfId="2" applyFont="1" applyBorder="1" applyAlignment="1">
      <alignment vertical="center" wrapText="1"/>
    </xf>
    <xf numFmtId="0" fontId="12" fillId="0" borderId="1" xfId="3" applyFont="1" applyBorder="1" applyAlignment="1">
      <alignment horizontal="left" vertical="top"/>
    </xf>
    <xf numFmtId="0" fontId="12" fillId="0" borderId="1" xfId="2" applyFont="1" applyBorder="1" applyAlignment="1">
      <alignment horizontal="left" vertical="top" wrapText="1"/>
    </xf>
    <xf numFmtId="0" fontId="12" fillId="0" borderId="1" xfId="3" applyFont="1" applyBorder="1" applyAlignment="1">
      <alignment horizontal="left" wrapText="1"/>
    </xf>
    <xf numFmtId="0" fontId="12" fillId="0" borderId="1" xfId="3" applyFont="1" applyBorder="1" applyAlignment="1">
      <alignment horizontal="center" wrapText="1"/>
    </xf>
    <xf numFmtId="0" fontId="12" fillId="4" borderId="1" xfId="3" applyFont="1" applyFill="1" applyBorder="1" applyAlignment="1">
      <alignment horizontal="left" wrapText="1"/>
    </xf>
    <xf numFmtId="0" fontId="6" fillId="15" borderId="1" xfId="0" applyFont="1" applyFill="1" applyBorder="1" applyAlignment="1">
      <alignment horizontal="center" vertical="center" textRotation="90"/>
    </xf>
    <xf numFmtId="0" fontId="6" fillId="15" borderId="1" xfId="0" applyFont="1" applyFill="1" applyBorder="1" applyAlignment="1">
      <alignment horizontal="center" vertical="center"/>
    </xf>
    <xf numFmtId="0" fontId="39" fillId="16" borderId="1" xfId="0" applyFont="1" applyFill="1" applyBorder="1" applyAlignment="1">
      <alignment horizontal="right" vertical="center" wrapText="1"/>
    </xf>
    <xf numFmtId="0" fontId="39" fillId="17" borderId="14" xfId="0" applyFont="1" applyFill="1" applyBorder="1" applyAlignment="1">
      <alignment horizontal="right"/>
    </xf>
    <xf numFmtId="0" fontId="39" fillId="17" borderId="15" xfId="0" applyFont="1" applyFill="1" applyBorder="1" applyAlignment="1">
      <alignment horizontal="right"/>
    </xf>
    <xf numFmtId="0" fontId="39" fillId="17" borderId="7" xfId="0" applyFont="1" applyFill="1" applyBorder="1" applyAlignment="1">
      <alignment horizontal="right"/>
    </xf>
    <xf numFmtId="0" fontId="40" fillId="17" borderId="14" xfId="0" applyFont="1" applyFill="1" applyBorder="1" applyAlignment="1">
      <alignment horizontal="center" vertical="center" wrapText="1"/>
    </xf>
    <xf numFmtId="0" fontId="40" fillId="17" borderId="15" xfId="0" applyFont="1" applyFill="1" applyBorder="1" applyAlignment="1">
      <alignment horizontal="center" vertical="center" wrapText="1"/>
    </xf>
    <xf numFmtId="0" fontId="40" fillId="17" borderId="7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textRotation="90" wrapText="1"/>
    </xf>
    <xf numFmtId="0" fontId="11" fillId="0" borderId="17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164" fontId="11" fillId="0" borderId="17" xfId="4" applyFont="1" applyBorder="1" applyAlignment="1">
      <alignment horizontal="center" vertical="center"/>
    </xf>
    <xf numFmtId="164" fontId="11" fillId="0" borderId="4" xfId="4" applyFont="1" applyBorder="1" applyAlignment="1">
      <alignment horizontal="center" vertical="center"/>
    </xf>
    <xf numFmtId="164" fontId="11" fillId="20" borderId="17" xfId="4" applyFont="1" applyFill="1" applyBorder="1" applyAlignment="1">
      <alignment horizontal="center" vertical="center"/>
    </xf>
    <xf numFmtId="164" fontId="11" fillId="20" borderId="4" xfId="4" applyFont="1" applyFill="1" applyBorder="1" applyAlignment="1">
      <alignment horizontal="center" vertical="center"/>
    </xf>
    <xf numFmtId="0" fontId="11" fillId="20" borderId="1" xfId="0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5" fontId="38" fillId="0" borderId="1" xfId="1" applyFont="1" applyBorder="1" applyAlignment="1">
      <alignment horizontal="center" vertical="center"/>
    </xf>
    <xf numFmtId="165" fontId="38" fillId="0" borderId="1" xfId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165" fontId="38" fillId="0" borderId="1" xfId="1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5" fontId="38" fillId="0" borderId="1" xfId="1" applyFont="1" applyFill="1" applyBorder="1" applyAlignment="1">
      <alignment horizontal="center" vertical="center"/>
    </xf>
    <xf numFmtId="165" fontId="38" fillId="0" borderId="17" xfId="1" applyFont="1" applyFill="1" applyBorder="1" applyAlignment="1">
      <alignment horizontal="center" vertical="center" wrapText="1"/>
    </xf>
    <xf numFmtId="165" fontId="38" fillId="0" borderId="4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16" borderId="1" xfId="0" applyFont="1" applyFill="1" applyBorder="1" applyAlignment="1">
      <alignment horizontal="center" vertical="center"/>
    </xf>
    <xf numFmtId="0" fontId="42" fillId="17" borderId="1" xfId="0" applyFont="1" applyFill="1" applyBorder="1" applyAlignment="1">
      <alignment horizontal="right" vertical="center" wrapText="1"/>
    </xf>
    <xf numFmtId="0" fontId="39" fillId="16" borderId="14" xfId="0" applyFont="1" applyFill="1" applyBorder="1" applyAlignment="1">
      <alignment horizontal="right" vertical="center"/>
    </xf>
    <xf numFmtId="0" fontId="39" fillId="16" borderId="15" xfId="0" applyFont="1" applyFill="1" applyBorder="1" applyAlignment="1">
      <alignment horizontal="right" vertical="center"/>
    </xf>
    <xf numFmtId="0" fontId="39" fillId="16" borderId="7" xfId="0" applyFont="1" applyFill="1" applyBorder="1" applyAlignment="1">
      <alignment horizontal="right" vertical="center"/>
    </xf>
    <xf numFmtId="164" fontId="6" fillId="2" borderId="17" xfId="14" applyFont="1" applyFill="1" applyBorder="1" applyAlignment="1">
      <alignment horizontal="center" vertical="center"/>
    </xf>
    <xf numFmtId="164" fontId="6" fillId="2" borderId="4" xfId="14" applyFont="1" applyFill="1" applyBorder="1" applyAlignment="1">
      <alignment horizontal="center" vertical="center"/>
    </xf>
    <xf numFmtId="164" fontId="6" fillId="2" borderId="8" xfId="14" applyFont="1" applyFill="1" applyBorder="1" applyAlignment="1">
      <alignment horizontal="center" vertical="center"/>
    </xf>
    <xf numFmtId="164" fontId="39" fillId="17" borderId="14" xfId="4" applyFont="1" applyFill="1" applyBorder="1" applyAlignment="1">
      <alignment horizontal="center" vertical="center"/>
    </xf>
    <xf numFmtId="164" fontId="39" fillId="17" borderId="15" xfId="4" applyFont="1" applyFill="1" applyBorder="1" applyAlignment="1">
      <alignment horizontal="center" vertical="center"/>
    </xf>
    <xf numFmtId="164" fontId="39" fillId="17" borderId="7" xfId="4" applyFont="1" applyFill="1" applyBorder="1" applyAlignment="1">
      <alignment horizontal="center" vertical="center"/>
    </xf>
    <xf numFmtId="165" fontId="38" fillId="0" borderId="5" xfId="1" applyFont="1" applyFill="1" applyBorder="1" applyAlignment="1">
      <alignment horizontal="center" vertical="center" wrapText="1"/>
    </xf>
    <xf numFmtId="165" fontId="38" fillId="0" borderId="6" xfId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right" vertical="center"/>
    </xf>
    <xf numFmtId="2" fontId="11" fillId="0" borderId="8" xfId="0" applyNumberFormat="1" applyFont="1" applyBorder="1" applyAlignment="1">
      <alignment horizontal="right" vertical="center"/>
    </xf>
    <xf numFmtId="2" fontId="11" fillId="0" borderId="4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2" fontId="11" fillId="0" borderId="3" xfId="0" applyNumberFormat="1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0" fontId="11" fillId="0" borderId="3" xfId="3" quotePrefix="1" applyFont="1" applyBorder="1" applyAlignment="1">
      <alignment horizontal="center" vertical="center" wrapText="1"/>
    </xf>
    <xf numFmtId="0" fontId="11" fillId="0" borderId="8" xfId="3" quotePrefix="1" applyFont="1" applyBorder="1" applyAlignment="1">
      <alignment horizontal="center" vertical="center" wrapText="1"/>
    </xf>
    <xf numFmtId="0" fontId="11" fillId="0" borderId="4" xfId="3" quotePrefix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3" quotePrefix="1" applyFont="1" applyBorder="1" applyAlignment="1">
      <alignment horizontal="right" vertical="center" wrapText="1"/>
    </xf>
    <xf numFmtId="0" fontId="11" fillId="0" borderId="8" xfId="3" quotePrefix="1" applyFont="1" applyBorder="1" applyAlignment="1">
      <alignment horizontal="right" vertical="center" wrapText="1"/>
    </xf>
    <xf numFmtId="0" fontId="11" fillId="0" borderId="4" xfId="3" quotePrefix="1" applyFont="1" applyBorder="1" applyAlignment="1">
      <alignment horizontal="right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right" wrapText="1"/>
    </xf>
    <xf numFmtId="0" fontId="12" fillId="0" borderId="8" xfId="0" applyFont="1" applyBorder="1" applyAlignment="1">
      <alignment horizontal="right" wrapText="1"/>
    </xf>
    <xf numFmtId="0" fontId="12" fillId="0" borderId="4" xfId="0" applyFont="1" applyBorder="1" applyAlignment="1">
      <alignment horizontal="right" wrapText="1"/>
    </xf>
    <xf numFmtId="0" fontId="6" fillId="16" borderId="1" xfId="0" applyFont="1" applyFill="1" applyBorder="1" applyAlignment="1">
      <alignment horizontal="right" vertical="center" textRotation="90"/>
    </xf>
    <xf numFmtId="0" fontId="6" fillId="0" borderId="1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4" fontId="11" fillId="0" borderId="17" xfId="4" applyFont="1" applyFill="1" applyBorder="1" applyAlignment="1">
      <alignment horizontal="center" vertical="center"/>
    </xf>
    <xf numFmtId="164" fontId="11" fillId="0" borderId="8" xfId="4" applyFont="1" applyFill="1" applyBorder="1" applyAlignment="1">
      <alignment horizontal="center" vertical="center"/>
    </xf>
    <xf numFmtId="164" fontId="11" fillId="0" borderId="4" xfId="4" applyFont="1" applyFill="1" applyBorder="1" applyAlignment="1">
      <alignment horizontal="center" vertical="center"/>
    </xf>
    <xf numFmtId="0" fontId="39" fillId="16" borderId="14" xfId="0" applyFont="1" applyFill="1" applyBorder="1" applyAlignment="1">
      <alignment horizontal="center" shrinkToFit="1"/>
    </xf>
    <xf numFmtId="0" fontId="39" fillId="16" borderId="15" xfId="0" applyFont="1" applyFill="1" applyBorder="1" applyAlignment="1">
      <alignment horizontal="center" shrinkToFit="1"/>
    </xf>
    <xf numFmtId="0" fontId="39" fillId="16" borderId="7" xfId="0" applyFont="1" applyFill="1" applyBorder="1" applyAlignment="1">
      <alignment horizontal="center" shrinkToFit="1"/>
    </xf>
    <xf numFmtId="0" fontId="42" fillId="17" borderId="14" xfId="0" applyFont="1" applyFill="1" applyBorder="1" applyAlignment="1">
      <alignment horizontal="right" vertical="top" wrapText="1"/>
    </xf>
    <xf numFmtId="0" fontId="42" fillId="17" borderId="15" xfId="0" applyFont="1" applyFill="1" applyBorder="1" applyAlignment="1">
      <alignment horizontal="right" vertical="top" wrapText="1"/>
    </xf>
    <xf numFmtId="0" fontId="42" fillId="17" borderId="7" xfId="0" applyFont="1" applyFill="1" applyBorder="1" applyAlignment="1">
      <alignment horizontal="right" vertical="top" wrapText="1"/>
    </xf>
    <xf numFmtId="0" fontId="40" fillId="17" borderId="14" xfId="0" applyFont="1" applyFill="1" applyBorder="1" applyAlignment="1">
      <alignment horizontal="center" shrinkToFit="1"/>
    </xf>
    <xf numFmtId="0" fontId="40" fillId="17" borderId="15" xfId="0" applyFont="1" applyFill="1" applyBorder="1" applyAlignment="1">
      <alignment horizontal="center" shrinkToFit="1"/>
    </xf>
    <xf numFmtId="0" fontId="40" fillId="17" borderId="7" xfId="0" applyFont="1" applyFill="1" applyBorder="1" applyAlignment="1">
      <alignment horizontal="center" shrinkToFit="1"/>
    </xf>
    <xf numFmtId="165" fontId="38" fillId="0" borderId="10" xfId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wrapText="1"/>
    </xf>
    <xf numFmtId="0" fontId="45" fillId="18" borderId="22" xfId="0" applyFont="1" applyFill="1" applyBorder="1" applyAlignment="1">
      <alignment horizontal="left" vertical="top" wrapText="1"/>
    </xf>
    <xf numFmtId="0" fontId="45" fillId="18" borderId="23" xfId="0" applyFont="1" applyFill="1" applyBorder="1" applyAlignment="1">
      <alignment horizontal="left" vertical="top" wrapText="1"/>
    </xf>
    <xf numFmtId="0" fontId="46" fillId="18" borderId="22" xfId="0" applyFont="1" applyFill="1" applyBorder="1" applyAlignment="1">
      <alignment horizontal="center" vertical="top" wrapText="1"/>
    </xf>
    <xf numFmtId="0" fontId="46" fillId="18" borderId="23" xfId="0" applyFont="1" applyFill="1" applyBorder="1" applyAlignment="1">
      <alignment horizontal="center" vertical="top" wrapText="1"/>
    </xf>
  </cellXfs>
  <cellStyles count="15">
    <cellStyle name="Excel Built-in Normal" xfId="1" xr:uid="{00000000-0005-0000-0000-000000000000}"/>
    <cellStyle name="Excel Built-in Normal 1" xfId="13" xr:uid="{00000000-0005-0000-0000-000001000000}"/>
    <cellStyle name="Денежный_ПЛАН работ" xfId="12" xr:uid="{00000000-0005-0000-0000-000002000000}"/>
    <cellStyle name="Обычный" xfId="0" builtinId="0"/>
    <cellStyle name="Обычный 2" xfId="3" xr:uid="{00000000-0005-0000-0000-000004000000}"/>
    <cellStyle name="Обычный 4 7" xfId="6" xr:uid="{00000000-0005-0000-0000-000005000000}"/>
    <cellStyle name="Обычный_Анализ факта" xfId="11" xr:uid="{00000000-0005-0000-0000-000006000000}"/>
    <cellStyle name="Обычный_ПЛАН работ" xfId="8" xr:uid="{00000000-0005-0000-0000-000007000000}"/>
    <cellStyle name="Обычный_Таблицы к новому перечню" xfId="5" xr:uid="{00000000-0005-0000-0000-000008000000}"/>
    <cellStyle name="Обычный_Таблицы РЭК" xfId="2" xr:uid="{00000000-0005-0000-0000-000009000000}"/>
    <cellStyle name="Финансовый" xfId="14" builtinId="3"/>
    <cellStyle name="Финансовый 2" xfId="4" xr:uid="{00000000-0005-0000-0000-00000B000000}"/>
    <cellStyle name="Финансовый 3" xfId="7" xr:uid="{00000000-0005-0000-0000-00000C000000}"/>
    <cellStyle name="Финансовый 3 4" xfId="9" xr:uid="{00000000-0005-0000-0000-00000D000000}"/>
    <cellStyle name="Финансовый 4" xfId="10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2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66" Type="http://schemas.openxmlformats.org/officeDocument/2006/relationships/externalLink" Target="externalLinks/externalLink55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0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53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48.xml"/><Relationship Id="rId67" Type="http://schemas.openxmlformats.org/officeDocument/2006/relationships/theme" Target="theme/theme1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Geryaga\&#1052;&#1086;&#1080;%20&#1076;&#1086;&#1082;&#1091;&#1084;&#1077;&#1085;&#1090;&#1099;\&#1056;&#1072;&#1089;&#1095;&#1077;&#1090;&#1099;\&#1041;&#1077;&#1085;&#1079;&#1080;&#1085;\BAZA\BIZNES\2001\FINICH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555\My%20Document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-peo\&#1086;&#1073;&#1097;&#1072;&#1103;\&#1041;&#1072;&#1083;&#1072;&#1085;&#1089;\An(EsMon)\SC_W\&#1055;&#1088;&#1086;&#1075;&#1085;&#1086;&#1079;\&#1055;&#1088;&#1086;&#1075;05_00(27.0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85;&#1080;&#1094;2\d\&#1044;&#1086;&#1082;&#1091;&#1084;&#1077;&#1085;&#1090;&#1099;\&#1041;&#1072;&#1085;&#1082;\VTR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SERVER01\Public\&#1057;&#1085;&#1080;&#1094;2\d\&#1044;&#1086;&#1082;&#1091;&#1084;&#1077;&#1085;&#1090;&#1099;\&#1041;&#1072;&#1085;&#1082;\VTR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90;&#1086;&#1088;&#1075;&#1086;&#1074;&#1083;&#1103;\&#1052;&#1086;&#1080;%20&#1076;&#1086;&#1082;&#1091;&#1084;&#1077;&#1085;&#1090;&#1099;\2011-&#1076;&#1077;&#1092;&#1083;\c&#1077;&#1085;&#1090;&#1103;&#1073;&#1088;&#1100;\v-2013-2030-%202&#1074;-f-15.09%20xls%20-%202&#1048;%20&#1087;&#1086;&#1089;&#1083;&#1077;%20&#1089;&#1086;&#1074;&#1077;&#1097;+&#10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88d\&#1076;&#1086;&#1082;&#1091;&#1084;&#1077;&#1085;&#1090;&#1099;\Documents%20and%20Settings\111\&#1052;&#1086;&#1080;%20&#1076;&#1086;&#1082;&#1091;&#1084;&#1077;&#1085;&#1090;&#1099;\&#1044;&#1086;&#1082;&#1091;&#1084;&#1077;&#1085;&#1090;&#1099;\&#1046;&#1050;&#1061;%202004\&#1055;&#1091;&#1075;&#1072;&#1095;&#1077;&#1074;%20&#1046;&#1050;&#1061;%20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-peo\&#1086;&#1073;&#1097;&#1072;&#1103;\Public\&#1058;&#1040;&#1056;&#1048;&#1060;&#1067;\&#1056;&#1040;&#1057;&#1063;&#1045;&#1058;&#1067;\&#1085;&#1072;%202011%20&#1075;&#1086;&#1076;\&#1058;&#1056;&#1059;&#1052;&#1053;_2011\46_&#1058;&#1069;\46-&#1058;&#1069;%20&#1058;&#1080;&#1093;&#1086;&#1088;&#1077;&#1094;&#1082;&#1072;&#1103;\46TE_&#1058;&#1080;&#1093;&#1086;&#1088;&#1077;&#1094;&#1082;&#1072;&#1103;_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-peo\&#1086;&#1073;&#1097;&#1072;&#1103;\Projects\!ISM\!Soft\ARM_INFR.xla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-peo\&#1086;&#1073;&#1097;&#1072;&#1103;\&#1041;&#1072;&#1083;&#1072;&#1085;&#1089;\An(EsMon)\7.02.01\SC_W\&#1055;&#1088;&#1086;&#1075;&#1085;&#1086;&#1079;\&#1055;&#1088;&#1086;&#1075;05_00(27.06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-peo\&#1086;&#1073;&#1097;&#1072;&#1103;\&#1041;&#1072;&#1083;&#1072;&#1085;&#1089;\An(EsMon)\7.02.01\&#1061;&#1072;&#1085;&#1086;&#1074;&#1072;\&#1043;&#1088;(27.07.00)5&#1061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ublic\&#1058;&#1040;&#1056;&#1048;&#1060;&#1067;\&#1056;&#1040;&#1057;&#1063;&#1045;&#1058;&#1067;\&#1085;&#1072;%202013%20&#1075;&#1086;&#1076;\&#1055;&#1042;&#1044;%20&#1040;&#1076;&#1083;&#1077;&#1088;\&#1042;&#1093;&#1086;&#1076;&#1103;&#1097;&#1080;&#1077;\&#1064;&#1040;&#1041;&#1051;&#1054;&#1053;&#1067;%20&#1045;&#1048;&#1040;&#1057;\PR.PROG.OKK.3.61(v1.1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-peo\&#1086;&#1073;&#1097;&#1072;&#1103;\&#1041;&#1072;&#1083;&#1072;&#1085;&#1089;\An(EsMon)\&#1061;&#1072;&#1085;&#1086;&#1074;&#1072;\&#1043;&#1088;(27.07.00)5&#1061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-peo\&#1086;&#1073;&#1097;&#1072;&#1103;\&#1058;&#1072;&#1088;&#1080;&#1092;&#1099;%20&#1085;&#1072;%202016\&#1054;&#1054;&#1054;%20&#1063;&#1077;&#1088;&#1085;&#1086;&#1084;&#1086;&#1088;&#1084;&#1077;&#1073;&#1077;&#1083;&#1100;%20&#1058;&#1069;&#1053;\TEH.INFO.TS.3.23_&#1043;&#1086;&#1088;&#1086;&#1076;%20&#1053;&#1086;&#1074;&#1086;&#1088;&#1086;&#1089;&#1089;&#1080;&#1081;&#1089;&#1082;_&#1054;&#1054;&#1054;%20&#1063;&#1077;&#1088;&#1085;&#1086;&#1084;&#1086;&#1088;&#1084;&#1077;&#1073;&#1077;&#1083;&#1100;%20&#1058;&#1069;&#1053;%20(&#1085;&#1077;&#1087;&#1088;&#1072;&#1074;&#1080;&#1083;&#1100;&#1085;&#1099;&#1081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ublic\&#1058;&#1040;&#1056;&#1048;&#1060;&#1067;\&#1056;&#1040;&#1057;&#1063;&#1045;&#1058;&#1067;\&#1085;&#1072;%202013%20&#1075;&#1086;&#1076;\&#1056;&#1057;&#1058;%20&#1056;&#1054;\&#1058;&#1040;&#1056;&#1048;&#1060;%202013%20&#1056;&#1086;&#1076;&#1080;&#1086;&#1085;&#1086;&#1074;&#1089;&#1082;&#1072;&#1103;\&#1048;&#1089;&#1087;&#1086;&#1083;&#1085;&#1077;&#1085;&#1085;&#1099;&#1077;\&#1064;&#1040;&#1041;&#1051;&#1054;&#1053;&#1067;\TS.TARIFF.REQUEST.3.61%20TRUMN_Rodionovskay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-peo\&#1086;&#1073;&#1097;&#1072;&#1103;\Public\&#1058;&#1040;&#1056;&#1048;&#1060;&#1067;\&#1056;&#1040;&#1057;&#1063;&#1045;&#1058;&#1067;\&#1085;&#1072;%202012%20&#1075;&#1086;&#1076;\&#1054;&#1058;&#1063;&#1045;&#1058;&#1053;&#1054;&#1057;&#1058;&#1068;%2046-&#1058;&#1045;\&#1048;&#1057;&#1055;&#1054;&#1051;&#1053;&#1045;&#1053;&#1053;&#1067;&#1045;\1%20&#1087;&#1086;&#1083;&#1091;&#1075;&#1086;&#1076;&#1080;&#1077;\&#1055;&#1053;&#1041;%20&#1058;&#1048;&#1061;&#1054;&#1056;&#1045;&#1062;&#1050;&#1040;&#1071;\46TE.2011(v1.0)_TRUMN_tihor_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-peo\&#1086;&#1073;&#1097;&#1072;&#1103;\&#1058;&#1040;&#1056;&#1048;&#1060;&#1067;\&#1040;&#1058;&#1051;&#1040;&#1053;&#1058;\&#1042;&#1093;&#1086;&#1076;&#1103;&#1097;&#1080;&#1077;\Public\&#1058;&#1040;&#1056;&#1048;&#1060;&#1067;\&#1056;&#1040;&#1057;&#1063;&#1045;&#1058;&#1067;\&#1085;&#1072;%202012%20&#1075;&#1086;&#1076;\&#1054;&#1058;&#1063;&#1045;&#1058;&#1053;&#1054;&#1057;&#1058;&#1068;%2046-&#1058;&#1045;\&#1048;&#1057;&#1055;&#1054;&#1051;&#1053;&#1045;&#1053;&#1053;&#1067;&#1045;\1%20&#1087;&#1086;&#1083;&#1091;&#1075;&#1086;&#1076;&#1080;&#1077;\&#1055;&#1053;&#1041;%20&#1058;&#1048;&#1061;&#1054;&#1056;&#1045;&#1062;&#1050;&#1040;&#1071;\46TE.2011(v1.0)_TRUMN_tihor_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ORM1\sta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-peo\&#1086;&#1073;&#1097;&#1072;&#1103;\Documents%20and%20Settings\morozovaav\&#1056;&#1072;&#1073;&#1086;&#1095;&#1080;&#1081;%20&#1089;&#1090;&#1086;&#1083;\&#1090;&#1072;&#1073;&#1083;.%204.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41;&#1072;&#1083;&#1072;&#1085;&#1089;&#1099;%20&#1076;&#1083;&#1103;%20&#1056;&#1069;&#1050;\STOIMO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haelsrv\disk%20t\&#1050;&#1091;&#1095;&#1091;&#1085;&#1086;&#1074;&#1072;\&#1074;%20&#1060;&#1057;&#1058;%20&#1082;%2024.08%20&#1090;&#1077;&#1087;&#1083;&#1086;\Krasnodarskij%20kra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-peo\&#1086;&#1073;&#1097;&#1072;&#1103;\&#1058;&#1040;&#1056;&#1048;&#1060;&#1067;\&#1040;&#1058;&#1051;&#1040;&#1053;&#1058;\&#1042;&#1093;&#1086;&#1076;&#1103;&#1097;&#1080;&#1077;\Public\&#1058;&#1040;&#1056;&#1048;&#1060;&#1067;\&#1056;&#1040;&#1057;&#1063;&#1045;&#1058;&#1067;\&#1085;&#1072;%202011%20&#1075;&#1086;&#1076;\&#1058;&#1056;&#1059;&#1052;&#1053;_2011\46_&#1058;&#1069;\46-&#1058;&#1069;%20&#1058;&#1080;&#1093;&#1086;&#1088;&#1077;&#1094;&#1082;&#1072;&#1103;\46TE_&#1058;&#1080;&#1093;&#1086;&#1088;&#1077;&#1094;&#1082;&#1072;&#1103;_2010_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6-2.mail.ru/Documents%20and%20Settings/sindeevanv/Local%20Settings/Temporary%20Internet%20Files/OLK41/OREP.INV.N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3\Public\Public\&#1058;&#1040;&#1056;&#1048;&#1060;&#1067;\&#1056;&#1040;&#1057;&#1063;&#1045;&#1058;&#1067;\&#1085;&#1072;%202013%20&#1075;&#1086;&#1076;\&#1054;&#1058;&#1063;&#1045;&#1058;&#1067;%20&#1058;&#1069;%20&#1080;%20&#1058;&#1086;&#1087;&#1083;&#1080;&#1074;&#1086;\&#1090;&#1086;&#1087;&#1083;&#1080;&#1074;&#1086;\&#1055;&#1042;&#1044;%20&#1040;&#1076;&#1083;&#1077;&#1088;\WARM.TOPL.Q2.2012(v1.0.1)_&#1055;&#1042;&#1044;%20&#1040;&#1044;&#1051;&#1045;&#1056;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-peo\&#1086;&#1073;&#1097;&#1072;&#1103;\DOCUME~1\ECO\LOCALS~1\Temp\Documents%20and%20Settings\RubanIG\Local%20Settings\Temporary%20Internet%20Files\OLK6\&#1053;&#1040;&#1051;&#1054;&#1043;&#1048;\&#1058;&#1056;&#1040;&#1053;&#1057;&#1055;.%20&#1053;&#1040;&#1051;&#1054;&#1043;\2003&#1075;&#1086;&#1076;\&#1040;&#1085;&#1072;&#1083;&#1080;&#1079;%202003\&#1058;&#1088;.&#1085;&#1072;&#1083;(2003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-peo\&#1086;&#1073;&#1097;&#1072;&#1103;\&#1053;&#1040;&#1051;&#1054;&#1043;&#1048;\&#1058;&#1056;&#1040;&#1053;&#1057;&#1055;.%20&#1053;&#1040;&#1051;&#1054;&#1043;\2003&#1075;&#1086;&#1076;\&#1040;&#1085;&#1072;&#1083;&#1080;&#1079;%202003\&#1058;&#1088;.&#1085;&#1072;&#1083;(2003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SC_W\&#1055;&#1088;&#1086;&#1075;&#1085;&#1086;&#1079;\&#1055;&#1088;&#1086;&#1075;05_00(27.06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-peo\&#1086;&#1073;&#1097;&#1072;&#1103;\&#1053;%20&#1040;%20&#1051;%20&#1054;%20&#1043;%20&#1048;\2002_09&#1084;&#1077;&#1089;\&#1044;&#1077;&#1082;&#1083;.&#1080;&#1084;&#1091;&#1097;&#1077;&#1089;&#1090;&#1074;&#1072;02_9&#1084;&#1077;&#1089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-peo\&#1086;&#1073;&#1097;&#1072;&#1103;\&#1058;&#1040;&#1056;&#1048;&#1060;&#1067;\&#1040;&#1058;&#1051;&#1040;&#1053;&#1058;\&#1042;&#1093;&#1086;&#1076;&#1103;&#1097;&#1080;&#1077;\&#1053;%20&#1040;%20&#1051;%20&#1054;%20&#1043;%20&#1048;\2002_09&#1084;&#1077;&#1089;\&#1044;&#1077;&#1082;&#1083;.&#1080;&#1084;&#1091;&#1097;&#1077;&#1089;&#1090;&#1074;&#1072;02_9&#1084;&#1077;&#1089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-peo\&#1086;&#1073;&#1097;&#1072;&#1103;\&#1061;&#1072;&#1085;&#1086;&#1074;&#1072;\&#1043;&#1088;(27.07.00)5&#1061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\d\&#1052;&#1086;&#1080;%20&#1076;&#1086;&#1082;&#1091;&#1084;&#1077;&#1085;&#1090;&#1099;\&#1052;&#1086;&#1080;%20&#1076;&#1086;&#1082;&#1091;&#1084;&#1077;&#1085;&#1090;&#1099;\2%20&#1055;%20&#1069;%20&#1054;\&#1055;&#1086;&#1074;&#1099;&#1096;&#1077;&#1085;&#1080;&#1077;%20&#1090;&#1072;&#1088;&#1080;&#1092;&#1072;\&#1050;&#1086;&#1087;&#1080;&#1103;%20&#1047;&#1072;&#1090;&#1088;&#1072;&#1090;&#1099;%20&#1085;&#1072;%2016121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-peo\&#1086;&#1073;&#1097;&#1072;&#1103;\&#1053;&#1040;&#1051;&#1054;&#1043;&#1048;\&#1040;&#1053;&#1040;&#1051;&#1048;&#1047;\&#1041;&#1070;&#1044;&#1046;&#1045;&#1058;\2006\&#1060;&#1086;&#1088;&#1084;&#1099;\Nalogi_20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-peo\&#1086;&#1073;&#1097;&#1072;&#1103;\&#1069;&#1050;&#1054;&#1053;&#1054;&#1052;&#1048;&#1057;&#1058;&#1067;\&#1054;&#1058;&#1063;&#1045;&#1058;\&#1050;&#1074;&#1072;&#1088;&#1090;&#1072;&#1083;&#1100;&#1085;&#1099;&#1081;\2003\1&#1082;&#1074;\&#1044;&#1077;&#1082;&#1083;.&#1080;&#1084;&#1091;&#1097;&#1077;&#1089;&#1090;&#1074;&#1072;03_1&#1082;&#1074;_&#1082;&#1086;&#1087;&#1080;&#1103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-peo\&#1086;&#1073;&#1097;&#1072;&#1103;\&#1058;&#1040;&#1056;&#1048;&#1060;&#1067;\&#1040;&#1058;&#1051;&#1040;&#1053;&#1058;\&#1042;&#1093;&#1086;&#1076;&#1103;&#1097;&#1080;&#1077;\&#1069;&#1050;&#1054;&#1053;&#1054;&#1052;&#1048;&#1057;&#1058;&#1067;\&#1054;&#1058;&#1063;&#1045;&#1058;\&#1050;&#1074;&#1072;&#1088;&#1090;&#1072;&#1083;&#1100;&#1085;&#1099;&#1081;\2003\1&#1082;&#1074;\&#1044;&#1077;&#1082;&#1083;.&#1080;&#1084;&#1091;&#1097;&#1077;&#1089;&#1090;&#1074;&#1072;03_1&#1082;&#1074;_&#1082;&#1086;&#1087;&#1080;&#110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-peo\&#1086;&#1073;&#1097;&#1072;&#1103;\DOCUME~1\ECO\LOCALS~1\Temp\Documents%20and%20Settings\RubanIG\Local%20Settings\Temporary%20Internet%20Files\OLK6\WINDOWS\Temporary%20Internet%20Files\OLK11\&#1058;&#1088;%20&#1053;&#1055;&#1057;%20&#1058;&#1072;&#1088;&#1072;&#1089;&#1086;&#1074;&#1089;&#1082;&#1072;&#1103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55new\documents\&#1069;&#1085;&#1075;&#1077;&#1083;&#1100;&#1089;%202010\&#1048;&#1085;&#1074;.&#1087;&#1088;&#1086;&#1075;&#1088;&#1072;&#1084;&#1084;&#1099;%20&#1069;&#1085;&#1075;&#1077;&#1083;&#1100;&#1089;&#1072;\&#1069;&#1043;&#1058;&#1057;\20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SERVER01\Public\&#1069;&#1043;&#1058;&#1057;\2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-peo\&#1086;&#1073;&#1097;&#1072;&#1103;\Documents%20and%20Settings\ChuprikNN\Local%20Settings\Temporary%20Internet%20Files\OLK468\DOCUME~1\LIFSHI~1\LOCALS~1\Temp\&#1055;&#1083;&#1072;&#1085;%20&#1090;&#1086;&#1088;&#1075;&#1086;&#1074;%202004%2016.07.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-peo\&#1086;&#1073;&#1097;&#1072;&#1103;\Documents%20and%20Settings\Cherenkova\Local%20Settings\Temporary%20Internet%20Files\OLKB\V2.200727&#1084;&#1072;&#1088;&#1090;&#1072;&#1091;&#1090;&#1086;&#1095;&#1085;.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-peo\&#1086;&#1073;&#1097;&#1072;&#1103;\&#1058;&#1040;&#1056;&#1048;&#1060;&#1067;\&#1040;&#1058;&#1051;&#1040;&#1053;&#1058;\&#1042;&#1093;&#1086;&#1076;&#1103;&#1097;&#1080;&#1077;\Cherenkova\Local%20Settings\Temporary%20Internet%20Files\OLKB\V2.200727&#1084;&#1072;&#1088;&#1090;&#1072;&#1091;&#1090;&#1086;&#1095;&#1085;.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-peo\&#1086;&#1073;&#1097;&#1072;&#1103;\&#1058;&#1077;&#1087;&#1083;&#1086;\&#1056;&#1072;&#1089;&#1095;&#1077;&#1090;&#1099;%20&#1076;&#1083;&#1103;%20&#1058;&#1077;&#1087;&#1083;&#1086;&#1074;&#1099;&#1093;%20&#1089;&#1077;&#1090;&#1077;&#1081;\&#1044;&#1080;&#1085;&#1089;&#1082;&#1080;&#1077;%20&#1090;&#1077;&#1087;&#1083;&#1086;&#1074;&#1099;&#1077;%20&#1089;&#1077;&#1090;&#1080;\&#1056;&#1072;&#1089;&#1095;&#1077;&#1090;%20&#1101;&#1083;&#1077;&#1082;&#1090;&#1088;&#1086;&#1101;&#1085;&#1077;&#1088;&#1075;&#1080;&#1080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555\My%20Documents\&#1069;&#1085;&#1075;&#1077;&#1083;&#1100;&#1089;%202004\&#1069;&#1085;&#1075;&#1077;&#1083;&#1100;&#1089;-&#1042;&#1086;&#1076;&#1086;&#1082;&#1072;&#1085;&#1072;&#1083;\&#1044;&#1072;&#1085;&#1085;&#1099;&#1077;%20&#1087;&#1088;&#1077;&#1076;&#1087;&#1088;&#1080;&#1103;&#1090;&#1080;&#1103;%2006.09.2004\&#1050;&#1085;&#1080;&#1075;&#1072;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-peo\&#1086;&#1073;&#1097;&#1072;&#1103;\My%20Passport\&#1058;&#1040;&#1056;&#1048;&#1060;&#1067;-2015\&#1040;&#1058;&#1051;&#1040;&#1053;&#1058;\&#1048;&#1089;&#1087;&#1086;&#1083;&#1085;&#1077;&#1085;&#1085;&#1099;&#1077;\&#1053;&#1054;&#1056;&#1052;&#1040;&#1058;&#1048;&#1042;&#1067;\&#1053;&#1058;&#1055;\&#1088;&#1072;&#1089;&#1095;&#1077;&#1090;%20&#1087;&#1086;&#1090;&#1077;&#1088;&#1100;%20&#1061;&#1056;&#1059;%20&#1040;&#1090;&#1083;&#1072;&#1085;&#109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73;&#1097;&#1072;&#1103;\&#1058;&#1040;&#1056;&#1048;&#1060;\&#1058;&#1058;&#1050;\&#1058;&#1072;&#1088;&#1080;&#1092;%20&#1056;&#1069;&#1050;%20&#1085;&#1072;%202022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58;&#1040;&#1056;&#1048;&#1060;/2024-2025/&#1058;&#1058;&#1050;/&#1058;&#1077;&#1093;%20&#1095;&#1072;&#1089;&#1090;&#1100;%20&#1089;&#1083;&#1080;&#1103;&#1085;&#1080;&#1077;%20&#1058;&#1058;&#1050;%20&#1080;%20&#1060;&#1048;&#1050;%202022%20&#1089;%20&#1076;&#1086;&#1084;&#1086;&#1084;%20&#1044;&#1086;&#1075;&#1084;&#1099;%20(&#1042;&#1086;&#1089;&#1089;&#1090;&#1072;&#1085;&#1086;&#1074;&#1083;&#1077;&#1085;&#1085;&#1099;&#1081;)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58;&#1040;&#1056;&#1048;&#1060;/2024-2025/&#1044;&#1086;&#1087;.%20&#1079;&#1072;&#1087;&#1088;&#1086;&#1089;%20&#1058;&#1058;&#1050;/_27.11/1.%20&#1058;&#1077;&#1093;%20&#1095;&#1072;&#1089;&#1090;&#1100;%20%20&#1058;&#1058;&#1050;%202024%20&#1089;%20&#1092;&#1072;&#1082;&#1090;&#1086;&#1084;%2022+&#1050;&#1080;&#1103;&#1096;&#1082;&#1086;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58;&#1040;&#1056;&#1048;&#1060;/2024-2025/&#1044;&#1086;&#1087;.%20&#1079;&#1072;&#1087;&#1088;&#1086;&#1089;%20&#1058;&#1058;&#1050;/_27.11/&#1058;&#1077;&#1093;%20&#1095;&#1072;&#1089;&#1090;&#1100;%20%20&#1058;&#1058;&#1050;%202024%20&#1089;%20&#1092;&#1072;&#1082;&#1090;&#1086;&#1084;%2022+&#1050;&#1080;&#1103;&#1096;&#1082;&#1086;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58;&#1040;&#1056;&#1048;&#1060;/2024-2025/&#1058;&#1058;&#1050;/&#1058;&#1040;&#1056;&#1048;&#1060;&#1053;&#1054;&#1045;%20&#1044;&#1045;&#1051;&#1054;/&#1058;&#1045;&#1061;&#1053;&#1048;&#1063;&#1045;&#1057;&#1050;&#1040;&#1071;%20&#1063;&#1040;&#1057;&#1058;&#1068;/&#1058;&#1077;&#1093;%20&#1095;&#1072;&#1089;&#1090;&#1100;%20%20&#1058;&#1058;&#1050;%202024%20&#1089;%20&#1092;&#1072;&#1082;&#1090;&#1086;&#1084;%202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8;&#1077;&#1093;%20&#1095;&#1072;&#1089;&#1090;&#1100;%20%20&#1058;&#1058;&#1050;%202024%20&#1089;%20&#1092;&#1072;&#1082;&#1090;&#1086;&#1084;%2022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58;&#1040;&#1056;&#1048;&#1060;/2024-2025/&#1058;&#1058;&#1050;/&#1058;&#1077;&#1093;.&#1095;&#1072;&#1089;&#1090;&#1100;/&#1058;&#1077;&#1093;%20&#1095;&#1072;&#1089;&#1090;&#1100;%20%20&#1058;&#1058;&#1050;%202024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58;&#1040;&#1056;&#1048;&#1060;/2024-2025/&#1044;&#1086;&#1087;.%20&#1079;&#1072;&#1087;&#1088;&#1086;&#1089;%20&#1058;&#1058;&#1050;/_27.11/29.11%20&#1069;&#1082;&#1086;&#1085;&#1086;&#1084;&#1080;&#1095;&#1077;&#1089;&#1082;&#1080;&#1077;%20&#1090;&#1072;&#1073;&#1083;&#1080;&#1094;&#1099;%20&#1085;&#1072;%202024+&#1050;&#1080;&#1103;&#1096;&#1082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Контакты"/>
      <sheetName val="Свод"/>
      <sheetName val="TECHSHEET"/>
      <sheetName val="ТЛ"/>
      <sheetName val="2.8"/>
      <sheetName val="Т.3 газ "/>
      <sheetName val="_F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Т.3 газ "/>
      <sheetName val="_FES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Гр5(о)"/>
      <sheetName val="TEHSHEET"/>
      <sheetName val="Заголовок"/>
      <sheetName val="Инструкция"/>
      <sheetName val="База"/>
      <sheetName val="м3 2015 "/>
      <sheetName val="vec"/>
      <sheetName val="SOL"/>
      <sheetName val="2002(v1)"/>
      <sheetName val="2002_v2_"/>
      <sheetName val="2002(v2)"/>
      <sheetName val="НТЦ"/>
      <sheetName val="План Газпрома"/>
      <sheetName val="расчет тарифов"/>
      <sheetName val="Лист2"/>
      <sheetName val="reg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С0"/>
      <sheetName val="МС2"/>
      <sheetName val="ПРОГНОЗ_1"/>
      <sheetName val="База"/>
      <sheetName val="FES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С2"/>
      <sheetName val="ПРОГНОЗ_1"/>
      <sheetName val="База"/>
      <sheetName val="FE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Ц-2014И"/>
      <sheetName val="ИПЦ-2014Д"/>
      <sheetName val="CPI foodimp"/>
      <sheetName val="печ2 И"/>
      <sheetName val="df04-07"/>
      <sheetName val="df08-12"/>
      <sheetName val="df13-14"/>
      <sheetName val="Мир _цены"/>
      <sheetName val="ИЦПМЭР"/>
      <sheetName val="электро-14И"/>
      <sheetName val="уголь-мазут"/>
      <sheetName val="пч-30"/>
      <sheetName val="df13-30 (2)"/>
      <sheetName val="2030-ЖКХ-газ"/>
      <sheetName val="vec"/>
      <sheetName val="электро-14Д"/>
      <sheetName val="Контакты"/>
      <sheetName val="TECHSHEET"/>
      <sheetName val="PLAN_201X"/>
      <sheetName val="v-2013-2030- 2в-f-15"/>
      <sheetName val="FES"/>
      <sheetName val="МС2"/>
      <sheetName val="ПРОГНОЗ_1"/>
      <sheetName val="База"/>
      <sheetName val="2013г 1.11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 затрат"/>
      <sheetName val="Покрытие затрат"/>
      <sheetName val="Основ.пок."/>
      <sheetName val="Динамика тарифов"/>
      <sheetName val="Жилфонд (9)"/>
      <sheetName val="Жилфонд (8)"/>
      <sheetName val="обсл.рем.зданий (2)"/>
      <sheetName val="конструкт.эл. "/>
      <sheetName val="Вентканалы"/>
      <sheetName val="электрика (2)"/>
      <sheetName val="лампочки (3)"/>
      <sheetName val="водопровод"/>
      <sheetName val="канализация (2)"/>
      <sheetName val="отопление (2)"/>
      <sheetName val="горячая вода (2)"/>
      <sheetName val="содерж.домохоз. (2)"/>
      <sheetName val="инжен.оборудов. (3)"/>
      <sheetName val="Лист1"/>
      <sheetName val="Свалка"/>
      <sheetName val="Вывоз ЖБО"/>
      <sheetName val="Вывоз ТБО"/>
      <sheetName val="Распределение"/>
      <sheetName val="Таблица"/>
      <sheetName val="Цеховые ЖЭУ"/>
      <sheetName val="проч.прям.расх."/>
      <sheetName val="Цеховые "/>
      <sheetName val="Общехоз. "/>
      <sheetName val="жилье"/>
      <sheetName val="СВОД"/>
      <sheetName val="своя"/>
      <sheetName val="Площадь"/>
      <sheetName val="2002"/>
      <sheetName val="Дома"/>
      <sheetName val="спецодежда(2)"/>
      <sheetName val="инвентарь (2)"/>
      <sheetName val="Титульный"/>
      <sheetName val="СПР"/>
      <sheetName val="Инструкция"/>
      <sheetName val="TEHSHEET"/>
      <sheetName val="vec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E2" t="str">
            <v>НАЧИСЛЕНИЕ АМОРТИЗАЦИИ ОСНОВНЫХ СРЕДСТВ НА 1.01.2000 г.</v>
          </cell>
        </row>
        <row r="4">
          <cell r="A4" t="str">
            <v>ГОД</v>
          </cell>
          <cell r="B4" t="str">
            <v>МЕСЯЦ</v>
          </cell>
          <cell r="C4" t="str">
            <v>НАИМЕНОВАНИЕ</v>
          </cell>
          <cell r="E4" t="str">
            <v>МЕСЯЦ</v>
          </cell>
          <cell r="F4" t="str">
            <v>ГОД</v>
          </cell>
          <cell r="G4" t="str">
            <v>ШИФР</v>
          </cell>
          <cell r="H4" t="str">
            <v>НОРМЫ</v>
          </cell>
          <cell r="I4" t="str">
            <v>ПЕРВОНАЧАЛЬНАЯ</v>
          </cell>
          <cell r="J4" t="str">
            <v xml:space="preserve">  КОЭФ.</v>
          </cell>
          <cell r="K4" t="str">
            <v>БАЛАНСОВАЯ</v>
          </cell>
          <cell r="L4" t="str">
            <v>НАЧИСЛЕНИЕ АМОРТИЗАЦИИ</v>
          </cell>
          <cell r="N4" t="str">
            <v>НАЧИСЛЕНИЕ</v>
          </cell>
          <cell r="O4" t="str">
            <v>ОСТАТОЧНАЯ</v>
          </cell>
          <cell r="Q4" t="str">
            <v>ФАКТИЧЕСКАЯ</v>
          </cell>
          <cell r="R4" t="str">
            <v>ПРИХОД</v>
          </cell>
        </row>
        <row r="5">
          <cell r="C5" t="str">
            <v>НАИМЕНОВАНИЕ</v>
          </cell>
          <cell r="D5" t="str">
            <v>гос №</v>
          </cell>
          <cell r="E5" t="str">
            <v>ВВОДА</v>
          </cell>
          <cell r="F5" t="str">
            <v>ГОД</v>
          </cell>
          <cell r="G5" t="str">
            <v>ШИФР</v>
          </cell>
          <cell r="H5" t="str">
            <v>НОРМЫ</v>
          </cell>
          <cell r="I5" t="str">
            <v>СТОИМОСТЬ</v>
          </cell>
          <cell r="J5" t="str">
            <v xml:space="preserve">  ПЕРЕ-</v>
          </cell>
          <cell r="K5" t="str">
            <v xml:space="preserve">БАЛАНС. </v>
          </cell>
          <cell r="L5" t="str">
            <v>ИЗНОС</v>
          </cell>
          <cell r="M5" t="str">
            <v>ИЗНОС</v>
          </cell>
          <cell r="N5" t="str">
            <v xml:space="preserve">ОБЩИЙ </v>
          </cell>
          <cell r="O5" t="str">
            <v>ОСТАТОЧНАЯ</v>
          </cell>
          <cell r="P5" t="str">
            <v xml:space="preserve">Излишне </v>
          </cell>
          <cell r="Q5" t="str">
            <v>АМОРТИЗАЦИЯ</v>
          </cell>
          <cell r="R5" t="str">
            <v/>
          </cell>
        </row>
        <row r="6">
          <cell r="F6" t="str">
            <v>ВВОДА</v>
          </cell>
          <cell r="G6" t="str">
            <v>АМОРТИЗ</v>
          </cell>
          <cell r="H6" t="str">
            <v>АМОРТИЗ</v>
          </cell>
          <cell r="I6" t="str">
            <v>(баланс.стоим-ть</v>
          </cell>
          <cell r="J6" t="str">
            <v xml:space="preserve">  ОЦЕНКИ</v>
          </cell>
          <cell r="K6" t="str">
            <v>СТ-СТЬ</v>
          </cell>
          <cell r="L6" t="str">
            <v>ЗА ГОД</v>
          </cell>
          <cell r="M6" t="str">
            <v>ЗА МЕСЯЦ</v>
          </cell>
          <cell r="N6" t="str">
            <v>ИЗНОС</v>
          </cell>
          <cell r="O6" t="str">
            <v>СТОИМОСТЬ</v>
          </cell>
          <cell r="P6" t="str">
            <v>начисленный износ</v>
          </cell>
          <cell r="Q6" t="str">
            <v>ЗА МЕСЯЦ</v>
          </cell>
          <cell r="R6" t="str">
            <v>ПРИХОД</v>
          </cell>
        </row>
        <row r="7">
          <cell r="C7" t="str">
            <v>|</v>
          </cell>
          <cell r="I7" t="str">
            <v>1996 г.</v>
          </cell>
          <cell r="J7" t="str">
            <v xml:space="preserve">  (факт)</v>
          </cell>
          <cell r="K7" t="str">
            <v/>
          </cell>
        </row>
        <row r="8">
          <cell r="H8" t="str">
            <v>норма</v>
          </cell>
          <cell r="K8" t="str">
            <v>стоимость</v>
          </cell>
          <cell r="L8" t="str">
            <v>за_год</v>
          </cell>
          <cell r="M8" t="str">
            <v>за_мес</v>
          </cell>
          <cell r="N8" t="str">
            <v>износ</v>
          </cell>
          <cell r="O8" t="str">
            <v>ост</v>
          </cell>
          <cell r="Q8" t="str">
            <v>факт</v>
          </cell>
        </row>
        <row r="9">
          <cell r="A9">
            <v>2002</v>
          </cell>
          <cell r="B9">
            <v>0</v>
          </cell>
          <cell r="C9" t="str">
            <v>АРЕНДОВАННЫЕ ЖИЛЫЕ ПОМЕЩЕНИЯ</v>
          </cell>
        </row>
        <row r="10">
          <cell r="A10">
            <v>2002</v>
          </cell>
          <cell r="B10">
            <v>0</v>
          </cell>
          <cell r="C10" t="str">
            <v xml:space="preserve">Коммунистическая, 100                                                                                                                                                                                                                         </v>
          </cell>
          <cell r="F10">
            <v>1970</v>
          </cell>
          <cell r="G10">
            <v>10101</v>
          </cell>
          <cell r="H10">
            <v>0.8</v>
          </cell>
          <cell r="I10">
            <v>3294347160</v>
          </cell>
          <cell r="J10">
            <v>0.87</v>
          </cell>
          <cell r="K10">
            <v>2893</v>
          </cell>
          <cell r="L10">
            <v>23.144000000000002</v>
          </cell>
          <cell r="M10">
            <v>1.9286666666666668</v>
          </cell>
          <cell r="N10">
            <v>740.60800000000006</v>
          </cell>
          <cell r="O10">
            <v>2152.3919999999998</v>
          </cell>
          <cell r="P10">
            <v>0</v>
          </cell>
          <cell r="Q10">
            <v>1.9286666666666668</v>
          </cell>
        </row>
        <row r="11">
          <cell r="A11">
            <v>2002</v>
          </cell>
          <cell r="B11">
            <v>0</v>
          </cell>
          <cell r="C11" t="str">
            <v xml:space="preserve">Вокзальная, 18                                                                                                                                                                                                                                </v>
          </cell>
          <cell r="F11">
            <v>1965</v>
          </cell>
          <cell r="G11">
            <v>10101</v>
          </cell>
          <cell r="H11">
            <v>0.8</v>
          </cell>
          <cell r="I11">
            <v>1966513832</v>
          </cell>
          <cell r="J11">
            <v>0.95</v>
          </cell>
          <cell r="K11">
            <v>27964.799999999999</v>
          </cell>
          <cell r="L11">
            <v>223.7184</v>
          </cell>
          <cell r="M11">
            <v>18.6432</v>
          </cell>
          <cell r="N11">
            <v>8277.5807999999997</v>
          </cell>
          <cell r="O11">
            <v>19687.2192</v>
          </cell>
          <cell r="P11">
            <v>0</v>
          </cell>
          <cell r="Q11">
            <v>18.6432</v>
          </cell>
        </row>
        <row r="12">
          <cell r="A12">
            <v>2002</v>
          </cell>
          <cell r="B12">
            <v>0</v>
          </cell>
          <cell r="C12" t="str">
            <v xml:space="preserve">Вокзальная, 12                                                                                                                                                                                                                                </v>
          </cell>
          <cell r="F12">
            <v>1962</v>
          </cell>
          <cell r="G12">
            <v>10101</v>
          </cell>
          <cell r="H12">
            <v>0.8</v>
          </cell>
          <cell r="I12">
            <v>911589740</v>
          </cell>
          <cell r="J12">
            <v>0.84</v>
          </cell>
          <cell r="K12">
            <v>3628</v>
          </cell>
          <cell r="L12">
            <v>29.024000000000001</v>
          </cell>
          <cell r="M12">
            <v>2.4186666666666667</v>
          </cell>
          <cell r="N12">
            <v>1160.96</v>
          </cell>
          <cell r="O12">
            <v>2467.04</v>
          </cell>
          <cell r="P12">
            <v>0</v>
          </cell>
          <cell r="Q12">
            <v>2.4186666666666667</v>
          </cell>
        </row>
        <row r="13">
          <cell r="A13">
            <v>2002</v>
          </cell>
          <cell r="B13">
            <v>0</v>
          </cell>
          <cell r="C13" t="str">
            <v xml:space="preserve">Рев. проспект, 209                                                                                                                                                                                                                            </v>
          </cell>
          <cell r="F13">
            <v>1916</v>
          </cell>
          <cell r="G13">
            <v>10105</v>
          </cell>
          <cell r="H13">
            <v>2</v>
          </cell>
          <cell r="I13">
            <v>186316264</v>
          </cell>
          <cell r="J13">
            <v>1.1399999999999999</v>
          </cell>
          <cell r="K13">
            <v>2362.6</v>
          </cell>
          <cell r="L13">
            <v>47.251999999999995</v>
          </cell>
          <cell r="M13">
            <v>0</v>
          </cell>
          <cell r="N13">
            <v>4063.6719999999996</v>
          </cell>
          <cell r="O13">
            <v>0</v>
          </cell>
          <cell r="P13">
            <v>1701.0719999999997</v>
          </cell>
          <cell r="Q13">
            <v>0</v>
          </cell>
        </row>
        <row r="14">
          <cell r="A14">
            <v>2002</v>
          </cell>
          <cell r="B14">
            <v>0</v>
          </cell>
          <cell r="C14" t="str">
            <v xml:space="preserve">Кутякова, 66                                                                                                                                                                                                                                  </v>
          </cell>
          <cell r="F14">
            <v>1979</v>
          </cell>
          <cell r="G14">
            <v>10101</v>
          </cell>
          <cell r="H14">
            <v>0.8</v>
          </cell>
          <cell r="I14">
            <v>7951375770</v>
          </cell>
          <cell r="J14">
            <v>0.5</v>
          </cell>
          <cell r="K14">
            <v>47269</v>
          </cell>
          <cell r="L14">
            <v>378.15200000000004</v>
          </cell>
          <cell r="M14">
            <v>31.512666666666671</v>
          </cell>
          <cell r="N14">
            <v>8697.496000000001</v>
          </cell>
          <cell r="O14">
            <v>38571.504000000001</v>
          </cell>
          <cell r="P14">
            <v>0</v>
          </cell>
          <cell r="Q14">
            <v>31.512666666666671</v>
          </cell>
        </row>
        <row r="15">
          <cell r="A15">
            <v>2002</v>
          </cell>
          <cell r="B15">
            <v>0</v>
          </cell>
          <cell r="C15" t="str">
            <v xml:space="preserve">1-ый Микрорайон, 40                                                                                                                                                                                                                           </v>
          </cell>
          <cell r="F15">
            <v>1976</v>
          </cell>
          <cell r="G15">
            <v>10101</v>
          </cell>
          <cell r="H15">
            <v>0.8</v>
          </cell>
          <cell r="I15">
            <v>1341423346</v>
          </cell>
          <cell r="J15">
            <v>0.81</v>
          </cell>
          <cell r="K15">
            <v>5561.46</v>
          </cell>
          <cell r="L15">
            <v>44.491680000000002</v>
          </cell>
          <cell r="M15">
            <v>3.70764</v>
          </cell>
          <cell r="N15">
            <v>1156.78368</v>
          </cell>
          <cell r="O15">
            <v>4404.6763200000005</v>
          </cell>
          <cell r="P15">
            <v>0</v>
          </cell>
          <cell r="Q15">
            <v>3.70764</v>
          </cell>
        </row>
        <row r="16">
          <cell r="A16">
            <v>2002</v>
          </cell>
          <cell r="B16">
            <v>0</v>
          </cell>
          <cell r="C16" t="str">
            <v xml:space="preserve">1-ый Микрорайон, 52                                                                                                                                                                                                                           </v>
          </cell>
          <cell r="F16">
            <v>1979</v>
          </cell>
          <cell r="G16">
            <v>10101</v>
          </cell>
          <cell r="H16">
            <v>0.8</v>
          </cell>
          <cell r="I16">
            <v>1652857846</v>
          </cell>
          <cell r="J16">
            <v>0.64</v>
          </cell>
          <cell r="K16">
            <v>5827</v>
          </cell>
          <cell r="L16">
            <v>46.616000000000007</v>
          </cell>
          <cell r="M16">
            <v>3.8846666666666674</v>
          </cell>
          <cell r="N16">
            <v>1072.1680000000001</v>
          </cell>
          <cell r="O16">
            <v>4754.8320000000003</v>
          </cell>
          <cell r="P16">
            <v>0</v>
          </cell>
          <cell r="Q16">
            <v>3.8846666666666674</v>
          </cell>
        </row>
        <row r="17">
          <cell r="A17">
            <v>2002</v>
          </cell>
          <cell r="B17">
            <v>0</v>
          </cell>
          <cell r="C17" t="str">
            <v xml:space="preserve">1-ый Микрорайон, 54                                                                                                                                                                                                                           </v>
          </cell>
          <cell r="F17">
            <v>1979</v>
          </cell>
          <cell r="G17">
            <v>10101</v>
          </cell>
          <cell r="H17">
            <v>0.8</v>
          </cell>
          <cell r="I17">
            <v>1686752843</v>
          </cell>
          <cell r="J17">
            <v>0.62</v>
          </cell>
          <cell r="K17">
            <v>4575.8900000000003</v>
          </cell>
          <cell r="L17">
            <v>36.607120000000002</v>
          </cell>
          <cell r="M17">
            <v>3.0505933333333335</v>
          </cell>
          <cell r="N17">
            <v>841.96376000000009</v>
          </cell>
          <cell r="O17">
            <v>3733.9262400000002</v>
          </cell>
          <cell r="P17">
            <v>0</v>
          </cell>
          <cell r="Q17">
            <v>3.0505933333333335</v>
          </cell>
        </row>
        <row r="18">
          <cell r="A18">
            <v>2002</v>
          </cell>
          <cell r="B18">
            <v>0</v>
          </cell>
          <cell r="C18" t="str">
            <v xml:space="preserve">1-ый Микрорайон, 6                                                                                                                                                                                                                            </v>
          </cell>
          <cell r="F18">
            <v>1972</v>
          </cell>
          <cell r="G18">
            <v>10101</v>
          </cell>
          <cell r="H18">
            <v>0.8</v>
          </cell>
          <cell r="I18">
            <v>672750000</v>
          </cell>
          <cell r="J18">
            <v>1.0900000000000001</v>
          </cell>
          <cell r="K18">
            <v>43269.73</v>
          </cell>
          <cell r="L18">
            <v>346.15784000000008</v>
          </cell>
          <cell r="M18">
            <v>28.846486666666674</v>
          </cell>
          <cell r="N18">
            <v>10384.735200000003</v>
          </cell>
          <cell r="O18">
            <v>32884.9948</v>
          </cell>
          <cell r="P18">
            <v>0</v>
          </cell>
          <cell r="Q18">
            <v>28.846486666666674</v>
          </cell>
        </row>
        <row r="19">
          <cell r="A19">
            <v>2002</v>
          </cell>
          <cell r="B19">
            <v>0</v>
          </cell>
          <cell r="C19" t="str">
            <v xml:space="preserve">1-ый Микрорайон, 12                                                                                                                                                                                                                           </v>
          </cell>
          <cell r="F19">
            <v>1972</v>
          </cell>
          <cell r="G19">
            <v>10101</v>
          </cell>
          <cell r="H19">
            <v>0.8</v>
          </cell>
          <cell r="I19">
            <v>932880000</v>
          </cell>
          <cell r="J19">
            <v>0.98</v>
          </cell>
          <cell r="K19">
            <v>85879.753769999996</v>
          </cell>
          <cell r="L19">
            <v>687.03803016000006</v>
          </cell>
          <cell r="M19">
            <v>57.253169180000008</v>
          </cell>
          <cell r="N19">
            <v>20611.140904800002</v>
          </cell>
          <cell r="O19">
            <v>65268.61286519999</v>
          </cell>
          <cell r="P19">
            <v>0</v>
          </cell>
          <cell r="Q19">
            <v>57.253169180000008</v>
          </cell>
        </row>
        <row r="20">
          <cell r="A20">
            <v>2002</v>
          </cell>
          <cell r="B20">
            <v>0</v>
          </cell>
          <cell r="C20" t="str">
            <v xml:space="preserve">Октябрьская, 99                                                                                                                                                                                                                               </v>
          </cell>
          <cell r="F20">
            <v>1989</v>
          </cell>
          <cell r="G20">
            <v>10101</v>
          </cell>
          <cell r="H20">
            <v>0.8</v>
          </cell>
          <cell r="I20">
            <v>8419896993</v>
          </cell>
          <cell r="J20">
            <v>0.44</v>
          </cell>
          <cell r="K20">
            <v>11410</v>
          </cell>
          <cell r="L20">
            <v>91.28</v>
          </cell>
          <cell r="M20">
            <v>7.6066666666666665</v>
          </cell>
          <cell r="N20">
            <v>1186.6400000000001</v>
          </cell>
          <cell r="O20">
            <v>10223.36</v>
          </cell>
          <cell r="P20">
            <v>0</v>
          </cell>
          <cell r="Q20">
            <v>7.6066666666666665</v>
          </cell>
        </row>
        <row r="21">
          <cell r="A21">
            <v>2002</v>
          </cell>
          <cell r="B21">
            <v>0</v>
          </cell>
          <cell r="C21" t="str">
            <v xml:space="preserve">Октябрьская, 101                                                                                                                                                                                                                              </v>
          </cell>
          <cell r="F21">
            <v>1984</v>
          </cell>
          <cell r="G21">
            <v>10101</v>
          </cell>
          <cell r="H21">
            <v>0.8</v>
          </cell>
          <cell r="I21">
            <v>6508339769</v>
          </cell>
          <cell r="J21">
            <v>0.6</v>
          </cell>
          <cell r="K21">
            <v>4259</v>
          </cell>
          <cell r="L21">
            <v>34.072000000000003</v>
          </cell>
          <cell r="M21">
            <v>2.8393333333333337</v>
          </cell>
          <cell r="N21">
            <v>613.29600000000005</v>
          </cell>
          <cell r="O21">
            <v>3645.7039999999997</v>
          </cell>
          <cell r="P21">
            <v>0</v>
          </cell>
          <cell r="Q21">
            <v>2.8393333333333337</v>
          </cell>
        </row>
        <row r="22">
          <cell r="A22">
            <v>2002</v>
          </cell>
          <cell r="B22">
            <v>0</v>
          </cell>
          <cell r="C22" t="str">
            <v>ИТОГО</v>
          </cell>
          <cell r="F22" t="str">
            <v xml:space="preserve">АРЕНДОВАННЫЕ </v>
          </cell>
          <cell r="G22" t="str">
            <v>ЖИЛЫЕ ПОМЕЩЕНИЯ</v>
          </cell>
          <cell r="K22">
            <v>244900.23376999999</v>
          </cell>
          <cell r="L22">
            <v>1987.5530701600001</v>
          </cell>
          <cell r="M22">
            <v>161.69175584666669</v>
          </cell>
          <cell r="N22">
            <v>58807.044344800015</v>
          </cell>
          <cell r="O22">
            <v>187794.26142520001</v>
          </cell>
          <cell r="P22">
            <v>1701.0719999999997</v>
          </cell>
          <cell r="Q22">
            <v>161.69175584666669</v>
          </cell>
        </row>
        <row r="23">
          <cell r="A23">
            <v>2002</v>
          </cell>
          <cell r="B23">
            <v>0</v>
          </cell>
          <cell r="C23" t="str">
            <v>АРЕНДОВАННЫЕ  НЕЖИЛЫЕ ПОМЕЩЕНИЯ</v>
          </cell>
        </row>
        <row r="24">
          <cell r="A24">
            <v>2002</v>
          </cell>
          <cell r="B24">
            <v>0</v>
          </cell>
          <cell r="C24" t="str">
            <v xml:space="preserve">Рев. проспект, 97                                                                                                                                                                                                                             </v>
          </cell>
          <cell r="F24">
            <v>1914</v>
          </cell>
          <cell r="G24">
            <v>10003</v>
          </cell>
          <cell r="H24">
            <v>1.7</v>
          </cell>
          <cell r="I24">
            <v>152931968</v>
          </cell>
          <cell r="J24">
            <v>0.16</v>
          </cell>
          <cell r="K24">
            <v>24676.98949</v>
          </cell>
          <cell r="L24">
            <v>419.50882132999999</v>
          </cell>
          <cell r="M24">
            <v>0</v>
          </cell>
          <cell r="N24">
            <v>36916.77627704</v>
          </cell>
          <cell r="O24">
            <v>0</v>
          </cell>
          <cell r="P24">
            <v>12239.78678704</v>
          </cell>
          <cell r="Q24">
            <v>0</v>
          </cell>
        </row>
        <row r="25">
          <cell r="A25">
            <v>2002</v>
          </cell>
          <cell r="B25">
            <v>0</v>
          </cell>
          <cell r="C25" t="str">
            <v xml:space="preserve">К. Маркса, 187                                                                                                                                                                                                                                </v>
          </cell>
          <cell r="F25">
            <v>1916</v>
          </cell>
          <cell r="G25">
            <v>10104</v>
          </cell>
          <cell r="H25">
            <v>2.5</v>
          </cell>
          <cell r="I25">
            <v>961564800</v>
          </cell>
          <cell r="J25">
            <v>0.7</v>
          </cell>
          <cell r="K25">
            <v>677702.42338000005</v>
          </cell>
          <cell r="L25">
            <v>16942.560584500003</v>
          </cell>
          <cell r="M25">
            <v>0</v>
          </cell>
          <cell r="N25">
            <v>1457060.2102670001</v>
          </cell>
          <cell r="O25">
            <v>0</v>
          </cell>
          <cell r="P25">
            <v>779357.78688700008</v>
          </cell>
          <cell r="Q25">
            <v>0</v>
          </cell>
        </row>
        <row r="26">
          <cell r="A26">
            <v>2002</v>
          </cell>
          <cell r="B26">
            <v>0</v>
          </cell>
          <cell r="C26" t="str">
            <v xml:space="preserve">М. Горького, 26                                                                                                                                                                                                                               </v>
          </cell>
          <cell r="F26">
            <v>1916</v>
          </cell>
          <cell r="G26">
            <v>10105</v>
          </cell>
          <cell r="H26">
            <v>2</v>
          </cell>
          <cell r="I26">
            <v>327776960</v>
          </cell>
          <cell r="J26">
            <v>0.64</v>
          </cell>
          <cell r="K26">
            <v>210138.24299999999</v>
          </cell>
          <cell r="L26">
            <v>4202.7648599999993</v>
          </cell>
          <cell r="M26">
            <v>0</v>
          </cell>
          <cell r="N26">
            <v>361437.77795999992</v>
          </cell>
          <cell r="O26">
            <v>0</v>
          </cell>
          <cell r="P26">
            <v>151299.53495999993</v>
          </cell>
          <cell r="Q26">
            <v>0</v>
          </cell>
        </row>
        <row r="27">
          <cell r="A27">
            <v>2002</v>
          </cell>
          <cell r="B27">
            <v>0</v>
          </cell>
          <cell r="C27" t="str">
            <v xml:space="preserve">Топорковская, 30                                                                                                                                                                                                                              </v>
          </cell>
          <cell r="F27">
            <v>1900</v>
          </cell>
          <cell r="G27">
            <v>10105</v>
          </cell>
          <cell r="H27">
            <v>2</v>
          </cell>
          <cell r="I27">
            <v>272581120</v>
          </cell>
          <cell r="J27">
            <v>1.04</v>
          </cell>
          <cell r="K27">
            <v>207679.28860000003</v>
          </cell>
          <cell r="L27">
            <v>4153.5857720000004</v>
          </cell>
          <cell r="M27">
            <v>0</v>
          </cell>
          <cell r="N27">
            <v>567300.04</v>
          </cell>
          <cell r="O27">
            <v>0</v>
          </cell>
          <cell r="P27">
            <v>359620.75140000001</v>
          </cell>
          <cell r="Q27">
            <v>0</v>
          </cell>
        </row>
        <row r="28">
          <cell r="A28">
            <v>2002</v>
          </cell>
          <cell r="B28">
            <v>0</v>
          </cell>
          <cell r="C28" t="str">
            <v xml:space="preserve">Коммунистическая, 7                                                                                                                                                                                                                           </v>
          </cell>
          <cell r="F28">
            <v>1900</v>
          </cell>
          <cell r="G28">
            <v>10002</v>
          </cell>
          <cell r="H28">
            <v>1.2</v>
          </cell>
          <cell r="I28">
            <v>130963840</v>
          </cell>
          <cell r="J28">
            <v>1.5</v>
          </cell>
          <cell r="K28">
            <v>196739.18429999999</v>
          </cell>
          <cell r="L28">
            <v>2360.8702115999999</v>
          </cell>
          <cell r="M28">
            <v>0</v>
          </cell>
          <cell r="N28">
            <v>240808.76158319999</v>
          </cell>
          <cell r="O28">
            <v>0</v>
          </cell>
          <cell r="P28">
            <v>44069.577283199993</v>
          </cell>
          <cell r="Q28">
            <v>0</v>
          </cell>
        </row>
        <row r="29">
          <cell r="A29">
            <v>2002</v>
          </cell>
          <cell r="B29">
            <v>0</v>
          </cell>
          <cell r="C29" t="str">
            <v>М-н Топорковская 48/58</v>
          </cell>
          <cell r="F29">
            <v>2000</v>
          </cell>
          <cell r="G29">
            <v>10003</v>
          </cell>
          <cell r="H29">
            <v>1.2</v>
          </cell>
          <cell r="K29">
            <v>188043</v>
          </cell>
          <cell r="L29">
            <v>2256.5160000000001</v>
          </cell>
          <cell r="M29">
            <v>188.04300000000001</v>
          </cell>
          <cell r="N29">
            <v>4513.0320000000002</v>
          </cell>
          <cell r="O29">
            <v>183529.96799999999</v>
          </cell>
          <cell r="P29">
            <v>0</v>
          </cell>
          <cell r="Q29">
            <v>188.04300000000001</v>
          </cell>
        </row>
        <row r="30">
          <cell r="A30">
            <v>2002</v>
          </cell>
          <cell r="B30">
            <v>0</v>
          </cell>
          <cell r="C30" t="str">
            <v>Магазин № 11 Колх.рынок</v>
          </cell>
          <cell r="E30">
            <v>10</v>
          </cell>
          <cell r="F30">
            <v>1998</v>
          </cell>
          <cell r="G30">
            <v>10003</v>
          </cell>
          <cell r="H30">
            <v>1.7</v>
          </cell>
          <cell r="K30">
            <v>22620</v>
          </cell>
          <cell r="L30">
            <v>384.54</v>
          </cell>
          <cell r="M30">
            <v>32.045000000000002</v>
          </cell>
          <cell r="N30">
            <v>1538.16</v>
          </cell>
          <cell r="O30">
            <v>21081.84</v>
          </cell>
          <cell r="P30">
            <v>0</v>
          </cell>
          <cell r="Q30">
            <v>32.045000000000002</v>
          </cell>
        </row>
        <row r="31">
          <cell r="A31">
            <v>2002</v>
          </cell>
          <cell r="B31">
            <v>0</v>
          </cell>
          <cell r="C31" t="str">
            <v>Магазин № 19 Набережная</v>
          </cell>
          <cell r="E31">
            <v>10</v>
          </cell>
          <cell r="F31">
            <v>1998</v>
          </cell>
          <cell r="G31">
            <v>10003</v>
          </cell>
          <cell r="H31">
            <v>1.7</v>
          </cell>
          <cell r="K31">
            <v>133443</v>
          </cell>
          <cell r="L31">
            <v>2268.5309999999999</v>
          </cell>
          <cell r="M31">
            <v>189.04425000000001</v>
          </cell>
          <cell r="N31">
            <v>9074.1239999999998</v>
          </cell>
          <cell r="O31">
            <v>124368.876</v>
          </cell>
          <cell r="P31">
            <v>0</v>
          </cell>
          <cell r="Q31">
            <v>189.04425000000001</v>
          </cell>
        </row>
        <row r="32">
          <cell r="A32">
            <v>2002</v>
          </cell>
          <cell r="B32">
            <v>0</v>
          </cell>
          <cell r="C32" t="str">
            <v>Магазин № 41 Рев.проспект</v>
          </cell>
          <cell r="E32">
            <v>10</v>
          </cell>
          <cell r="F32">
            <v>1998</v>
          </cell>
          <cell r="G32">
            <v>10003</v>
          </cell>
          <cell r="H32">
            <v>1.7</v>
          </cell>
          <cell r="K32">
            <v>135420</v>
          </cell>
          <cell r="L32">
            <v>2302.14</v>
          </cell>
          <cell r="M32">
            <v>191.845</v>
          </cell>
          <cell r="N32">
            <v>9208.56</v>
          </cell>
          <cell r="O32">
            <v>126211.44</v>
          </cell>
          <cell r="P32">
            <v>0</v>
          </cell>
          <cell r="Q32">
            <v>191.845</v>
          </cell>
        </row>
        <row r="33">
          <cell r="A33">
            <v>2002</v>
          </cell>
          <cell r="B33">
            <v>0</v>
          </cell>
          <cell r="C33" t="str">
            <v>ИТОГО</v>
          </cell>
          <cell r="F33" t="str">
            <v xml:space="preserve">АРЕНДОВАННЫЕ </v>
          </cell>
          <cell r="G33" t="str">
            <v>НЕЖИЛЫЕ ПОМЕЩЕНИЯ</v>
          </cell>
          <cell r="K33">
            <v>1796462.1287700001</v>
          </cell>
          <cell r="L33">
            <v>35291.017249429999</v>
          </cell>
          <cell r="M33">
            <v>600.97725000000003</v>
          </cell>
          <cell r="N33">
            <v>2687857.4420872401</v>
          </cell>
          <cell r="O33">
            <v>455192.12400000001</v>
          </cell>
          <cell r="P33">
            <v>1346587.4373172401</v>
          </cell>
          <cell r="Q33">
            <v>600.97725000000003</v>
          </cell>
          <cell r="R33">
            <v>0</v>
          </cell>
        </row>
        <row r="34">
          <cell r="A34">
            <v>2002</v>
          </cell>
          <cell r="B34">
            <v>0</v>
          </cell>
          <cell r="C34" t="str">
            <v>ЖИЛЫЕ ДОМА</v>
          </cell>
        </row>
        <row r="35">
          <cell r="A35">
            <v>2002</v>
          </cell>
          <cell r="B35">
            <v>0</v>
          </cell>
          <cell r="C35" t="str">
            <v xml:space="preserve">Коммунистическая, 100                                                                                                                                                                                                                         </v>
          </cell>
          <cell r="F35">
            <v>1970</v>
          </cell>
          <cell r="G35">
            <v>10101</v>
          </cell>
          <cell r="H35">
            <v>0.8</v>
          </cell>
          <cell r="I35">
            <v>3294347160</v>
          </cell>
          <cell r="J35">
            <v>0.87</v>
          </cell>
          <cell r="K35">
            <v>2848626.82</v>
          </cell>
          <cell r="L35">
            <v>22789.014559999996</v>
          </cell>
          <cell r="M35">
            <v>1899.0845466666663</v>
          </cell>
          <cell r="N35">
            <v>729248.46591999987</v>
          </cell>
          <cell r="O35">
            <v>2119378.35408</v>
          </cell>
          <cell r="P35">
            <v>0</v>
          </cell>
          <cell r="Q35">
            <v>1899.0845466666663</v>
          </cell>
        </row>
        <row r="36">
          <cell r="A36">
            <v>2002</v>
          </cell>
          <cell r="B36">
            <v>0</v>
          </cell>
          <cell r="C36" t="str">
            <v xml:space="preserve">Вокзальная, 16                                                                                                                                                                                                                                </v>
          </cell>
          <cell r="F36">
            <v>1966</v>
          </cell>
          <cell r="G36">
            <v>10101</v>
          </cell>
          <cell r="H36">
            <v>0.8</v>
          </cell>
          <cell r="I36">
            <v>2185719900</v>
          </cell>
          <cell r="J36">
            <v>0.89</v>
          </cell>
          <cell r="K36">
            <v>1943392.7613299999</v>
          </cell>
          <cell r="L36">
            <v>15547.14209064</v>
          </cell>
          <cell r="M36">
            <v>1295.59517422</v>
          </cell>
          <cell r="N36">
            <v>559697.11526303994</v>
          </cell>
          <cell r="O36">
            <v>1383695.6460669599</v>
          </cell>
          <cell r="P36">
            <v>0</v>
          </cell>
          <cell r="Q36">
            <v>1295.59517422</v>
          </cell>
        </row>
        <row r="37">
          <cell r="A37">
            <v>2002</v>
          </cell>
          <cell r="B37">
            <v>0</v>
          </cell>
          <cell r="C37" t="str">
            <v xml:space="preserve">Вокзальная, 18                                                                                                                                                                                                                                </v>
          </cell>
          <cell r="F37">
            <v>1965</v>
          </cell>
          <cell r="G37">
            <v>10101</v>
          </cell>
          <cell r="H37">
            <v>0.8</v>
          </cell>
          <cell r="I37">
            <v>1966513832</v>
          </cell>
          <cell r="J37">
            <v>0.95</v>
          </cell>
          <cell r="K37">
            <v>1844930.4</v>
          </cell>
          <cell r="L37">
            <v>14759.443200000002</v>
          </cell>
          <cell r="M37">
            <v>1229.9536000000001</v>
          </cell>
          <cell r="N37">
            <v>546099.39840000006</v>
          </cell>
          <cell r="O37">
            <v>1298831.0015999998</v>
          </cell>
          <cell r="P37">
            <v>0</v>
          </cell>
          <cell r="Q37">
            <v>1229.9536000000001</v>
          </cell>
        </row>
        <row r="38">
          <cell r="A38">
            <v>2002</v>
          </cell>
          <cell r="B38">
            <v>0</v>
          </cell>
          <cell r="C38" t="str">
            <v xml:space="preserve">Льва Толстого, 30                                                                                                                                                                                                                             </v>
          </cell>
          <cell r="F38">
            <v>1975</v>
          </cell>
          <cell r="G38">
            <v>10101</v>
          </cell>
          <cell r="H38">
            <v>0.8</v>
          </cell>
          <cell r="I38">
            <v>3245748035</v>
          </cell>
          <cell r="J38">
            <v>0.8</v>
          </cell>
          <cell r="K38">
            <v>2585105.45475</v>
          </cell>
          <cell r="L38">
            <v>20680.843638000002</v>
          </cell>
          <cell r="M38">
            <v>1723.4036365000002</v>
          </cell>
          <cell r="N38">
            <v>558382.77822600002</v>
          </cell>
          <cell r="O38">
            <v>2026722.676524</v>
          </cell>
          <cell r="P38">
            <v>0</v>
          </cell>
          <cell r="Q38">
            <v>1723.4036365000002</v>
          </cell>
        </row>
        <row r="39">
          <cell r="A39">
            <v>2002</v>
          </cell>
          <cell r="B39">
            <v>0</v>
          </cell>
          <cell r="C39" t="str">
            <v xml:space="preserve">Оренбургская, 172                                                                                                                                                                                                                             </v>
          </cell>
          <cell r="F39">
            <v>1989</v>
          </cell>
          <cell r="G39">
            <v>10101</v>
          </cell>
          <cell r="H39">
            <v>0.7</v>
          </cell>
          <cell r="I39">
            <v>8525677914</v>
          </cell>
          <cell r="J39">
            <v>0.48</v>
          </cell>
          <cell r="K39">
            <v>4106401.4914600002</v>
          </cell>
          <cell r="L39">
            <v>28744.810440220001</v>
          </cell>
          <cell r="M39">
            <v>2395.4008700183335</v>
          </cell>
          <cell r="N39">
            <v>373682.53572286002</v>
          </cell>
          <cell r="O39">
            <v>3732718.95573714</v>
          </cell>
          <cell r="P39">
            <v>0</v>
          </cell>
          <cell r="Q39">
            <v>2395.4008700183335</v>
          </cell>
        </row>
        <row r="40">
          <cell r="A40">
            <v>2002</v>
          </cell>
          <cell r="B40">
            <v>0</v>
          </cell>
          <cell r="C40" t="str">
            <v xml:space="preserve">М. Горького, 15                                                                                                                                                                                                                               </v>
          </cell>
          <cell r="F40">
            <v>1986</v>
          </cell>
          <cell r="G40">
            <v>10103</v>
          </cell>
          <cell r="H40">
            <v>2</v>
          </cell>
          <cell r="I40">
            <v>214831500</v>
          </cell>
          <cell r="J40">
            <v>0.56000000000000005</v>
          </cell>
          <cell r="K40">
            <v>121297.73639999999</v>
          </cell>
          <cell r="L40">
            <v>2425.9547279999997</v>
          </cell>
          <cell r="M40">
            <v>202.16289399999997</v>
          </cell>
          <cell r="N40">
            <v>38815.275647999995</v>
          </cell>
          <cell r="O40">
            <v>82482.460751999999</v>
          </cell>
          <cell r="P40">
            <v>0</v>
          </cell>
          <cell r="Q40">
            <v>202.16289399999997</v>
          </cell>
        </row>
        <row r="41">
          <cell r="A41">
            <v>2002</v>
          </cell>
          <cell r="B41">
            <v>0</v>
          </cell>
          <cell r="C41" t="str">
            <v xml:space="preserve">М. Горького, 25                                                                                                                                                                                                                               </v>
          </cell>
          <cell r="F41">
            <v>1953</v>
          </cell>
          <cell r="G41">
            <v>10103</v>
          </cell>
          <cell r="H41">
            <v>2</v>
          </cell>
          <cell r="I41">
            <v>97503900</v>
          </cell>
          <cell r="J41">
            <v>0.98</v>
          </cell>
          <cell r="K41">
            <v>95137.331999999995</v>
          </cell>
          <cell r="L41">
            <v>1902.7466399999998</v>
          </cell>
          <cell r="M41">
            <v>158.56222</v>
          </cell>
          <cell r="N41">
            <v>93234.585359999997</v>
          </cell>
          <cell r="O41">
            <v>1902.7466399999976</v>
          </cell>
          <cell r="P41">
            <v>0</v>
          </cell>
          <cell r="Q41">
            <v>158.56222</v>
          </cell>
        </row>
        <row r="42">
          <cell r="A42">
            <v>2002</v>
          </cell>
          <cell r="B42">
            <v>0</v>
          </cell>
          <cell r="C42" t="str">
            <v xml:space="preserve">М. Горького, 33                                                                                                                                                                                                                               </v>
          </cell>
          <cell r="F42">
            <v>1911</v>
          </cell>
          <cell r="G42">
            <v>10103</v>
          </cell>
          <cell r="H42">
            <v>2</v>
          </cell>
          <cell r="I42">
            <v>187293600</v>
          </cell>
          <cell r="J42">
            <v>0.95</v>
          </cell>
          <cell r="K42">
            <v>177919.25018</v>
          </cell>
          <cell r="L42">
            <v>3558.3850035999999</v>
          </cell>
          <cell r="M42">
            <v>0</v>
          </cell>
          <cell r="N42">
            <v>323813.03532759997</v>
          </cell>
          <cell r="O42">
            <v>0</v>
          </cell>
          <cell r="P42">
            <v>145893.78514759996</v>
          </cell>
          <cell r="Q42">
            <v>0</v>
          </cell>
        </row>
        <row r="43">
          <cell r="A43">
            <v>2002</v>
          </cell>
          <cell r="B43">
            <v>0</v>
          </cell>
          <cell r="C43" t="str">
            <v xml:space="preserve">М. Горького, 43                                                                                                                                                                                                                               </v>
          </cell>
          <cell r="F43">
            <v>1916</v>
          </cell>
          <cell r="G43">
            <v>10103</v>
          </cell>
          <cell r="H43">
            <v>2</v>
          </cell>
          <cell r="I43">
            <v>110420700</v>
          </cell>
          <cell r="J43">
            <v>0.72</v>
          </cell>
          <cell r="K43">
            <v>79076.648190000007</v>
          </cell>
          <cell r="L43">
            <v>1581.5329638000001</v>
          </cell>
          <cell r="M43">
            <v>0</v>
          </cell>
          <cell r="N43">
            <v>136011.8348868</v>
          </cell>
          <cell r="O43">
            <v>0</v>
          </cell>
          <cell r="P43">
            <v>56935.186696799996</v>
          </cell>
          <cell r="Q43">
            <v>0</v>
          </cell>
        </row>
        <row r="44">
          <cell r="A44">
            <v>2002</v>
          </cell>
          <cell r="B44">
            <v>0</v>
          </cell>
          <cell r="C44" t="str">
            <v xml:space="preserve">М. Горького, 48                                                                                                                                                                                                                               </v>
          </cell>
          <cell r="F44">
            <v>1947</v>
          </cell>
          <cell r="G44">
            <v>10103</v>
          </cell>
          <cell r="H44">
            <v>2</v>
          </cell>
          <cell r="I44">
            <v>78397800</v>
          </cell>
          <cell r="J44">
            <v>0.75</v>
          </cell>
          <cell r="K44">
            <v>58787.690999999999</v>
          </cell>
          <cell r="L44">
            <v>1175.7538199999999</v>
          </cell>
          <cell r="M44">
            <v>0</v>
          </cell>
          <cell r="N44">
            <v>64666.460099999997</v>
          </cell>
          <cell r="O44">
            <v>0</v>
          </cell>
          <cell r="P44">
            <v>5878.7690999999977</v>
          </cell>
          <cell r="Q44">
            <v>0</v>
          </cell>
        </row>
        <row r="45">
          <cell r="A45">
            <v>2002</v>
          </cell>
          <cell r="B45">
            <v>0</v>
          </cell>
          <cell r="C45" t="str">
            <v xml:space="preserve">М. Горького, 49                                                                                                                                                                                                                               </v>
          </cell>
          <cell r="F45">
            <v>1912</v>
          </cell>
          <cell r="G45">
            <v>10103</v>
          </cell>
          <cell r="H45">
            <v>2</v>
          </cell>
          <cell r="I45">
            <v>222725100</v>
          </cell>
          <cell r="J45">
            <v>0.56999999999999995</v>
          </cell>
          <cell r="K45">
            <v>127496.07057</v>
          </cell>
          <cell r="L45">
            <v>2549.9214114000001</v>
          </cell>
          <cell r="M45">
            <v>0</v>
          </cell>
          <cell r="N45">
            <v>229492.92702600002</v>
          </cell>
          <cell r="O45">
            <v>0</v>
          </cell>
          <cell r="P45">
            <v>101996.85645600002</v>
          </cell>
          <cell r="Q45">
            <v>0</v>
          </cell>
        </row>
        <row r="46">
          <cell r="A46">
            <v>2002</v>
          </cell>
          <cell r="B46">
            <v>0</v>
          </cell>
          <cell r="C46" t="str">
            <v xml:space="preserve">М. Горького, 64                                                                                                                                                                                                                               </v>
          </cell>
          <cell r="F46">
            <v>1962</v>
          </cell>
          <cell r="G46">
            <v>10103</v>
          </cell>
          <cell r="H46">
            <v>2</v>
          </cell>
          <cell r="I46">
            <v>72118800</v>
          </cell>
          <cell r="J46">
            <v>0.87</v>
          </cell>
          <cell r="K46">
            <v>62557.2834</v>
          </cell>
          <cell r="L46">
            <v>1251.1456680000001</v>
          </cell>
          <cell r="M46">
            <v>104.262139</v>
          </cell>
          <cell r="N46">
            <v>50045.826720000005</v>
          </cell>
          <cell r="O46">
            <v>12511.456679999996</v>
          </cell>
          <cell r="P46">
            <v>0</v>
          </cell>
          <cell r="Q46">
            <v>104.262139</v>
          </cell>
        </row>
        <row r="47">
          <cell r="A47">
            <v>2002</v>
          </cell>
          <cell r="B47">
            <v>0</v>
          </cell>
          <cell r="C47" t="str">
            <v xml:space="preserve">М. Горького, 78                                                                                                                                                                                                                               </v>
          </cell>
          <cell r="F47">
            <v>1916</v>
          </cell>
          <cell r="G47">
            <v>10103</v>
          </cell>
          <cell r="H47">
            <v>2</v>
          </cell>
          <cell r="I47">
            <v>99297900</v>
          </cell>
          <cell r="J47">
            <v>0.65</v>
          </cell>
          <cell r="K47">
            <v>64863.914940000002</v>
          </cell>
          <cell r="L47">
            <v>1297.2782988000001</v>
          </cell>
          <cell r="M47">
            <v>0</v>
          </cell>
          <cell r="N47">
            <v>111565.93369680001</v>
          </cell>
          <cell r="O47">
            <v>0</v>
          </cell>
          <cell r="P47">
            <v>46702.018756800011</v>
          </cell>
          <cell r="Q47">
            <v>0</v>
          </cell>
        </row>
        <row r="48">
          <cell r="A48">
            <v>2002</v>
          </cell>
          <cell r="B48">
            <v>0</v>
          </cell>
          <cell r="C48" t="str">
            <v xml:space="preserve">М. Горького, 100                                                                                                                                                                                                                              </v>
          </cell>
          <cell r="F48">
            <v>1957</v>
          </cell>
          <cell r="G48">
            <v>10104</v>
          </cell>
          <cell r="H48">
            <v>3.3</v>
          </cell>
          <cell r="I48">
            <v>336823500</v>
          </cell>
          <cell r="J48">
            <v>1.18</v>
          </cell>
          <cell r="K48">
            <v>395909.23608</v>
          </cell>
          <cell r="L48">
            <v>13065.004790639998</v>
          </cell>
          <cell r="M48">
            <v>0</v>
          </cell>
          <cell r="N48">
            <v>587925.21557879995</v>
          </cell>
          <cell r="O48">
            <v>0</v>
          </cell>
          <cell r="P48">
            <v>192015.97949879995</v>
          </cell>
          <cell r="Q48">
            <v>0</v>
          </cell>
        </row>
        <row r="49">
          <cell r="A49">
            <v>2002</v>
          </cell>
          <cell r="B49">
            <v>0</v>
          </cell>
          <cell r="C49" t="str">
            <v xml:space="preserve">М. Горького, 102                                                                                                                                                                                                                              </v>
          </cell>
          <cell r="F49">
            <v>1957</v>
          </cell>
          <cell r="G49">
            <v>10104</v>
          </cell>
          <cell r="H49">
            <v>3.3</v>
          </cell>
          <cell r="I49">
            <v>321126000</v>
          </cell>
          <cell r="J49">
            <v>0.89</v>
          </cell>
          <cell r="K49">
            <v>287179.16957999999</v>
          </cell>
          <cell r="L49">
            <v>9476.9125961399986</v>
          </cell>
          <cell r="M49">
            <v>0</v>
          </cell>
          <cell r="N49">
            <v>426461.06682629994</v>
          </cell>
          <cell r="O49">
            <v>0</v>
          </cell>
          <cell r="P49">
            <v>139281.89724629995</v>
          </cell>
          <cell r="Q49">
            <v>0</v>
          </cell>
        </row>
        <row r="50">
          <cell r="A50">
            <v>2002</v>
          </cell>
          <cell r="B50">
            <v>0</v>
          </cell>
          <cell r="C50" t="str">
            <v xml:space="preserve">М. Горького, 110                                                                                                                                                                                                                              </v>
          </cell>
          <cell r="F50">
            <v>1957</v>
          </cell>
          <cell r="G50">
            <v>10104</v>
          </cell>
          <cell r="H50">
            <v>3.3</v>
          </cell>
          <cell r="I50">
            <v>88085400</v>
          </cell>
          <cell r="J50">
            <v>1.1100000000000001</v>
          </cell>
          <cell r="K50">
            <v>98009.402400000006</v>
          </cell>
          <cell r="L50">
            <v>3234.3102792000004</v>
          </cell>
          <cell r="M50">
            <v>0</v>
          </cell>
          <cell r="N50">
            <v>145543.96256400002</v>
          </cell>
          <cell r="O50">
            <v>0</v>
          </cell>
          <cell r="P50">
            <v>47534.56016400001</v>
          </cell>
          <cell r="Q50">
            <v>0</v>
          </cell>
        </row>
        <row r="51">
          <cell r="A51">
            <v>2002</v>
          </cell>
          <cell r="B51">
            <v>0</v>
          </cell>
          <cell r="C51" t="str">
            <v xml:space="preserve">М. Горького, 112                                                                                                                                                                                                                              </v>
          </cell>
          <cell r="F51">
            <v>1957</v>
          </cell>
          <cell r="G51">
            <v>10104</v>
          </cell>
          <cell r="H51">
            <v>3.3</v>
          </cell>
          <cell r="I51">
            <v>114008700</v>
          </cell>
          <cell r="J51">
            <v>0.85</v>
          </cell>
          <cell r="K51">
            <v>97180.375499999995</v>
          </cell>
          <cell r="L51">
            <v>3206.9523915</v>
          </cell>
          <cell r="M51">
            <v>0</v>
          </cell>
          <cell r="N51">
            <v>144312.85761750001</v>
          </cell>
          <cell r="O51">
            <v>0</v>
          </cell>
          <cell r="P51">
            <v>47132.482117500011</v>
          </cell>
          <cell r="Q51">
            <v>0</v>
          </cell>
        </row>
        <row r="52">
          <cell r="A52">
            <v>2002</v>
          </cell>
          <cell r="B52">
            <v>0</v>
          </cell>
          <cell r="C52" t="str">
            <v xml:space="preserve">М. Горького, 145                                                                                                                                                                                                                              </v>
          </cell>
          <cell r="F52">
            <v>1957</v>
          </cell>
          <cell r="G52">
            <v>10104</v>
          </cell>
          <cell r="H52">
            <v>3.3</v>
          </cell>
          <cell r="I52">
            <v>115623300</v>
          </cell>
          <cell r="J52">
            <v>0.98</v>
          </cell>
          <cell r="K52">
            <v>113869.5609</v>
          </cell>
          <cell r="L52">
            <v>3757.6955097</v>
          </cell>
          <cell r="M52">
            <v>0</v>
          </cell>
          <cell r="N52">
            <v>169096.29793649999</v>
          </cell>
          <cell r="O52">
            <v>0</v>
          </cell>
          <cell r="P52">
            <v>55226.737036499995</v>
          </cell>
          <cell r="Q52">
            <v>0</v>
          </cell>
        </row>
        <row r="53">
          <cell r="A53">
            <v>2002</v>
          </cell>
          <cell r="B53">
            <v>0</v>
          </cell>
          <cell r="C53" t="str">
            <v xml:space="preserve">М. Горького, 147                                                                                                                                                                                                                              </v>
          </cell>
          <cell r="F53">
            <v>1957</v>
          </cell>
          <cell r="G53">
            <v>10104</v>
          </cell>
          <cell r="H53">
            <v>3.3</v>
          </cell>
          <cell r="I53">
            <v>119031900</v>
          </cell>
          <cell r="J53">
            <v>0.96</v>
          </cell>
          <cell r="K53">
            <v>114070.55859</v>
          </cell>
          <cell r="L53">
            <v>3764.3284334699997</v>
          </cell>
          <cell r="M53">
            <v>0</v>
          </cell>
          <cell r="N53">
            <v>169394.77950614999</v>
          </cell>
          <cell r="O53">
            <v>0</v>
          </cell>
          <cell r="P53">
            <v>55324.220916149992</v>
          </cell>
          <cell r="Q53">
            <v>0</v>
          </cell>
        </row>
        <row r="54">
          <cell r="A54">
            <v>2002</v>
          </cell>
          <cell r="B54">
            <v>0</v>
          </cell>
          <cell r="C54" t="str">
            <v xml:space="preserve">М. Горького, 149                                                                                                                                                                                                                              </v>
          </cell>
          <cell r="F54">
            <v>1957</v>
          </cell>
          <cell r="G54">
            <v>10104</v>
          </cell>
          <cell r="H54">
            <v>3.3</v>
          </cell>
          <cell r="I54">
            <v>111586800</v>
          </cell>
          <cell r="J54">
            <v>0.9</v>
          </cell>
          <cell r="K54">
            <v>99974.503200000006</v>
          </cell>
          <cell r="L54">
            <v>3299.1586056000001</v>
          </cell>
          <cell r="M54">
            <v>0</v>
          </cell>
          <cell r="N54">
            <v>148462.13725200001</v>
          </cell>
          <cell r="O54">
            <v>0</v>
          </cell>
          <cell r="P54">
            <v>48487.634052000009</v>
          </cell>
          <cell r="Q54">
            <v>0</v>
          </cell>
        </row>
        <row r="55">
          <cell r="A55">
            <v>2002</v>
          </cell>
          <cell r="B55">
            <v>0</v>
          </cell>
          <cell r="C55" t="str">
            <v xml:space="preserve">Рев. проспект, 163                                                                                                                                                                                                                            </v>
          </cell>
          <cell r="F55">
            <v>1959</v>
          </cell>
          <cell r="G55">
            <v>10101</v>
          </cell>
          <cell r="H55">
            <v>0.8</v>
          </cell>
          <cell r="I55">
            <v>71490900</v>
          </cell>
          <cell r="J55">
            <v>1.29</v>
          </cell>
          <cell r="K55">
            <v>92496.019230000005</v>
          </cell>
          <cell r="L55">
            <v>739.96815384000001</v>
          </cell>
          <cell r="M55">
            <v>61.664012820000004</v>
          </cell>
          <cell r="N55">
            <v>31818.630615120001</v>
          </cell>
          <cell r="O55">
            <v>60677.388614880008</v>
          </cell>
          <cell r="P55">
            <v>0</v>
          </cell>
          <cell r="Q55">
            <v>61.664012820000004</v>
          </cell>
        </row>
        <row r="56">
          <cell r="A56">
            <v>2002</v>
          </cell>
          <cell r="B56">
            <v>0</v>
          </cell>
          <cell r="C56" t="str">
            <v xml:space="preserve">Рев. проспект, 179                                                                                                                                                                                                                            </v>
          </cell>
          <cell r="F56">
            <v>1916</v>
          </cell>
          <cell r="G56">
            <v>10101</v>
          </cell>
          <cell r="H56">
            <v>0.8</v>
          </cell>
          <cell r="I56">
            <v>55165500</v>
          </cell>
          <cell r="J56">
            <v>0.67</v>
          </cell>
          <cell r="K56">
            <v>36812.888319999998</v>
          </cell>
          <cell r="L56">
            <v>294.50310655999999</v>
          </cell>
          <cell r="M56">
            <v>24.541925546666665</v>
          </cell>
          <cell r="N56">
            <v>25327.267164159999</v>
          </cell>
          <cell r="O56">
            <v>11485.621155839999</v>
          </cell>
          <cell r="P56">
            <v>0</v>
          </cell>
          <cell r="Q56">
            <v>24.541925546666665</v>
          </cell>
        </row>
        <row r="57">
          <cell r="A57">
            <v>2002</v>
          </cell>
          <cell r="B57">
            <v>0</v>
          </cell>
          <cell r="C57" t="str">
            <v xml:space="preserve">Рев. проспект, 119                                                                                                                                                                                                                            </v>
          </cell>
          <cell r="F57">
            <v>1916</v>
          </cell>
          <cell r="G57">
            <v>10103</v>
          </cell>
          <cell r="H57">
            <v>2</v>
          </cell>
          <cell r="I57">
            <v>139842300</v>
          </cell>
          <cell r="J57">
            <v>1.0900000000000001</v>
          </cell>
          <cell r="K57">
            <v>152525.51852000001</v>
          </cell>
          <cell r="L57">
            <v>3050.5103704000003</v>
          </cell>
          <cell r="M57">
            <v>0</v>
          </cell>
          <cell r="N57">
            <v>262343.89185440005</v>
          </cell>
          <cell r="O57">
            <v>0</v>
          </cell>
          <cell r="P57">
            <v>109818.37333440004</v>
          </cell>
          <cell r="Q57">
            <v>0</v>
          </cell>
        </row>
        <row r="58">
          <cell r="A58">
            <v>2002</v>
          </cell>
          <cell r="B58">
            <v>0</v>
          </cell>
          <cell r="C58" t="str">
            <v xml:space="preserve">Рев. проспект, 123                                                                                                                                                                                                                            </v>
          </cell>
          <cell r="F58">
            <v>1916</v>
          </cell>
          <cell r="G58">
            <v>10103</v>
          </cell>
          <cell r="H58">
            <v>2</v>
          </cell>
          <cell r="I58">
            <v>165241268</v>
          </cell>
          <cell r="J58">
            <v>1.49</v>
          </cell>
          <cell r="K58">
            <v>245590.83437999999</v>
          </cell>
          <cell r="L58">
            <v>4911.8166875999996</v>
          </cell>
          <cell r="M58">
            <v>0</v>
          </cell>
          <cell r="N58">
            <v>422416.23513359996</v>
          </cell>
          <cell r="O58">
            <v>0</v>
          </cell>
          <cell r="P58">
            <v>176825.40075359997</v>
          </cell>
          <cell r="Q58">
            <v>0</v>
          </cell>
        </row>
        <row r="59">
          <cell r="A59">
            <v>2002</v>
          </cell>
          <cell r="B59">
            <v>0</v>
          </cell>
          <cell r="C59" t="str">
            <v xml:space="preserve">Рев. проспект, 152                                                                                                                                                                                                                            </v>
          </cell>
          <cell r="F59">
            <v>1916</v>
          </cell>
          <cell r="G59">
            <v>10103</v>
          </cell>
          <cell r="H59">
            <v>2</v>
          </cell>
          <cell r="I59">
            <v>175004700</v>
          </cell>
          <cell r="J59">
            <v>0.85</v>
          </cell>
          <cell r="K59">
            <v>149449.39571000001</v>
          </cell>
          <cell r="L59">
            <v>2988.9879142000004</v>
          </cell>
          <cell r="M59">
            <v>0</v>
          </cell>
          <cell r="N59">
            <v>257052.96062120004</v>
          </cell>
          <cell r="O59">
            <v>0</v>
          </cell>
          <cell r="P59">
            <v>107603.56491120002</v>
          </cell>
          <cell r="Q59">
            <v>0</v>
          </cell>
        </row>
        <row r="60">
          <cell r="A60">
            <v>2002</v>
          </cell>
          <cell r="B60">
            <v>0</v>
          </cell>
          <cell r="C60" t="str">
            <v xml:space="preserve">Рев. проспект, 156                                                                                                                                                                                                                            </v>
          </cell>
          <cell r="F60">
            <v>1963</v>
          </cell>
          <cell r="G60">
            <v>10103</v>
          </cell>
          <cell r="H60">
            <v>2</v>
          </cell>
          <cell r="I60">
            <v>107550300</v>
          </cell>
          <cell r="J60">
            <v>0.96</v>
          </cell>
          <cell r="K60">
            <v>102719.50337999999</v>
          </cell>
          <cell r="L60">
            <v>2054.3900675999998</v>
          </cell>
          <cell r="M60">
            <v>171.19917229999999</v>
          </cell>
          <cell r="N60">
            <v>80121.2126364</v>
          </cell>
          <cell r="O60">
            <v>22598.290743599995</v>
          </cell>
          <cell r="P60">
            <v>0</v>
          </cell>
          <cell r="Q60">
            <v>171.19917229999999</v>
          </cell>
        </row>
        <row r="61">
          <cell r="A61">
            <v>2002</v>
          </cell>
          <cell r="B61">
            <v>0</v>
          </cell>
          <cell r="C61" t="str">
            <v xml:space="preserve">Рев. проспект, 168                                                                                                                                                                                                                            </v>
          </cell>
          <cell r="F61">
            <v>1950</v>
          </cell>
          <cell r="G61">
            <v>10103</v>
          </cell>
          <cell r="H61">
            <v>2</v>
          </cell>
          <cell r="I61">
            <v>127463700</v>
          </cell>
          <cell r="J61">
            <v>0.97</v>
          </cell>
          <cell r="K61">
            <v>123187.2564</v>
          </cell>
          <cell r="L61">
            <v>2463.745128</v>
          </cell>
          <cell r="M61">
            <v>0</v>
          </cell>
          <cell r="N61">
            <v>128114.746656</v>
          </cell>
          <cell r="O61">
            <v>0</v>
          </cell>
          <cell r="P61">
            <v>4927.4902560000046</v>
          </cell>
          <cell r="Q61">
            <v>0</v>
          </cell>
        </row>
        <row r="62">
          <cell r="A62">
            <v>2002</v>
          </cell>
          <cell r="B62">
            <v>0</v>
          </cell>
          <cell r="C62" t="str">
            <v xml:space="preserve">Рев. проспект, 171                                                                                                                                                                                                                            </v>
          </cell>
          <cell r="F62">
            <v>1916</v>
          </cell>
          <cell r="G62">
            <v>10103</v>
          </cell>
          <cell r="H62">
            <v>2</v>
          </cell>
          <cell r="I62">
            <v>314847000</v>
          </cell>
          <cell r="J62">
            <v>0.71</v>
          </cell>
          <cell r="K62">
            <v>222380.44308</v>
          </cell>
          <cell r="L62">
            <v>4447.6088615999997</v>
          </cell>
          <cell r="M62">
            <v>0</v>
          </cell>
          <cell r="N62">
            <v>382494.36209759995</v>
          </cell>
          <cell r="O62">
            <v>0</v>
          </cell>
          <cell r="P62">
            <v>160113.91901759995</v>
          </cell>
          <cell r="Q62">
            <v>0</v>
          </cell>
        </row>
        <row r="63">
          <cell r="A63">
            <v>2002</v>
          </cell>
          <cell r="B63">
            <v>0</v>
          </cell>
          <cell r="C63" t="str">
            <v xml:space="preserve">Рев. проспект, 174                                                                                                                                                                                                                            </v>
          </cell>
          <cell r="F63">
            <v>1898</v>
          </cell>
          <cell r="G63">
            <v>10103</v>
          </cell>
          <cell r="H63">
            <v>2</v>
          </cell>
          <cell r="I63">
            <v>108835342</v>
          </cell>
          <cell r="J63">
            <v>0.93998999999999999</v>
          </cell>
          <cell r="K63">
            <v>102532.20471000001</v>
          </cell>
          <cell r="L63">
            <v>2050.6440941999999</v>
          </cell>
          <cell r="M63">
            <v>0</v>
          </cell>
          <cell r="N63">
            <v>213266.9857968</v>
          </cell>
          <cell r="O63">
            <v>0</v>
          </cell>
          <cell r="P63">
            <v>110734.78108679999</v>
          </cell>
          <cell r="Q63">
            <v>0</v>
          </cell>
        </row>
        <row r="64">
          <cell r="A64">
            <v>2002</v>
          </cell>
          <cell r="B64">
            <v>0</v>
          </cell>
          <cell r="C64" t="str">
            <v xml:space="preserve">Рев. проспект, 176                                                                                                                                                                                                                            </v>
          </cell>
          <cell r="F64">
            <v>1916</v>
          </cell>
          <cell r="G64">
            <v>10103</v>
          </cell>
          <cell r="H64">
            <v>2</v>
          </cell>
          <cell r="I64">
            <v>99118500</v>
          </cell>
          <cell r="J64">
            <v>0.84</v>
          </cell>
          <cell r="K64">
            <v>83190.289120000001</v>
          </cell>
          <cell r="L64">
            <v>1663.8057824</v>
          </cell>
          <cell r="M64">
            <v>0</v>
          </cell>
          <cell r="N64">
            <v>143087.29728639999</v>
          </cell>
          <cell r="O64">
            <v>0</v>
          </cell>
          <cell r="P64">
            <v>59897.008166399988</v>
          </cell>
          <cell r="Q64">
            <v>0</v>
          </cell>
        </row>
        <row r="65">
          <cell r="A65">
            <v>2002</v>
          </cell>
          <cell r="B65">
            <v>0</v>
          </cell>
          <cell r="C65" t="str">
            <v xml:space="preserve">Рев. проспект, 180                                                                                                                                                                                                                            </v>
          </cell>
          <cell r="F65">
            <v>1916</v>
          </cell>
          <cell r="G65">
            <v>10103</v>
          </cell>
          <cell r="H65">
            <v>2</v>
          </cell>
          <cell r="I65">
            <v>154782732</v>
          </cell>
          <cell r="J65">
            <v>0.88</v>
          </cell>
          <cell r="K65">
            <v>135864.99084000001</v>
          </cell>
          <cell r="L65">
            <v>2717.2998168000004</v>
          </cell>
          <cell r="M65">
            <v>0</v>
          </cell>
          <cell r="N65">
            <v>233687.78424480004</v>
          </cell>
          <cell r="O65">
            <v>0</v>
          </cell>
          <cell r="P65">
            <v>97822.793404800032</v>
          </cell>
          <cell r="Q65">
            <v>0</v>
          </cell>
        </row>
        <row r="66">
          <cell r="A66">
            <v>2002</v>
          </cell>
          <cell r="B66">
            <v>0</v>
          </cell>
          <cell r="C66" t="str">
            <v xml:space="preserve">Рев. проспект, 181                                                                                                                                                                                                                            </v>
          </cell>
          <cell r="F66">
            <v>1916</v>
          </cell>
          <cell r="G66">
            <v>10103</v>
          </cell>
          <cell r="H66">
            <v>2</v>
          </cell>
          <cell r="I66">
            <v>225326400</v>
          </cell>
          <cell r="J66">
            <v>0.68998999999999999</v>
          </cell>
          <cell r="K66">
            <v>155458.36848</v>
          </cell>
          <cell r="L66">
            <v>3109.1673696000003</v>
          </cell>
          <cell r="M66">
            <v>0</v>
          </cell>
          <cell r="N66">
            <v>267388.39378560003</v>
          </cell>
          <cell r="O66">
            <v>0</v>
          </cell>
          <cell r="P66">
            <v>111930.02530560002</v>
          </cell>
          <cell r="Q66">
            <v>0</v>
          </cell>
        </row>
        <row r="67">
          <cell r="A67">
            <v>2002</v>
          </cell>
          <cell r="B67">
            <v>0</v>
          </cell>
          <cell r="C67" t="str">
            <v xml:space="preserve">Чапаевская, 3                                                                                                                                                                                                                                 </v>
          </cell>
          <cell r="F67">
            <v>1960</v>
          </cell>
          <cell r="G67">
            <v>10101</v>
          </cell>
          <cell r="H67">
            <v>0.8</v>
          </cell>
          <cell r="I67">
            <v>92929200</v>
          </cell>
          <cell r="J67">
            <v>1.01</v>
          </cell>
          <cell r="K67">
            <v>93577.375780000002</v>
          </cell>
          <cell r="L67">
            <v>748.61900623999998</v>
          </cell>
          <cell r="M67">
            <v>62.384917186666662</v>
          </cell>
          <cell r="N67">
            <v>31441.99826208</v>
          </cell>
          <cell r="O67">
            <v>62135.377517920002</v>
          </cell>
          <cell r="P67">
            <v>0</v>
          </cell>
          <cell r="Q67">
            <v>62.384917186666662</v>
          </cell>
        </row>
        <row r="68">
          <cell r="A68">
            <v>2002</v>
          </cell>
          <cell r="B68">
            <v>0</v>
          </cell>
          <cell r="C68" t="str">
            <v xml:space="preserve">Чапаевская, 4                                                                                                                                                                                                                                 </v>
          </cell>
          <cell r="F68">
            <v>1960</v>
          </cell>
          <cell r="G68">
            <v>10101</v>
          </cell>
          <cell r="H68">
            <v>0.8</v>
          </cell>
          <cell r="I68">
            <v>99028800</v>
          </cell>
          <cell r="J68">
            <v>1</v>
          </cell>
          <cell r="K68">
            <v>98767.5723</v>
          </cell>
          <cell r="L68">
            <v>790.14057840000009</v>
          </cell>
          <cell r="M68">
            <v>65.845048200000008</v>
          </cell>
          <cell r="N68">
            <v>33185.904292800005</v>
          </cell>
          <cell r="O68">
            <v>65581.668007200002</v>
          </cell>
          <cell r="P68">
            <v>0</v>
          </cell>
          <cell r="Q68">
            <v>65.845048200000008</v>
          </cell>
        </row>
        <row r="69">
          <cell r="A69">
            <v>2002</v>
          </cell>
          <cell r="B69">
            <v>0</v>
          </cell>
          <cell r="C69" t="str">
            <v xml:space="preserve">Чапаевская, 23                                                                                                                                                                                                                                </v>
          </cell>
          <cell r="F69">
            <v>1916</v>
          </cell>
          <cell r="G69">
            <v>10103</v>
          </cell>
          <cell r="H69">
            <v>2</v>
          </cell>
          <cell r="I69">
            <v>116610000</v>
          </cell>
          <cell r="J69">
            <v>0.81</v>
          </cell>
          <cell r="K69">
            <v>93910.561140000005</v>
          </cell>
          <cell r="L69">
            <v>1878.2112228000001</v>
          </cell>
          <cell r="M69">
            <v>0</v>
          </cell>
          <cell r="N69">
            <v>161526.16516080001</v>
          </cell>
          <cell r="O69">
            <v>0</v>
          </cell>
          <cell r="P69">
            <v>67615.604020800005</v>
          </cell>
          <cell r="Q69">
            <v>0</v>
          </cell>
        </row>
        <row r="70">
          <cell r="A70">
            <v>2002</v>
          </cell>
          <cell r="B70">
            <v>0</v>
          </cell>
          <cell r="C70" t="str">
            <v xml:space="preserve">Чапаевская, 70                                                                                                                                                                                                                                </v>
          </cell>
          <cell r="F70">
            <v>1916</v>
          </cell>
          <cell r="G70">
            <v>10103</v>
          </cell>
          <cell r="H70">
            <v>2</v>
          </cell>
          <cell r="I70">
            <v>129706200</v>
          </cell>
          <cell r="J70">
            <v>0.85</v>
          </cell>
          <cell r="K70">
            <v>109849.13472</v>
          </cell>
          <cell r="L70">
            <v>2196.9826944000001</v>
          </cell>
          <cell r="M70">
            <v>0</v>
          </cell>
          <cell r="N70">
            <v>188940.5117184</v>
          </cell>
          <cell r="O70">
            <v>0</v>
          </cell>
          <cell r="P70">
            <v>79091.376998399996</v>
          </cell>
          <cell r="Q70">
            <v>0</v>
          </cell>
        </row>
        <row r="71">
          <cell r="A71">
            <v>2002</v>
          </cell>
          <cell r="B71">
            <v>0</v>
          </cell>
          <cell r="C71" t="str">
            <v xml:space="preserve">40 лет Октября, 80                                                                                                                                                                                                                            </v>
          </cell>
          <cell r="F71">
            <v>1960</v>
          </cell>
          <cell r="G71">
            <v>10104</v>
          </cell>
          <cell r="H71">
            <v>3.3</v>
          </cell>
          <cell r="I71">
            <v>112932300</v>
          </cell>
          <cell r="J71">
            <v>1.58</v>
          </cell>
          <cell r="K71">
            <v>178644.43221</v>
          </cell>
          <cell r="L71">
            <v>5895.2662629299994</v>
          </cell>
          <cell r="M71">
            <v>0</v>
          </cell>
          <cell r="N71">
            <v>247601.18304305998</v>
          </cell>
          <cell r="O71">
            <v>0</v>
          </cell>
          <cell r="P71">
            <v>68956.750833059981</v>
          </cell>
          <cell r="Q71">
            <v>0</v>
          </cell>
        </row>
        <row r="72">
          <cell r="A72">
            <v>2002</v>
          </cell>
          <cell r="B72">
            <v>0</v>
          </cell>
          <cell r="C72" t="str">
            <v xml:space="preserve">40 лет Октября, 84                                                                                                                                                                                                                            </v>
          </cell>
          <cell r="F72">
            <v>1959</v>
          </cell>
          <cell r="G72">
            <v>10104</v>
          </cell>
          <cell r="H72">
            <v>3.3</v>
          </cell>
          <cell r="I72">
            <v>96427500</v>
          </cell>
          <cell r="J72">
            <v>0.79</v>
          </cell>
          <cell r="K72">
            <v>76114.577590000001</v>
          </cell>
          <cell r="L72">
            <v>2511.7810604699998</v>
          </cell>
          <cell r="M72">
            <v>0</v>
          </cell>
          <cell r="N72">
            <v>108006.58560020999</v>
          </cell>
          <cell r="O72">
            <v>0</v>
          </cell>
          <cell r="P72">
            <v>31892.008010209989</v>
          </cell>
          <cell r="Q72">
            <v>0</v>
          </cell>
        </row>
        <row r="73">
          <cell r="A73">
            <v>2002</v>
          </cell>
          <cell r="B73">
            <v>0</v>
          </cell>
          <cell r="C73" t="str">
            <v xml:space="preserve">40 лет Октября, 96                                                                                                                                                                                                                            </v>
          </cell>
          <cell r="F73">
            <v>1959</v>
          </cell>
          <cell r="G73">
            <v>10104</v>
          </cell>
          <cell r="H73">
            <v>3.3</v>
          </cell>
          <cell r="I73">
            <v>94185000</v>
          </cell>
          <cell r="J73">
            <v>1.1000000000000001</v>
          </cell>
          <cell r="K73">
            <v>103444.13430000001</v>
          </cell>
          <cell r="L73">
            <v>3413.6564318999999</v>
          </cell>
          <cell r="M73">
            <v>0</v>
          </cell>
          <cell r="N73">
            <v>146787.22657169998</v>
          </cell>
          <cell r="O73">
            <v>0</v>
          </cell>
          <cell r="P73">
            <v>43343.092271699978</v>
          </cell>
          <cell r="Q73">
            <v>0</v>
          </cell>
        </row>
        <row r="74">
          <cell r="A74">
            <v>2002</v>
          </cell>
          <cell r="B74">
            <v>0</v>
          </cell>
          <cell r="C74" t="str">
            <v xml:space="preserve">Пушкинская, 137                                                                                                                                                                                                                               </v>
          </cell>
          <cell r="F74">
            <v>1916</v>
          </cell>
          <cell r="G74">
            <v>10101</v>
          </cell>
          <cell r="H74">
            <v>0.8</v>
          </cell>
          <cell r="I74">
            <v>98131800</v>
          </cell>
          <cell r="J74">
            <v>1.06</v>
          </cell>
          <cell r="K74">
            <v>104169.23759999999</v>
          </cell>
          <cell r="L74">
            <v>833.35390080000002</v>
          </cell>
          <cell r="M74">
            <v>69.446158400000002</v>
          </cell>
          <cell r="N74">
            <v>71668.435468800002</v>
          </cell>
          <cell r="O74">
            <v>32500.802131199991</v>
          </cell>
          <cell r="P74">
            <v>0</v>
          </cell>
          <cell r="Q74">
            <v>69.446158400000002</v>
          </cell>
        </row>
        <row r="75">
          <cell r="A75">
            <v>2002</v>
          </cell>
          <cell r="B75">
            <v>0</v>
          </cell>
          <cell r="C75" t="str">
            <v xml:space="preserve">Пушкинская, 79                                                                                                                                                                                                                                </v>
          </cell>
          <cell r="F75">
            <v>1916</v>
          </cell>
          <cell r="G75">
            <v>10103</v>
          </cell>
          <cell r="H75">
            <v>2</v>
          </cell>
          <cell r="I75">
            <v>96158400</v>
          </cell>
          <cell r="J75">
            <v>0.74</v>
          </cell>
          <cell r="K75">
            <v>71586.984559999997</v>
          </cell>
          <cell r="L75">
            <v>1431.7396911999999</v>
          </cell>
          <cell r="M75">
            <v>0</v>
          </cell>
          <cell r="N75">
            <v>123129.6134432</v>
          </cell>
          <cell r="O75">
            <v>0</v>
          </cell>
          <cell r="P75">
            <v>51542.628883199999</v>
          </cell>
          <cell r="Q75">
            <v>0</v>
          </cell>
        </row>
        <row r="76">
          <cell r="A76">
            <v>2002</v>
          </cell>
          <cell r="B76">
            <v>0</v>
          </cell>
          <cell r="C76" t="str">
            <v xml:space="preserve">Пушкинская, 127                                                                                                                                                                                                                               </v>
          </cell>
          <cell r="F76">
            <v>1883</v>
          </cell>
          <cell r="G76">
            <v>10103</v>
          </cell>
          <cell r="H76">
            <v>2</v>
          </cell>
          <cell r="I76">
            <v>118134900</v>
          </cell>
          <cell r="J76">
            <v>0.86</v>
          </cell>
          <cell r="K76">
            <v>101826.86264000001</v>
          </cell>
          <cell r="L76">
            <v>2036.5372528</v>
          </cell>
          <cell r="M76">
            <v>0</v>
          </cell>
          <cell r="N76">
            <v>242347.93308320001</v>
          </cell>
          <cell r="O76">
            <v>0</v>
          </cell>
          <cell r="P76">
            <v>140521.07044320001</v>
          </cell>
          <cell r="Q76">
            <v>0</v>
          </cell>
        </row>
        <row r="77">
          <cell r="A77">
            <v>2002</v>
          </cell>
          <cell r="B77">
            <v>0</v>
          </cell>
          <cell r="C77" t="str">
            <v xml:space="preserve">Пушкинская, 135                                                                                                                                                                                                                               </v>
          </cell>
          <cell r="F77">
            <v>1916</v>
          </cell>
          <cell r="G77">
            <v>10103</v>
          </cell>
          <cell r="H77">
            <v>2</v>
          </cell>
          <cell r="I77">
            <v>62700300</v>
          </cell>
          <cell r="J77">
            <v>0.9</v>
          </cell>
          <cell r="K77">
            <v>56184.877200000003</v>
          </cell>
          <cell r="L77">
            <v>1123.6975440000001</v>
          </cell>
          <cell r="M77">
            <v>0</v>
          </cell>
          <cell r="N77">
            <v>96637.988784000016</v>
          </cell>
          <cell r="O77">
            <v>0</v>
          </cell>
          <cell r="P77">
            <v>40453.111584000013</v>
          </cell>
          <cell r="Q77">
            <v>0</v>
          </cell>
        </row>
        <row r="78">
          <cell r="A78">
            <v>2002</v>
          </cell>
          <cell r="B78">
            <v>0</v>
          </cell>
          <cell r="C78" t="str">
            <v xml:space="preserve">Пушкинская, 139                                                                                                                                                                                                                               </v>
          </cell>
          <cell r="F78">
            <v>1916</v>
          </cell>
          <cell r="G78">
            <v>10103</v>
          </cell>
          <cell r="H78">
            <v>2</v>
          </cell>
          <cell r="I78">
            <v>283182900</v>
          </cell>
          <cell r="J78">
            <v>0.49</v>
          </cell>
          <cell r="K78">
            <v>138456.9399</v>
          </cell>
          <cell r="L78">
            <v>2769.138798</v>
          </cell>
          <cell r="M78">
            <v>0</v>
          </cell>
          <cell r="N78">
            <v>238145.936628</v>
          </cell>
          <cell r="O78">
            <v>0</v>
          </cell>
          <cell r="P78">
            <v>99688.996727999998</v>
          </cell>
          <cell r="Q78">
            <v>0</v>
          </cell>
        </row>
        <row r="79">
          <cell r="A79">
            <v>2002</v>
          </cell>
          <cell r="B79">
            <v>0</v>
          </cell>
          <cell r="C79" t="str">
            <v xml:space="preserve">Пушкинская, 141                                                                                                                                                                                                                               </v>
          </cell>
          <cell r="F79">
            <v>1916</v>
          </cell>
          <cell r="G79">
            <v>10103</v>
          </cell>
          <cell r="H79">
            <v>2</v>
          </cell>
          <cell r="I79">
            <v>156167700</v>
          </cell>
          <cell r="J79">
            <v>0.67</v>
          </cell>
          <cell r="K79">
            <v>104955.7503</v>
          </cell>
          <cell r="L79">
            <v>2099.115006</v>
          </cell>
          <cell r="M79">
            <v>0</v>
          </cell>
          <cell r="N79">
            <v>180523.89051599998</v>
          </cell>
          <cell r="O79">
            <v>0</v>
          </cell>
          <cell r="P79">
            <v>75568.140215999985</v>
          </cell>
          <cell r="Q79">
            <v>0</v>
          </cell>
        </row>
        <row r="80">
          <cell r="A80">
            <v>2002</v>
          </cell>
          <cell r="B80">
            <v>0</v>
          </cell>
          <cell r="C80" t="str">
            <v xml:space="preserve">Пушкинская, 194                                                                                                                                                                                                                               </v>
          </cell>
          <cell r="F80">
            <v>1916</v>
          </cell>
          <cell r="G80">
            <v>10103</v>
          </cell>
          <cell r="H80">
            <v>2</v>
          </cell>
          <cell r="I80">
            <v>134011800</v>
          </cell>
          <cell r="J80">
            <v>0.87</v>
          </cell>
          <cell r="K80">
            <v>116403.8796</v>
          </cell>
          <cell r="L80">
            <v>2328.0775920000001</v>
          </cell>
          <cell r="M80">
            <v>0</v>
          </cell>
          <cell r="N80">
            <v>200214.67291200001</v>
          </cell>
          <cell r="O80">
            <v>0</v>
          </cell>
          <cell r="P80">
            <v>83810.793312000009</v>
          </cell>
          <cell r="Q80">
            <v>0</v>
          </cell>
        </row>
        <row r="81">
          <cell r="A81">
            <v>2002</v>
          </cell>
          <cell r="B81">
            <v>0</v>
          </cell>
          <cell r="C81" t="str">
            <v xml:space="preserve">Хрущевская, 145                                                                                                                                                                                                                               </v>
          </cell>
          <cell r="F81">
            <v>1970</v>
          </cell>
          <cell r="G81">
            <v>10101</v>
          </cell>
          <cell r="H81">
            <v>0.8</v>
          </cell>
          <cell r="I81">
            <v>137420400</v>
          </cell>
          <cell r="J81">
            <v>1.29</v>
          </cell>
          <cell r="K81">
            <v>176659.09779999999</v>
          </cell>
          <cell r="L81">
            <v>1413.2727823999999</v>
          </cell>
          <cell r="M81">
            <v>117.77273186666666</v>
          </cell>
          <cell r="N81">
            <v>45224.729036799996</v>
          </cell>
          <cell r="O81">
            <v>131434.36876320001</v>
          </cell>
          <cell r="P81">
            <v>0</v>
          </cell>
          <cell r="Q81">
            <v>117.77273186666666</v>
          </cell>
        </row>
        <row r="82">
          <cell r="A82">
            <v>2002</v>
          </cell>
          <cell r="B82">
            <v>0</v>
          </cell>
          <cell r="C82" t="str">
            <v xml:space="preserve">Хрущевская, 73                                                                                                                                                                                                                                </v>
          </cell>
          <cell r="F82">
            <v>1954</v>
          </cell>
          <cell r="G82">
            <v>10103</v>
          </cell>
          <cell r="H82">
            <v>2</v>
          </cell>
          <cell r="I82">
            <v>157602900</v>
          </cell>
          <cell r="J82">
            <v>0.78</v>
          </cell>
          <cell r="K82">
            <v>123404.23628</v>
          </cell>
          <cell r="L82">
            <v>2468.0847255999997</v>
          </cell>
          <cell r="M82">
            <v>205.6737271333333</v>
          </cell>
          <cell r="N82">
            <v>118468.06682879999</v>
          </cell>
          <cell r="O82">
            <v>4936.1694512000104</v>
          </cell>
          <cell r="P82">
            <v>0</v>
          </cell>
          <cell r="Q82">
            <v>205.6737271333333</v>
          </cell>
        </row>
        <row r="83">
          <cell r="A83">
            <v>2002</v>
          </cell>
          <cell r="B83">
            <v>0</v>
          </cell>
          <cell r="C83" t="str">
            <v xml:space="preserve">Хрущевская, 120                                                                                                                                                                                                                               </v>
          </cell>
          <cell r="F83">
            <v>1912</v>
          </cell>
          <cell r="G83">
            <v>10103</v>
          </cell>
          <cell r="H83">
            <v>2</v>
          </cell>
          <cell r="I83">
            <v>118493700</v>
          </cell>
          <cell r="J83">
            <v>0.44</v>
          </cell>
          <cell r="K83">
            <v>52226.805180000003</v>
          </cell>
          <cell r="L83">
            <v>1044.5361036000002</v>
          </cell>
          <cell r="M83">
            <v>0</v>
          </cell>
          <cell r="N83">
            <v>94008.249324000019</v>
          </cell>
          <cell r="O83">
            <v>0</v>
          </cell>
          <cell r="P83">
            <v>41781.444144000016</v>
          </cell>
          <cell r="Q83">
            <v>0</v>
          </cell>
        </row>
        <row r="84">
          <cell r="A84">
            <v>2002</v>
          </cell>
          <cell r="B84">
            <v>0</v>
          </cell>
          <cell r="C84" t="str">
            <v xml:space="preserve">Хрущевская, 134                                                                                                                                                                                                                               </v>
          </cell>
          <cell r="F84">
            <v>1929</v>
          </cell>
          <cell r="G84">
            <v>10103</v>
          </cell>
          <cell r="H84">
            <v>2</v>
          </cell>
          <cell r="I84">
            <v>77007450</v>
          </cell>
          <cell r="J84">
            <v>1.33</v>
          </cell>
          <cell r="K84">
            <v>102799.33560000001</v>
          </cell>
          <cell r="L84">
            <v>2055.9867119999999</v>
          </cell>
          <cell r="M84">
            <v>0</v>
          </cell>
          <cell r="N84">
            <v>150087.02997599999</v>
          </cell>
          <cell r="O84">
            <v>0</v>
          </cell>
          <cell r="P84">
            <v>47287.694375999985</v>
          </cell>
          <cell r="Q84">
            <v>0</v>
          </cell>
        </row>
        <row r="85">
          <cell r="A85">
            <v>2002</v>
          </cell>
          <cell r="B85">
            <v>0</v>
          </cell>
          <cell r="C85" t="str">
            <v xml:space="preserve">Хрущевская, 144                                                                                                                                                                                                                               </v>
          </cell>
          <cell r="F85">
            <v>1916</v>
          </cell>
          <cell r="G85">
            <v>10103</v>
          </cell>
          <cell r="H85">
            <v>2</v>
          </cell>
          <cell r="I85">
            <v>144237600</v>
          </cell>
          <cell r="J85">
            <v>0.75</v>
          </cell>
          <cell r="K85">
            <v>108713.53320000001</v>
          </cell>
          <cell r="L85">
            <v>2174.2706640000001</v>
          </cell>
          <cell r="M85">
            <v>0</v>
          </cell>
          <cell r="N85">
            <v>186987.27710400001</v>
          </cell>
          <cell r="O85">
            <v>0</v>
          </cell>
          <cell r="P85">
            <v>78273.743904000003</v>
          </cell>
          <cell r="Q85">
            <v>0</v>
          </cell>
        </row>
        <row r="86">
          <cell r="A86">
            <v>2002</v>
          </cell>
          <cell r="B86">
            <v>0</v>
          </cell>
          <cell r="C86" t="str">
            <v xml:space="preserve">Хрущевская, 146                                                                                                                                                                                                                               </v>
          </cell>
          <cell r="F86">
            <v>1916</v>
          </cell>
          <cell r="G86">
            <v>10103</v>
          </cell>
          <cell r="H86">
            <v>2</v>
          </cell>
          <cell r="I86">
            <v>292780800</v>
          </cell>
          <cell r="J86">
            <v>0.76</v>
          </cell>
          <cell r="K86">
            <v>221167.9381</v>
          </cell>
          <cell r="L86">
            <v>4423.3587619999998</v>
          </cell>
          <cell r="M86">
            <v>0</v>
          </cell>
          <cell r="N86">
            <v>380408.85353199998</v>
          </cell>
          <cell r="O86">
            <v>0</v>
          </cell>
          <cell r="P86">
            <v>159240.91543199998</v>
          </cell>
          <cell r="Q86">
            <v>0</v>
          </cell>
        </row>
        <row r="87">
          <cell r="A87">
            <v>2002</v>
          </cell>
          <cell r="B87">
            <v>0</v>
          </cell>
          <cell r="C87" t="str">
            <v>Хрущевская 153 (дб)</v>
          </cell>
          <cell r="F87">
            <v>1949</v>
          </cell>
          <cell r="G87">
            <v>10103</v>
          </cell>
          <cell r="H87">
            <v>2</v>
          </cell>
          <cell r="I87">
            <v>94227840</v>
          </cell>
          <cell r="J87">
            <v>0.74</v>
          </cell>
          <cell r="K87">
            <v>69723.288</v>
          </cell>
          <cell r="L87">
            <v>1394.46576</v>
          </cell>
          <cell r="M87">
            <v>0</v>
          </cell>
          <cell r="N87">
            <v>73906.685280000005</v>
          </cell>
          <cell r="O87">
            <v>0</v>
          </cell>
          <cell r="P87">
            <v>4183.3972800000047</v>
          </cell>
          <cell r="Q87">
            <v>0</v>
          </cell>
        </row>
        <row r="88">
          <cell r="A88">
            <v>2002</v>
          </cell>
          <cell r="B88">
            <v>0</v>
          </cell>
          <cell r="C88" t="str">
            <v xml:space="preserve">К. Маркса, 179А                                                                                                                                                                                                                               </v>
          </cell>
          <cell r="F88">
            <v>1916</v>
          </cell>
          <cell r="G88">
            <v>10103</v>
          </cell>
          <cell r="H88">
            <v>2</v>
          </cell>
          <cell r="I88">
            <v>90579060</v>
          </cell>
          <cell r="J88">
            <v>1.1499999999999999</v>
          </cell>
          <cell r="K88">
            <v>103819.6764</v>
          </cell>
          <cell r="L88">
            <v>2076.3935280000001</v>
          </cell>
          <cell r="M88">
            <v>0</v>
          </cell>
          <cell r="N88">
            <v>178569.84340800002</v>
          </cell>
          <cell r="O88">
            <v>0</v>
          </cell>
          <cell r="P88">
            <v>74750.167008000019</v>
          </cell>
          <cell r="Q88">
            <v>0</v>
          </cell>
        </row>
        <row r="89">
          <cell r="A89">
            <v>2002</v>
          </cell>
          <cell r="B89">
            <v>0</v>
          </cell>
          <cell r="C89" t="str">
            <v xml:space="preserve">К. Маркса, 50                                                                                                                                                                                                                                 </v>
          </cell>
          <cell r="F89">
            <v>1916</v>
          </cell>
          <cell r="G89">
            <v>10103</v>
          </cell>
          <cell r="H89">
            <v>2</v>
          </cell>
          <cell r="I89">
            <v>109613400</v>
          </cell>
          <cell r="J89">
            <v>0.98</v>
          </cell>
          <cell r="K89">
            <v>107864.0365</v>
          </cell>
          <cell r="L89">
            <v>2157.2807299999999</v>
          </cell>
          <cell r="M89">
            <v>0</v>
          </cell>
          <cell r="N89">
            <v>185526.14277999999</v>
          </cell>
          <cell r="O89">
            <v>0</v>
          </cell>
          <cell r="P89">
            <v>77662.106279999993</v>
          </cell>
          <cell r="Q89">
            <v>0</v>
          </cell>
        </row>
        <row r="90">
          <cell r="A90">
            <v>2002</v>
          </cell>
          <cell r="B90">
            <v>0</v>
          </cell>
          <cell r="C90" t="str">
            <v xml:space="preserve">К. Маркса, 70                                                                                                                                                                                                                                 </v>
          </cell>
          <cell r="F90">
            <v>1916</v>
          </cell>
          <cell r="G90">
            <v>10103</v>
          </cell>
          <cell r="H90">
            <v>2</v>
          </cell>
          <cell r="I90">
            <v>141456900</v>
          </cell>
          <cell r="J90">
            <v>0.74</v>
          </cell>
          <cell r="K90">
            <v>104492.58171</v>
          </cell>
          <cell r="L90">
            <v>2089.8516341999998</v>
          </cell>
          <cell r="M90">
            <v>0</v>
          </cell>
          <cell r="N90">
            <v>179727.24054119998</v>
          </cell>
          <cell r="O90">
            <v>0</v>
          </cell>
          <cell r="P90">
            <v>75234.65883119998</v>
          </cell>
          <cell r="Q90">
            <v>0</v>
          </cell>
        </row>
        <row r="91">
          <cell r="A91">
            <v>2002</v>
          </cell>
          <cell r="B91">
            <v>0</v>
          </cell>
          <cell r="C91" t="str">
            <v xml:space="preserve">К. Маркса, 177                                                                                                                                                                                                                                </v>
          </cell>
          <cell r="F91">
            <v>1916</v>
          </cell>
          <cell r="G91">
            <v>10103</v>
          </cell>
          <cell r="H91">
            <v>2</v>
          </cell>
          <cell r="I91">
            <v>88264800</v>
          </cell>
          <cell r="J91">
            <v>0.92</v>
          </cell>
          <cell r="K91">
            <v>80989.385670000003</v>
          </cell>
          <cell r="L91">
            <v>1619.7877134</v>
          </cell>
          <cell r="M91">
            <v>0</v>
          </cell>
          <cell r="N91">
            <v>139301.74335239999</v>
          </cell>
          <cell r="O91">
            <v>0</v>
          </cell>
          <cell r="P91">
            <v>58312.35768239999</v>
          </cell>
          <cell r="Q91">
            <v>0</v>
          </cell>
        </row>
        <row r="92">
          <cell r="A92">
            <v>2002</v>
          </cell>
          <cell r="B92">
            <v>0</v>
          </cell>
          <cell r="C92" t="str">
            <v xml:space="preserve">К. Маркса, 158АБ                                                                                                                                                                                                                              </v>
          </cell>
          <cell r="F92">
            <v>1910</v>
          </cell>
          <cell r="G92">
            <v>10103</v>
          </cell>
          <cell r="H92">
            <v>2</v>
          </cell>
          <cell r="I92">
            <v>196712100</v>
          </cell>
          <cell r="J92">
            <v>0.51</v>
          </cell>
          <cell r="K92">
            <v>100722.0603</v>
          </cell>
          <cell r="L92">
            <v>2014.441206</v>
          </cell>
          <cell r="M92">
            <v>0</v>
          </cell>
          <cell r="N92">
            <v>185328.590952</v>
          </cell>
          <cell r="O92">
            <v>0</v>
          </cell>
          <cell r="P92">
            <v>84606.530652000001</v>
          </cell>
          <cell r="Q92">
            <v>0</v>
          </cell>
        </row>
        <row r="93">
          <cell r="A93">
            <v>2002</v>
          </cell>
          <cell r="B93">
            <v>0</v>
          </cell>
          <cell r="C93" t="str">
            <v xml:space="preserve">К. Маркса, 179Б                                                                                                                                                                                                                               </v>
          </cell>
          <cell r="F93">
            <v>1916</v>
          </cell>
          <cell r="G93">
            <v>10103</v>
          </cell>
          <cell r="H93">
            <v>2</v>
          </cell>
          <cell r="I93">
            <v>45101160</v>
          </cell>
          <cell r="J93">
            <v>0.88</v>
          </cell>
          <cell r="K93">
            <v>39580.720200000003</v>
          </cell>
          <cell r="L93">
            <v>791.61440400000004</v>
          </cell>
          <cell r="M93">
            <v>0</v>
          </cell>
          <cell r="N93">
            <v>68078.838744000008</v>
          </cell>
          <cell r="O93">
            <v>0</v>
          </cell>
          <cell r="P93">
            <v>28498.118544000004</v>
          </cell>
          <cell r="Q93">
            <v>0</v>
          </cell>
        </row>
        <row r="94">
          <cell r="A94">
            <v>2002</v>
          </cell>
          <cell r="B94">
            <v>0</v>
          </cell>
          <cell r="C94" t="str">
            <v xml:space="preserve">Советская, 184                                                                                                                                                                                                                                </v>
          </cell>
          <cell r="F94">
            <v>1968</v>
          </cell>
          <cell r="G94">
            <v>10101</v>
          </cell>
          <cell r="H94">
            <v>0.8</v>
          </cell>
          <cell r="I94">
            <v>128540100</v>
          </cell>
          <cell r="J94">
            <v>0.9</v>
          </cell>
          <cell r="K94">
            <v>116010.62325</v>
          </cell>
          <cell r="L94">
            <v>928.08498600000007</v>
          </cell>
          <cell r="M94">
            <v>77.340415500000006</v>
          </cell>
          <cell r="N94">
            <v>31554.889524000002</v>
          </cell>
          <cell r="O94">
            <v>84455.733726000006</v>
          </cell>
          <cell r="P94">
            <v>0</v>
          </cell>
          <cell r="Q94">
            <v>77.340415500000006</v>
          </cell>
        </row>
        <row r="95">
          <cell r="A95">
            <v>2002</v>
          </cell>
          <cell r="B95">
            <v>0</v>
          </cell>
          <cell r="C95" t="str">
            <v xml:space="preserve">Советская, 131                                                                                                                                                                                                                                </v>
          </cell>
          <cell r="F95">
            <v>1960</v>
          </cell>
          <cell r="G95">
            <v>10103</v>
          </cell>
          <cell r="H95">
            <v>2</v>
          </cell>
          <cell r="I95">
            <v>192406500</v>
          </cell>
          <cell r="J95">
            <v>1.04</v>
          </cell>
          <cell r="K95">
            <v>200905.96955000001</v>
          </cell>
          <cell r="L95">
            <v>4018.1193910000002</v>
          </cell>
          <cell r="M95">
            <v>334.84328258333335</v>
          </cell>
          <cell r="N95">
            <v>168761.01442200001</v>
          </cell>
          <cell r="O95">
            <v>32144.955128000001</v>
          </cell>
          <cell r="P95">
            <v>0</v>
          </cell>
          <cell r="Q95">
            <v>334.84328258333335</v>
          </cell>
        </row>
        <row r="96">
          <cell r="A96">
            <v>2002</v>
          </cell>
          <cell r="B96">
            <v>0</v>
          </cell>
          <cell r="C96" t="str">
            <v xml:space="preserve">Советская, 147                                                                                                                                                                                                                                </v>
          </cell>
          <cell r="F96">
            <v>1916</v>
          </cell>
          <cell r="G96">
            <v>10103</v>
          </cell>
          <cell r="H96">
            <v>2</v>
          </cell>
          <cell r="I96">
            <v>233668500</v>
          </cell>
          <cell r="J96">
            <v>0.43</v>
          </cell>
          <cell r="K96">
            <v>100324.0644</v>
          </cell>
          <cell r="L96">
            <v>2006.4812879999999</v>
          </cell>
          <cell r="M96">
            <v>0</v>
          </cell>
          <cell r="N96">
            <v>172557.39076799998</v>
          </cell>
          <cell r="O96">
            <v>0</v>
          </cell>
          <cell r="P96">
            <v>72233.32636799998</v>
          </cell>
          <cell r="Q96">
            <v>0</v>
          </cell>
        </row>
        <row r="97">
          <cell r="A97">
            <v>2002</v>
          </cell>
          <cell r="B97">
            <v>0</v>
          </cell>
          <cell r="C97" t="str">
            <v xml:space="preserve">Советская, 163                                                                                                                                                                                                                                </v>
          </cell>
          <cell r="F97">
            <v>1916</v>
          </cell>
          <cell r="G97">
            <v>10103</v>
          </cell>
          <cell r="H97">
            <v>2</v>
          </cell>
          <cell r="I97">
            <v>291704400</v>
          </cell>
          <cell r="J97">
            <v>0.56999999999999995</v>
          </cell>
          <cell r="K97">
            <v>167148.51379999999</v>
          </cell>
          <cell r="L97">
            <v>3342.9702759999996</v>
          </cell>
          <cell r="M97">
            <v>0</v>
          </cell>
          <cell r="N97">
            <v>287495.44373599999</v>
          </cell>
          <cell r="O97">
            <v>0</v>
          </cell>
          <cell r="P97">
            <v>120346.929936</v>
          </cell>
          <cell r="Q97">
            <v>0</v>
          </cell>
        </row>
        <row r="98">
          <cell r="A98">
            <v>2002</v>
          </cell>
          <cell r="B98">
            <v>0</v>
          </cell>
          <cell r="C98" t="str">
            <v xml:space="preserve">Бубенца, 92                                                                                                                                                                                                                                   </v>
          </cell>
          <cell r="F98">
            <v>1960</v>
          </cell>
          <cell r="G98">
            <v>10104</v>
          </cell>
          <cell r="H98">
            <v>3.3</v>
          </cell>
          <cell r="I98">
            <v>132486900</v>
          </cell>
          <cell r="J98">
            <v>0.83</v>
          </cell>
          <cell r="K98">
            <v>109762.21679999999</v>
          </cell>
          <cell r="L98">
            <v>3622.1531543999999</v>
          </cell>
          <cell r="M98">
            <v>0</v>
          </cell>
          <cell r="N98">
            <v>152130.4324848</v>
          </cell>
          <cell r="O98">
            <v>0</v>
          </cell>
          <cell r="P98">
            <v>42368.215684800001</v>
          </cell>
          <cell r="Q98">
            <v>0</v>
          </cell>
        </row>
        <row r="99">
          <cell r="A99">
            <v>2002</v>
          </cell>
          <cell r="B99">
            <v>0</v>
          </cell>
          <cell r="C99" t="str">
            <v xml:space="preserve">Бубенца, 74                                                                                                                                                                                                                                   </v>
          </cell>
          <cell r="F99">
            <v>1953</v>
          </cell>
          <cell r="G99">
            <v>10104</v>
          </cell>
          <cell r="H99">
            <v>3.3</v>
          </cell>
          <cell r="I99">
            <v>344178900</v>
          </cell>
          <cell r="J99">
            <v>0.6</v>
          </cell>
          <cell r="K99">
            <v>207232.91704999999</v>
          </cell>
          <cell r="L99">
            <v>6838.6862626499997</v>
          </cell>
          <cell r="M99">
            <v>0</v>
          </cell>
          <cell r="N99">
            <v>335095.62686984998</v>
          </cell>
          <cell r="O99">
            <v>0</v>
          </cell>
          <cell r="P99">
            <v>127862.70981984999</v>
          </cell>
          <cell r="Q99">
            <v>0</v>
          </cell>
        </row>
        <row r="100">
          <cell r="A100">
            <v>2002</v>
          </cell>
          <cell r="B100">
            <v>0</v>
          </cell>
          <cell r="C100" t="str">
            <v xml:space="preserve">Железнодорожная, 60                                                                                                                                                                                                                           </v>
          </cell>
          <cell r="F100">
            <v>1955</v>
          </cell>
          <cell r="G100">
            <v>10101</v>
          </cell>
          <cell r="H100">
            <v>0.8</v>
          </cell>
          <cell r="I100">
            <v>324803700</v>
          </cell>
          <cell r="J100">
            <v>1.1499999999999999</v>
          </cell>
          <cell r="K100">
            <v>374822.19287999999</v>
          </cell>
          <cell r="L100">
            <v>2998.5775430399999</v>
          </cell>
          <cell r="M100">
            <v>249.88146191999999</v>
          </cell>
          <cell r="N100">
            <v>140933.14452288</v>
          </cell>
          <cell r="O100">
            <v>233889.04835711999</v>
          </cell>
          <cell r="P100">
            <v>0</v>
          </cell>
          <cell r="Q100">
            <v>249.88146191999999</v>
          </cell>
        </row>
        <row r="101">
          <cell r="A101">
            <v>2002</v>
          </cell>
          <cell r="B101">
            <v>0</v>
          </cell>
          <cell r="C101" t="str">
            <v xml:space="preserve">Железнодорожная, 54-56                                                                                                                                                                                                                        </v>
          </cell>
          <cell r="F101">
            <v>1955</v>
          </cell>
          <cell r="G101">
            <v>10103</v>
          </cell>
          <cell r="H101">
            <v>2</v>
          </cell>
          <cell r="I101">
            <v>133653000</v>
          </cell>
          <cell r="J101">
            <v>0.65</v>
          </cell>
          <cell r="K101">
            <v>87437.538</v>
          </cell>
          <cell r="L101">
            <v>1748.7507599999999</v>
          </cell>
          <cell r="M101">
            <v>145.72923</v>
          </cell>
          <cell r="N101">
            <v>82191.28572</v>
          </cell>
          <cell r="O101">
            <v>5246.2522800000006</v>
          </cell>
          <cell r="P101">
            <v>0</v>
          </cell>
          <cell r="Q101">
            <v>145.72923</v>
          </cell>
        </row>
        <row r="102">
          <cell r="A102">
            <v>2002</v>
          </cell>
          <cell r="B102">
            <v>0</v>
          </cell>
          <cell r="C102" t="str">
            <v xml:space="preserve">Железнодорожная, 64                                                                                                                                                                                                                           </v>
          </cell>
          <cell r="F102">
            <v>1960</v>
          </cell>
          <cell r="G102">
            <v>10103</v>
          </cell>
          <cell r="H102">
            <v>2</v>
          </cell>
          <cell r="I102">
            <v>137061600</v>
          </cell>
          <cell r="J102">
            <v>1.31</v>
          </cell>
          <cell r="K102">
            <v>179036.7438</v>
          </cell>
          <cell r="L102">
            <v>3580.734876</v>
          </cell>
          <cell r="M102">
            <v>298.39457299999998</v>
          </cell>
          <cell r="N102">
            <v>150390.86479200001</v>
          </cell>
          <cell r="O102">
            <v>28645.879007999989</v>
          </cell>
          <cell r="P102">
            <v>0</v>
          </cell>
          <cell r="Q102">
            <v>298.39457299999998</v>
          </cell>
        </row>
        <row r="103">
          <cell r="A103">
            <v>2002</v>
          </cell>
          <cell r="B103">
            <v>0</v>
          </cell>
          <cell r="C103" t="str">
            <v xml:space="preserve">Железнодорожная, 78                                                                                                                                                                                                                           </v>
          </cell>
          <cell r="F103">
            <v>1960</v>
          </cell>
          <cell r="G103">
            <v>10104</v>
          </cell>
          <cell r="H103">
            <v>3.3</v>
          </cell>
          <cell r="I103">
            <v>117417300</v>
          </cell>
          <cell r="J103">
            <v>1.19</v>
          </cell>
          <cell r="K103">
            <v>139511.92189999999</v>
          </cell>
          <cell r="L103">
            <v>4603.8934226999991</v>
          </cell>
          <cell r="M103">
            <v>0</v>
          </cell>
          <cell r="N103">
            <v>193363.52375339996</v>
          </cell>
          <cell r="O103">
            <v>0</v>
          </cell>
          <cell r="P103">
            <v>53851.601853399974</v>
          </cell>
          <cell r="Q103">
            <v>0</v>
          </cell>
        </row>
        <row r="104">
          <cell r="A104">
            <v>2002</v>
          </cell>
          <cell r="B104">
            <v>0</v>
          </cell>
          <cell r="C104" t="str">
            <v xml:space="preserve">Октябрьская, 66а                                                                                                                                                                                                                              </v>
          </cell>
          <cell r="F104">
            <v>1968</v>
          </cell>
          <cell r="G104">
            <v>10103</v>
          </cell>
          <cell r="H104">
            <v>2</v>
          </cell>
          <cell r="I104">
            <v>126477000</v>
          </cell>
          <cell r="J104">
            <v>0.78</v>
          </cell>
          <cell r="K104">
            <v>98393.604800000001</v>
          </cell>
          <cell r="L104">
            <v>1967.8720960000001</v>
          </cell>
          <cell r="M104">
            <v>163.98934133333333</v>
          </cell>
          <cell r="N104">
            <v>66907.651264</v>
          </cell>
          <cell r="O104">
            <v>31485.953536000001</v>
          </cell>
          <cell r="P104">
            <v>0</v>
          </cell>
          <cell r="Q104">
            <v>163.98934133333333</v>
          </cell>
        </row>
        <row r="105">
          <cell r="A105">
            <v>2002</v>
          </cell>
          <cell r="B105">
            <v>0</v>
          </cell>
          <cell r="C105" t="str">
            <v xml:space="preserve">Набережная, 68                                                                                                                                                                                                                                </v>
          </cell>
          <cell r="F105">
            <v>1916</v>
          </cell>
          <cell r="G105">
            <v>10103</v>
          </cell>
          <cell r="H105">
            <v>2</v>
          </cell>
          <cell r="I105">
            <v>350727000</v>
          </cell>
          <cell r="J105">
            <v>0.64</v>
          </cell>
          <cell r="K105">
            <v>224965.07024999999</v>
          </cell>
          <cell r="L105">
            <v>4499.3014050000002</v>
          </cell>
          <cell r="M105">
            <v>0</v>
          </cell>
          <cell r="N105">
            <v>386939.92083000002</v>
          </cell>
          <cell r="O105">
            <v>0</v>
          </cell>
          <cell r="P105">
            <v>161974.85058000003</v>
          </cell>
          <cell r="Q105">
            <v>0</v>
          </cell>
        </row>
        <row r="106">
          <cell r="A106">
            <v>2002</v>
          </cell>
          <cell r="B106">
            <v>0</v>
          </cell>
          <cell r="C106" t="str">
            <v xml:space="preserve">Октябрьская, 68                                                                                                                                                                                                                               </v>
          </cell>
          <cell r="F106">
            <v>1968</v>
          </cell>
          <cell r="G106">
            <v>10104</v>
          </cell>
          <cell r="H106">
            <v>3.3</v>
          </cell>
          <cell r="I106">
            <v>102796200</v>
          </cell>
          <cell r="J106">
            <v>1.0900000000000001</v>
          </cell>
          <cell r="K106">
            <v>111918.6315</v>
          </cell>
          <cell r="L106">
            <v>3693.3148394999998</v>
          </cell>
          <cell r="M106">
            <v>0</v>
          </cell>
          <cell r="N106">
            <v>125572.704543</v>
          </cell>
          <cell r="O106">
            <v>0</v>
          </cell>
          <cell r="P106">
            <v>13654.073042999997</v>
          </cell>
          <cell r="Q106">
            <v>0</v>
          </cell>
        </row>
        <row r="107">
          <cell r="A107">
            <v>2002</v>
          </cell>
          <cell r="B107">
            <v>0</v>
          </cell>
          <cell r="C107" t="str">
            <v xml:space="preserve">Кутякова, 34а                                                                                                                                                                                                                                 </v>
          </cell>
          <cell r="F107">
            <v>1969</v>
          </cell>
          <cell r="G107">
            <v>10101</v>
          </cell>
          <cell r="H107">
            <v>0.8</v>
          </cell>
          <cell r="I107">
            <v>74899500</v>
          </cell>
          <cell r="J107">
            <v>0.57999999999999996</v>
          </cell>
          <cell r="K107">
            <v>43797.184079999999</v>
          </cell>
          <cell r="L107">
            <v>350.37747263999995</v>
          </cell>
          <cell r="M107">
            <v>29.198122719999997</v>
          </cell>
          <cell r="N107">
            <v>11562.456597119999</v>
          </cell>
          <cell r="O107">
            <v>32234.72748288</v>
          </cell>
          <cell r="P107">
            <v>0</v>
          </cell>
          <cell r="Q107">
            <v>29.198122719999997</v>
          </cell>
        </row>
        <row r="108">
          <cell r="A108">
            <v>2002</v>
          </cell>
          <cell r="B108">
            <v>0</v>
          </cell>
          <cell r="C108" t="str">
            <v xml:space="preserve">Лесозащитный пер., 17                                                                                                                                                                                                                         </v>
          </cell>
          <cell r="F108">
            <v>1960</v>
          </cell>
          <cell r="G108">
            <v>10104</v>
          </cell>
          <cell r="H108">
            <v>3.3</v>
          </cell>
          <cell r="I108">
            <v>49514400</v>
          </cell>
          <cell r="J108">
            <v>0.75</v>
          </cell>
          <cell r="K108">
            <v>37173.156799999997</v>
          </cell>
          <cell r="L108">
            <v>1226.7141743999998</v>
          </cell>
          <cell r="M108">
            <v>0</v>
          </cell>
          <cell r="N108">
            <v>51521.995324799995</v>
          </cell>
          <cell r="O108">
            <v>0</v>
          </cell>
          <cell r="P108">
            <v>14348.838524799998</v>
          </cell>
          <cell r="Q108">
            <v>0</v>
          </cell>
        </row>
        <row r="109">
          <cell r="A109">
            <v>2002</v>
          </cell>
          <cell r="B109">
            <v>0</v>
          </cell>
          <cell r="C109" t="str">
            <v xml:space="preserve">Мечетная, 59                                                                                                                                                                                                                                  </v>
          </cell>
          <cell r="F109">
            <v>1916</v>
          </cell>
          <cell r="G109">
            <v>10103</v>
          </cell>
          <cell r="H109">
            <v>2</v>
          </cell>
          <cell r="I109">
            <v>90686700</v>
          </cell>
          <cell r="J109">
            <v>0.72</v>
          </cell>
          <cell r="K109">
            <v>64930.205600000001</v>
          </cell>
          <cell r="L109">
            <v>1298.604112</v>
          </cell>
          <cell r="M109">
            <v>0</v>
          </cell>
          <cell r="N109">
            <v>111679.953632</v>
          </cell>
          <cell r="O109">
            <v>0</v>
          </cell>
          <cell r="P109">
            <v>46749.748032000003</v>
          </cell>
          <cell r="Q109">
            <v>0</v>
          </cell>
        </row>
        <row r="110">
          <cell r="A110">
            <v>2002</v>
          </cell>
          <cell r="B110">
            <v>0</v>
          </cell>
          <cell r="C110" t="str">
            <v xml:space="preserve">Мечетная, 24                                                                                                                                                                                                                                  </v>
          </cell>
          <cell r="F110">
            <v>1916</v>
          </cell>
          <cell r="G110">
            <v>10103</v>
          </cell>
          <cell r="H110">
            <v>2</v>
          </cell>
          <cell r="I110">
            <v>98490600</v>
          </cell>
          <cell r="J110">
            <v>0.75</v>
          </cell>
          <cell r="K110">
            <v>73846.102549999996</v>
          </cell>
          <cell r="L110">
            <v>1476.922051</v>
          </cell>
          <cell r="M110">
            <v>0</v>
          </cell>
          <cell r="N110">
            <v>127015.296386</v>
          </cell>
          <cell r="O110">
            <v>0</v>
          </cell>
          <cell r="P110">
            <v>53169.193836000006</v>
          </cell>
          <cell r="Q110">
            <v>0</v>
          </cell>
        </row>
        <row r="111">
          <cell r="A111">
            <v>2002</v>
          </cell>
          <cell r="B111">
            <v>0</v>
          </cell>
          <cell r="C111" t="str">
            <v xml:space="preserve">Красноармейская, 207                                                                                                                                                                                                                          </v>
          </cell>
          <cell r="F111">
            <v>1904</v>
          </cell>
          <cell r="G111">
            <v>10103</v>
          </cell>
          <cell r="H111">
            <v>2</v>
          </cell>
          <cell r="I111">
            <v>150965100</v>
          </cell>
          <cell r="J111">
            <v>0.66</v>
          </cell>
          <cell r="K111">
            <v>99105.560190000004</v>
          </cell>
          <cell r="L111">
            <v>1982.1112038000001</v>
          </cell>
          <cell r="M111">
            <v>0</v>
          </cell>
          <cell r="N111">
            <v>194246.89797240001</v>
          </cell>
          <cell r="O111">
            <v>0</v>
          </cell>
          <cell r="P111">
            <v>95141.337782400005</v>
          </cell>
          <cell r="Q111">
            <v>0</v>
          </cell>
        </row>
        <row r="112">
          <cell r="A112">
            <v>2002</v>
          </cell>
          <cell r="B112">
            <v>0</v>
          </cell>
          <cell r="C112" t="str">
            <v xml:space="preserve">Топорковская, 1                                                                                                                                                                                                                               </v>
          </cell>
          <cell r="F112">
            <v>1891</v>
          </cell>
          <cell r="G112">
            <v>10101</v>
          </cell>
          <cell r="H112">
            <v>0.8</v>
          </cell>
          <cell r="I112">
            <v>218329800</v>
          </cell>
          <cell r="J112">
            <v>0.89</v>
          </cell>
          <cell r="K112">
            <v>194835.49290000001</v>
          </cell>
          <cell r="L112">
            <v>1558.6839432000002</v>
          </cell>
          <cell r="M112">
            <v>129.8903286</v>
          </cell>
          <cell r="N112">
            <v>173013.91769520001</v>
          </cell>
          <cell r="O112">
            <v>21821.575204799999</v>
          </cell>
          <cell r="P112">
            <v>0</v>
          </cell>
          <cell r="Q112">
            <v>129.8903286</v>
          </cell>
        </row>
        <row r="113">
          <cell r="A113">
            <v>2002</v>
          </cell>
          <cell r="B113">
            <v>0</v>
          </cell>
          <cell r="C113" t="str">
            <v xml:space="preserve">Топорковская, 41                                                                                                                                                                                                                              </v>
          </cell>
          <cell r="F113">
            <v>1916</v>
          </cell>
          <cell r="G113">
            <v>10101</v>
          </cell>
          <cell r="H113">
            <v>0.8</v>
          </cell>
          <cell r="I113">
            <v>167559600</v>
          </cell>
          <cell r="J113">
            <v>1.07</v>
          </cell>
          <cell r="K113">
            <v>179868.91990000001</v>
          </cell>
          <cell r="L113">
            <v>1438.9513592000001</v>
          </cell>
          <cell r="M113">
            <v>119.91261326666667</v>
          </cell>
          <cell r="N113">
            <v>123749.81689120001</v>
          </cell>
          <cell r="O113">
            <v>56119.103008799997</v>
          </cell>
          <cell r="P113">
            <v>0</v>
          </cell>
          <cell r="Q113">
            <v>119.91261326666667</v>
          </cell>
        </row>
        <row r="114">
          <cell r="A114">
            <v>2002</v>
          </cell>
          <cell r="B114">
            <v>0</v>
          </cell>
          <cell r="C114" t="str">
            <v xml:space="preserve">Топорковская, 3                                                                                                                                                                                                                               </v>
          </cell>
          <cell r="F114">
            <v>1916</v>
          </cell>
          <cell r="G114">
            <v>10103</v>
          </cell>
          <cell r="H114">
            <v>2</v>
          </cell>
          <cell r="I114">
            <v>45926400</v>
          </cell>
          <cell r="J114">
            <v>0.59</v>
          </cell>
          <cell r="K114">
            <v>27180.745200000001</v>
          </cell>
          <cell r="L114">
            <v>543.61490400000002</v>
          </cell>
          <cell r="M114">
            <v>0</v>
          </cell>
          <cell r="N114">
            <v>46750.881743999998</v>
          </cell>
          <cell r="O114">
            <v>0</v>
          </cell>
          <cell r="P114">
            <v>19570.136543999997</v>
          </cell>
          <cell r="Q114">
            <v>0</v>
          </cell>
        </row>
        <row r="115">
          <cell r="A115">
            <v>2002</v>
          </cell>
          <cell r="B115">
            <v>0</v>
          </cell>
          <cell r="C115" t="str">
            <v xml:space="preserve">Топорковская, 13                                                                                                                                                                                                                              </v>
          </cell>
          <cell r="F115">
            <v>1916</v>
          </cell>
          <cell r="G115">
            <v>10103</v>
          </cell>
          <cell r="H115">
            <v>2</v>
          </cell>
          <cell r="I115">
            <v>207565800</v>
          </cell>
          <cell r="J115">
            <v>0.71</v>
          </cell>
          <cell r="K115">
            <v>146386.54676999999</v>
          </cell>
          <cell r="L115">
            <v>2927.7309353999999</v>
          </cell>
          <cell r="M115">
            <v>0</v>
          </cell>
          <cell r="N115">
            <v>251784.86044439999</v>
          </cell>
          <cell r="O115">
            <v>0</v>
          </cell>
          <cell r="P115">
            <v>105398.31367440001</v>
          </cell>
          <cell r="Q115">
            <v>0</v>
          </cell>
        </row>
        <row r="116">
          <cell r="A116">
            <v>2002</v>
          </cell>
          <cell r="B116">
            <v>0</v>
          </cell>
          <cell r="C116" t="str">
            <v xml:space="preserve">Топорковская, 15                                                                                                                                                                                                                              </v>
          </cell>
          <cell r="F116">
            <v>1896</v>
          </cell>
          <cell r="G116">
            <v>10103</v>
          </cell>
          <cell r="H116">
            <v>2</v>
          </cell>
          <cell r="I116">
            <v>146659500</v>
          </cell>
          <cell r="J116">
            <v>0.82</v>
          </cell>
          <cell r="K116">
            <v>120511.2237</v>
          </cell>
          <cell r="L116">
            <v>2410.2244740000001</v>
          </cell>
          <cell r="M116">
            <v>0</v>
          </cell>
          <cell r="N116">
            <v>255483.79424400002</v>
          </cell>
          <cell r="O116">
            <v>0</v>
          </cell>
          <cell r="P116">
            <v>134972.57054400002</v>
          </cell>
          <cell r="Q116">
            <v>0</v>
          </cell>
        </row>
        <row r="117">
          <cell r="A117">
            <v>2002</v>
          </cell>
          <cell r="B117">
            <v>0</v>
          </cell>
          <cell r="C117" t="str">
            <v xml:space="preserve">Топорковская, 16                                                                                                                                                                                                                              </v>
          </cell>
          <cell r="F117">
            <v>1916</v>
          </cell>
          <cell r="G117">
            <v>10103</v>
          </cell>
          <cell r="H117">
            <v>2</v>
          </cell>
          <cell r="I117">
            <v>122171400</v>
          </cell>
          <cell r="J117">
            <v>0.79</v>
          </cell>
          <cell r="K117">
            <v>96351.348599999998</v>
          </cell>
          <cell r="L117">
            <v>1927.0269719999999</v>
          </cell>
          <cell r="M117">
            <v>0</v>
          </cell>
          <cell r="N117">
            <v>165724.31959199999</v>
          </cell>
          <cell r="O117">
            <v>0</v>
          </cell>
          <cell r="P117">
            <v>69372.970991999988</v>
          </cell>
          <cell r="Q117">
            <v>0</v>
          </cell>
        </row>
        <row r="118">
          <cell r="A118">
            <v>2002</v>
          </cell>
          <cell r="B118">
            <v>0</v>
          </cell>
          <cell r="C118" t="str">
            <v xml:space="preserve">Топорковская, 33                                                                                                                                                                                                                              </v>
          </cell>
          <cell r="F118">
            <v>1938</v>
          </cell>
          <cell r="G118">
            <v>10103</v>
          </cell>
          <cell r="H118">
            <v>2</v>
          </cell>
          <cell r="I118">
            <v>157064700</v>
          </cell>
          <cell r="J118">
            <v>1.1000000000000001</v>
          </cell>
          <cell r="K118">
            <v>172343.43411999999</v>
          </cell>
          <cell r="L118">
            <v>3446.8686823999997</v>
          </cell>
          <cell r="M118">
            <v>0</v>
          </cell>
          <cell r="N118">
            <v>220599.59567359998</v>
          </cell>
          <cell r="O118">
            <v>0</v>
          </cell>
          <cell r="P118">
            <v>48256.161553599988</v>
          </cell>
          <cell r="Q118">
            <v>0</v>
          </cell>
        </row>
        <row r="119">
          <cell r="A119">
            <v>2002</v>
          </cell>
          <cell r="B119">
            <v>0</v>
          </cell>
          <cell r="C119" t="str">
            <v xml:space="preserve">Коммунистическая, 14                                                                                                                                                                                                                          </v>
          </cell>
          <cell r="F119">
            <v>1916</v>
          </cell>
          <cell r="G119">
            <v>10103</v>
          </cell>
          <cell r="H119">
            <v>2</v>
          </cell>
          <cell r="I119">
            <v>246405900</v>
          </cell>
          <cell r="J119">
            <v>0.63</v>
          </cell>
          <cell r="K119">
            <v>154887.26105999999</v>
          </cell>
          <cell r="L119">
            <v>3097.7452211999998</v>
          </cell>
          <cell r="M119">
            <v>0</v>
          </cell>
          <cell r="N119">
            <v>266406.08902319998</v>
          </cell>
          <cell r="O119">
            <v>0</v>
          </cell>
          <cell r="P119">
            <v>111518.82796319999</v>
          </cell>
          <cell r="Q119">
            <v>0</v>
          </cell>
        </row>
        <row r="120">
          <cell r="A120">
            <v>2002</v>
          </cell>
          <cell r="B120">
            <v>0</v>
          </cell>
          <cell r="C120" t="str">
            <v xml:space="preserve">Коммунистическая, 16                                                                                                                                                                                                                          </v>
          </cell>
          <cell r="F120">
            <v>1940</v>
          </cell>
          <cell r="G120">
            <v>10103</v>
          </cell>
          <cell r="H120">
            <v>2</v>
          </cell>
          <cell r="I120">
            <v>104410800</v>
          </cell>
          <cell r="J120">
            <v>0.99</v>
          </cell>
          <cell r="K120">
            <v>103641.27422000001</v>
          </cell>
          <cell r="L120">
            <v>2072.8254844000003</v>
          </cell>
          <cell r="M120">
            <v>0</v>
          </cell>
          <cell r="N120">
            <v>128515.18003280001</v>
          </cell>
          <cell r="O120">
            <v>0</v>
          </cell>
          <cell r="P120">
            <v>24873.905812800003</v>
          </cell>
          <cell r="Q120">
            <v>0</v>
          </cell>
        </row>
        <row r="121">
          <cell r="A121">
            <v>2002</v>
          </cell>
          <cell r="B121">
            <v>0</v>
          </cell>
          <cell r="C121" t="str">
            <v xml:space="preserve">Бубенца, 7                                                                                                                                                                                                                                    </v>
          </cell>
          <cell r="F121">
            <v>1916</v>
          </cell>
          <cell r="G121">
            <v>10101</v>
          </cell>
          <cell r="H121">
            <v>0.8</v>
          </cell>
          <cell r="I121">
            <v>160921800</v>
          </cell>
          <cell r="J121">
            <v>0.93998999999999999</v>
          </cell>
          <cell r="K121">
            <v>152061.01152</v>
          </cell>
          <cell r="L121">
            <v>1216.4880921600002</v>
          </cell>
          <cell r="M121">
            <v>101.37400768000002</v>
          </cell>
          <cell r="N121">
            <v>104617.97592576001</v>
          </cell>
          <cell r="O121">
            <v>47443.035594239991</v>
          </cell>
          <cell r="P121">
            <v>0</v>
          </cell>
          <cell r="Q121">
            <v>101.37400768000002</v>
          </cell>
        </row>
        <row r="122">
          <cell r="A122">
            <v>2002</v>
          </cell>
          <cell r="B122">
            <v>0</v>
          </cell>
          <cell r="C122" t="str">
            <v xml:space="preserve">Топорковская, 9                                                                                                                                                                                                                               </v>
          </cell>
          <cell r="F122">
            <v>1916</v>
          </cell>
          <cell r="G122">
            <v>10103</v>
          </cell>
          <cell r="H122">
            <v>2</v>
          </cell>
          <cell r="I122">
            <v>186127500</v>
          </cell>
          <cell r="J122">
            <v>0.83</v>
          </cell>
          <cell r="K122">
            <v>123526</v>
          </cell>
          <cell r="L122">
            <v>2470.52</v>
          </cell>
          <cell r="M122">
            <v>0</v>
          </cell>
          <cell r="N122">
            <v>212464.72</v>
          </cell>
          <cell r="O122">
            <v>0</v>
          </cell>
          <cell r="P122">
            <v>88938.72</v>
          </cell>
          <cell r="Q122">
            <v>0</v>
          </cell>
        </row>
        <row r="123">
          <cell r="A123">
            <v>2002</v>
          </cell>
          <cell r="B123">
            <v>0</v>
          </cell>
          <cell r="C123" t="str">
            <v xml:space="preserve">Бубенца, 21                                                                                                                                                                                                                                   </v>
          </cell>
          <cell r="F123">
            <v>1916</v>
          </cell>
          <cell r="G123">
            <v>10101</v>
          </cell>
          <cell r="H123">
            <v>0.8</v>
          </cell>
          <cell r="I123">
            <v>86201700</v>
          </cell>
          <cell r="J123">
            <v>0.72</v>
          </cell>
          <cell r="K123">
            <v>62482.017520000001</v>
          </cell>
          <cell r="L123">
            <v>499.85614016000005</v>
          </cell>
          <cell r="M123">
            <v>41.654678346666671</v>
          </cell>
          <cell r="N123">
            <v>42987.628053760003</v>
          </cell>
          <cell r="O123">
            <v>19494.389466239998</v>
          </cell>
          <cell r="P123">
            <v>0</v>
          </cell>
          <cell r="Q123">
            <v>41.654678346666671</v>
          </cell>
        </row>
        <row r="124">
          <cell r="A124">
            <v>2002</v>
          </cell>
          <cell r="B124">
            <v>0</v>
          </cell>
          <cell r="C124" t="str">
            <v xml:space="preserve">Бубенца, 51                                                                                                                                                                                                                                   </v>
          </cell>
          <cell r="F124">
            <v>1916</v>
          </cell>
          <cell r="G124">
            <v>10101</v>
          </cell>
          <cell r="H124">
            <v>0.8</v>
          </cell>
          <cell r="I124">
            <v>108537000</v>
          </cell>
          <cell r="J124">
            <v>0.95</v>
          </cell>
          <cell r="K124">
            <v>102983.5638</v>
          </cell>
          <cell r="L124">
            <v>823.8685104000001</v>
          </cell>
          <cell r="M124">
            <v>68.655709200000004</v>
          </cell>
          <cell r="N124">
            <v>70852.691894400006</v>
          </cell>
          <cell r="O124">
            <v>32130.871905599997</v>
          </cell>
          <cell r="P124">
            <v>0</v>
          </cell>
          <cell r="Q124">
            <v>68.655709200000004</v>
          </cell>
        </row>
        <row r="125">
          <cell r="A125">
            <v>2002</v>
          </cell>
          <cell r="B125">
            <v>0</v>
          </cell>
          <cell r="C125" t="str">
            <v xml:space="preserve">Бубенца, 49                                                                                                                                                                                                                                   </v>
          </cell>
          <cell r="F125">
            <v>1916</v>
          </cell>
          <cell r="G125">
            <v>10103</v>
          </cell>
          <cell r="H125">
            <v>2</v>
          </cell>
          <cell r="I125">
            <v>130423800</v>
          </cell>
          <cell r="J125">
            <v>0.85</v>
          </cell>
          <cell r="K125">
            <v>110898.2907</v>
          </cell>
          <cell r="L125">
            <v>2217.9658140000001</v>
          </cell>
          <cell r="M125">
            <v>0</v>
          </cell>
          <cell r="N125">
            <v>190745.060004</v>
          </cell>
          <cell r="O125">
            <v>0</v>
          </cell>
          <cell r="P125">
            <v>79846.769304000001</v>
          </cell>
          <cell r="Q125">
            <v>0</v>
          </cell>
        </row>
        <row r="126">
          <cell r="A126">
            <v>2002</v>
          </cell>
          <cell r="B126">
            <v>0</v>
          </cell>
          <cell r="C126" t="str">
            <v xml:space="preserve">Бубенца, 33                                                                                                                                                                                                                                   </v>
          </cell>
          <cell r="F126">
            <v>1916</v>
          </cell>
          <cell r="G126">
            <v>10101</v>
          </cell>
          <cell r="H126">
            <v>0.8</v>
          </cell>
          <cell r="I126">
            <v>185679000</v>
          </cell>
          <cell r="J126">
            <v>0.8</v>
          </cell>
          <cell r="K126">
            <v>149454.41868</v>
          </cell>
          <cell r="L126">
            <v>1195.63534944</v>
          </cell>
          <cell r="M126">
            <v>99.636279119999998</v>
          </cell>
          <cell r="N126">
            <v>102824.64005184</v>
          </cell>
          <cell r="O126">
            <v>46629.778628159998</v>
          </cell>
          <cell r="P126">
            <v>0</v>
          </cell>
          <cell r="Q126">
            <v>99.636279119999998</v>
          </cell>
        </row>
        <row r="127">
          <cell r="A127">
            <v>2002</v>
          </cell>
          <cell r="B127">
            <v>0</v>
          </cell>
          <cell r="C127" t="str">
            <v xml:space="preserve">Бубенца, 36                                                                                                                                                                                                                                   </v>
          </cell>
          <cell r="F127">
            <v>1965</v>
          </cell>
          <cell r="G127">
            <v>10101</v>
          </cell>
          <cell r="H127">
            <v>0.8</v>
          </cell>
          <cell r="I127">
            <v>123158100</v>
          </cell>
          <cell r="J127">
            <v>0.92</v>
          </cell>
          <cell r="K127">
            <v>113119.65764999999</v>
          </cell>
          <cell r="L127">
            <v>904.95726120000006</v>
          </cell>
          <cell r="M127">
            <v>75.41310510000001</v>
          </cell>
          <cell r="N127">
            <v>33483.4186644</v>
          </cell>
          <cell r="O127">
            <v>79636.238985599994</v>
          </cell>
          <cell r="P127">
            <v>0</v>
          </cell>
          <cell r="Q127">
            <v>75.41310510000001</v>
          </cell>
        </row>
        <row r="128">
          <cell r="A128">
            <v>2002</v>
          </cell>
          <cell r="B128">
            <v>0</v>
          </cell>
          <cell r="C128" t="str">
            <v xml:space="preserve">Бубенца, 40                                                                                                                                                                                                                                   </v>
          </cell>
          <cell r="F128">
            <v>1988</v>
          </cell>
          <cell r="G128">
            <v>10101</v>
          </cell>
          <cell r="H128">
            <v>0.8</v>
          </cell>
          <cell r="I128">
            <v>158589600</v>
          </cell>
          <cell r="J128">
            <v>0.93</v>
          </cell>
          <cell r="K128">
            <v>147638.90487999999</v>
          </cell>
          <cell r="L128">
            <v>1181.1112390399999</v>
          </cell>
          <cell r="M128">
            <v>98.425936586666651</v>
          </cell>
          <cell r="N128">
            <v>16535.557346559999</v>
          </cell>
          <cell r="O128">
            <v>131103.34753343998</v>
          </cell>
          <cell r="P128">
            <v>0</v>
          </cell>
          <cell r="Q128">
            <v>98.425936586666651</v>
          </cell>
        </row>
        <row r="129">
          <cell r="A129">
            <v>2002</v>
          </cell>
          <cell r="B129">
            <v>0</v>
          </cell>
          <cell r="C129" t="str">
            <v xml:space="preserve">40 лет Октября, 161                                                                                                                                                                                                                           </v>
          </cell>
          <cell r="F129">
            <v>1960</v>
          </cell>
          <cell r="G129">
            <v>10101</v>
          </cell>
          <cell r="H129">
            <v>0.8</v>
          </cell>
          <cell r="I129">
            <v>219585600</v>
          </cell>
          <cell r="J129">
            <v>1.1299999999999999</v>
          </cell>
          <cell r="K129">
            <v>248150.56711999999</v>
          </cell>
          <cell r="L129">
            <v>1985.20453696</v>
          </cell>
          <cell r="M129">
            <v>165.43371141333333</v>
          </cell>
          <cell r="N129">
            <v>83378.590552320005</v>
          </cell>
          <cell r="O129">
            <v>164771.97656767999</v>
          </cell>
          <cell r="P129">
            <v>0</v>
          </cell>
          <cell r="Q129">
            <v>165.43371141333333</v>
          </cell>
        </row>
        <row r="130">
          <cell r="A130">
            <v>2002</v>
          </cell>
          <cell r="B130">
            <v>0</v>
          </cell>
          <cell r="C130" t="str">
            <v xml:space="preserve">40 лет Октября, 159                                                                                                                                                                                                                           </v>
          </cell>
          <cell r="F130">
            <v>1966</v>
          </cell>
          <cell r="G130">
            <v>10103</v>
          </cell>
          <cell r="H130">
            <v>2</v>
          </cell>
          <cell r="I130">
            <v>123965400</v>
          </cell>
          <cell r="J130">
            <v>0.91</v>
          </cell>
          <cell r="K130">
            <v>113371.2</v>
          </cell>
          <cell r="L130">
            <v>2267.424</v>
          </cell>
          <cell r="M130">
            <v>188.952</v>
          </cell>
          <cell r="N130">
            <v>81627.263999999996</v>
          </cell>
          <cell r="O130">
            <v>31743.936000000002</v>
          </cell>
          <cell r="P130">
            <v>0</v>
          </cell>
          <cell r="Q130">
            <v>188.952</v>
          </cell>
        </row>
        <row r="131">
          <cell r="A131">
            <v>2002</v>
          </cell>
          <cell r="B131">
            <v>0</v>
          </cell>
          <cell r="C131" t="str">
            <v xml:space="preserve">40 лет Октября, 163                                                                                                                                                                                                                           </v>
          </cell>
          <cell r="F131">
            <v>1957</v>
          </cell>
          <cell r="G131">
            <v>10102</v>
          </cell>
          <cell r="H131">
            <v>1</v>
          </cell>
          <cell r="I131">
            <v>121633200</v>
          </cell>
          <cell r="J131">
            <v>1.18</v>
          </cell>
          <cell r="K131">
            <v>143512.92381000001</v>
          </cell>
          <cell r="L131">
            <v>1435.1292381000001</v>
          </cell>
          <cell r="M131">
            <v>119.594103175</v>
          </cell>
          <cell r="N131">
            <v>64580.8157145</v>
          </cell>
          <cell r="O131">
            <v>78932.108095500007</v>
          </cell>
          <cell r="P131">
            <v>0</v>
          </cell>
          <cell r="Q131">
            <v>119.594103175</v>
          </cell>
        </row>
        <row r="132">
          <cell r="A132">
            <v>2002</v>
          </cell>
          <cell r="B132">
            <v>0</v>
          </cell>
          <cell r="C132" t="str">
            <v xml:space="preserve">Советская, 205                                                                                                                                                                                                                                </v>
          </cell>
          <cell r="F132">
            <v>1913</v>
          </cell>
          <cell r="G132">
            <v>10103</v>
          </cell>
          <cell r="H132">
            <v>2</v>
          </cell>
          <cell r="I132">
            <v>149440200</v>
          </cell>
          <cell r="J132">
            <v>0.84</v>
          </cell>
          <cell r="K132">
            <v>124909.38067</v>
          </cell>
          <cell r="L132">
            <v>2498.1876133999999</v>
          </cell>
          <cell r="M132">
            <v>0</v>
          </cell>
          <cell r="N132">
            <v>222338.69759259999</v>
          </cell>
          <cell r="O132">
            <v>0</v>
          </cell>
          <cell r="P132">
            <v>97429.316922599988</v>
          </cell>
          <cell r="Q132">
            <v>0</v>
          </cell>
        </row>
        <row r="133">
          <cell r="A133">
            <v>2002</v>
          </cell>
          <cell r="B133">
            <v>0</v>
          </cell>
          <cell r="C133" t="str">
            <v xml:space="preserve">Советская, 235                                                                                                                                                                                                                                </v>
          </cell>
          <cell r="F133">
            <v>1916</v>
          </cell>
          <cell r="G133">
            <v>10103</v>
          </cell>
          <cell r="H133">
            <v>2</v>
          </cell>
          <cell r="I133">
            <v>118493700</v>
          </cell>
          <cell r="J133">
            <v>0.87</v>
          </cell>
          <cell r="K133">
            <v>103277.85653999999</v>
          </cell>
          <cell r="L133">
            <v>2065.5571307999999</v>
          </cell>
          <cell r="M133">
            <v>0</v>
          </cell>
          <cell r="N133">
            <v>177637.91324879997</v>
          </cell>
          <cell r="O133">
            <v>0</v>
          </cell>
          <cell r="P133">
            <v>74360.056708799981</v>
          </cell>
          <cell r="Q133">
            <v>0</v>
          </cell>
        </row>
        <row r="134">
          <cell r="A134">
            <v>2002</v>
          </cell>
          <cell r="B134">
            <v>0</v>
          </cell>
          <cell r="C134" t="str">
            <v xml:space="preserve">Сеница, 23АБ                                                                                                                                                                                                                                  </v>
          </cell>
          <cell r="F134">
            <v>1916</v>
          </cell>
          <cell r="G134">
            <v>10101</v>
          </cell>
          <cell r="H134">
            <v>0.8</v>
          </cell>
          <cell r="I134">
            <v>235821300</v>
          </cell>
          <cell r="J134">
            <v>0.62</v>
          </cell>
          <cell r="K134">
            <v>145705.611</v>
          </cell>
          <cell r="L134">
            <v>1165.644888</v>
          </cell>
          <cell r="M134">
            <v>97.137073999999998</v>
          </cell>
          <cell r="N134">
            <v>100245.460368</v>
          </cell>
          <cell r="O134">
            <v>45460.150632000004</v>
          </cell>
          <cell r="P134">
            <v>0</v>
          </cell>
          <cell r="Q134">
            <v>97.137073999999998</v>
          </cell>
        </row>
        <row r="135">
          <cell r="A135">
            <v>2002</v>
          </cell>
          <cell r="B135">
            <v>0</v>
          </cell>
          <cell r="C135" t="str">
            <v xml:space="preserve">Сеница, 2                                                                                                                                                                                                                                     </v>
          </cell>
          <cell r="F135">
            <v>1916</v>
          </cell>
          <cell r="G135">
            <v>10103</v>
          </cell>
          <cell r="H135">
            <v>2</v>
          </cell>
          <cell r="I135">
            <v>274930500</v>
          </cell>
          <cell r="J135">
            <v>0.81</v>
          </cell>
          <cell r="K135">
            <v>222793.39767999999</v>
          </cell>
          <cell r="L135">
            <v>4455.8679536</v>
          </cell>
          <cell r="M135">
            <v>0</v>
          </cell>
          <cell r="N135">
            <v>383204.64400959999</v>
          </cell>
          <cell r="O135">
            <v>0</v>
          </cell>
          <cell r="P135">
            <v>160411.24632959999</v>
          </cell>
          <cell r="Q135">
            <v>0</v>
          </cell>
        </row>
        <row r="136">
          <cell r="A136">
            <v>2002</v>
          </cell>
          <cell r="B136">
            <v>0</v>
          </cell>
          <cell r="C136" t="str">
            <v xml:space="preserve">Сеница, 20                                                                                                                                                                                                                                    </v>
          </cell>
          <cell r="F136">
            <v>1916</v>
          </cell>
          <cell r="G136">
            <v>10103</v>
          </cell>
          <cell r="H136">
            <v>2</v>
          </cell>
          <cell r="I136">
            <v>258694800</v>
          </cell>
          <cell r="J136">
            <v>0.83</v>
          </cell>
          <cell r="K136">
            <v>213453.59479</v>
          </cell>
          <cell r="L136">
            <v>4269.0718957999998</v>
          </cell>
          <cell r="M136">
            <v>0</v>
          </cell>
          <cell r="N136">
            <v>367140.18303879997</v>
          </cell>
          <cell r="O136">
            <v>0</v>
          </cell>
          <cell r="P136">
            <v>153686.58824879996</v>
          </cell>
          <cell r="Q136">
            <v>0</v>
          </cell>
        </row>
        <row r="137">
          <cell r="A137">
            <v>2002</v>
          </cell>
          <cell r="B137">
            <v>0</v>
          </cell>
          <cell r="C137" t="str">
            <v xml:space="preserve">Сеница, 24                                                                                                                                                                                                                                    </v>
          </cell>
          <cell r="F137">
            <v>1916</v>
          </cell>
          <cell r="G137">
            <v>10103</v>
          </cell>
          <cell r="H137">
            <v>2</v>
          </cell>
          <cell r="I137">
            <v>196801800</v>
          </cell>
          <cell r="J137">
            <v>0.65</v>
          </cell>
          <cell r="K137">
            <v>127657.15214999999</v>
          </cell>
          <cell r="L137">
            <v>2553.143043</v>
          </cell>
          <cell r="M137">
            <v>0</v>
          </cell>
          <cell r="N137">
            <v>219570.301698</v>
          </cell>
          <cell r="O137">
            <v>0</v>
          </cell>
          <cell r="P137">
            <v>91913.149548000001</v>
          </cell>
          <cell r="Q137">
            <v>0</v>
          </cell>
        </row>
        <row r="138">
          <cell r="A138">
            <v>2002</v>
          </cell>
          <cell r="B138">
            <v>0</v>
          </cell>
          <cell r="C138" t="str">
            <v xml:space="preserve">Сеница, 26                                                                                                                                                                                                                                    </v>
          </cell>
          <cell r="F138">
            <v>1916</v>
          </cell>
          <cell r="G138">
            <v>10103</v>
          </cell>
          <cell r="H138">
            <v>2</v>
          </cell>
          <cell r="I138">
            <v>206668800</v>
          </cell>
          <cell r="J138">
            <v>0.62</v>
          </cell>
          <cell r="K138">
            <v>128177.00634000001</v>
          </cell>
          <cell r="L138">
            <v>2563.5401268000001</v>
          </cell>
          <cell r="M138">
            <v>0</v>
          </cell>
          <cell r="N138">
            <v>220464.4509048</v>
          </cell>
          <cell r="O138">
            <v>0</v>
          </cell>
          <cell r="P138">
            <v>92287.444564799996</v>
          </cell>
          <cell r="Q138">
            <v>0</v>
          </cell>
        </row>
        <row r="139">
          <cell r="A139">
            <v>2002</v>
          </cell>
          <cell r="B139">
            <v>0</v>
          </cell>
          <cell r="C139" t="str">
            <v xml:space="preserve">Рев. проспект, 221                                                                                                                                                                                                                            </v>
          </cell>
          <cell r="F139">
            <v>1958</v>
          </cell>
          <cell r="G139">
            <v>10101</v>
          </cell>
          <cell r="H139">
            <v>0.8</v>
          </cell>
          <cell r="I139">
            <v>343640700</v>
          </cell>
          <cell r="J139">
            <v>1.1200000000000001</v>
          </cell>
          <cell r="K139">
            <v>385436.00462000002</v>
          </cell>
          <cell r="L139">
            <v>3083.48803696</v>
          </cell>
          <cell r="M139">
            <v>256.95733641333334</v>
          </cell>
          <cell r="N139">
            <v>135673.47362624001</v>
          </cell>
          <cell r="O139">
            <v>249762.53099376001</v>
          </cell>
          <cell r="P139">
            <v>0</v>
          </cell>
          <cell r="Q139">
            <v>256.95733641333334</v>
          </cell>
        </row>
        <row r="140">
          <cell r="A140">
            <v>2002</v>
          </cell>
          <cell r="B140">
            <v>0</v>
          </cell>
          <cell r="C140" t="str">
            <v xml:space="preserve">Рев. проспект, 231                                                                                                                                                                                                                            </v>
          </cell>
          <cell r="F140">
            <v>1916</v>
          </cell>
          <cell r="G140">
            <v>10101</v>
          </cell>
          <cell r="H140">
            <v>0.8</v>
          </cell>
          <cell r="I140">
            <v>92391000</v>
          </cell>
          <cell r="J140">
            <v>1.08</v>
          </cell>
          <cell r="K140">
            <v>99704.30184</v>
          </cell>
          <cell r="L140">
            <v>797.63441472000011</v>
          </cell>
          <cell r="M140">
            <v>66.469534560000014</v>
          </cell>
          <cell r="N140">
            <v>68596.559665920009</v>
          </cell>
          <cell r="O140">
            <v>31107.742174079991</v>
          </cell>
          <cell r="P140">
            <v>0</v>
          </cell>
          <cell r="Q140">
            <v>66.469534560000014</v>
          </cell>
        </row>
        <row r="141">
          <cell r="A141">
            <v>2002</v>
          </cell>
          <cell r="B141">
            <v>0</v>
          </cell>
          <cell r="C141" t="str">
            <v xml:space="preserve">Рев. проспект, 191                                                                                                                                                                                                                            </v>
          </cell>
          <cell r="F141">
            <v>1969</v>
          </cell>
          <cell r="G141">
            <v>10103</v>
          </cell>
          <cell r="H141">
            <v>2</v>
          </cell>
          <cell r="I141">
            <v>118762800</v>
          </cell>
          <cell r="J141">
            <v>0.93</v>
          </cell>
          <cell r="K141">
            <v>110218.0635</v>
          </cell>
          <cell r="L141">
            <v>2204.3612699999999</v>
          </cell>
          <cell r="M141">
            <v>183.69677249999998</v>
          </cell>
          <cell r="N141">
            <v>72743.92190999999</v>
          </cell>
          <cell r="O141">
            <v>37474.141590000014</v>
          </cell>
          <cell r="P141">
            <v>0</v>
          </cell>
          <cell r="Q141">
            <v>183.69677249999998</v>
          </cell>
        </row>
        <row r="142">
          <cell r="A142">
            <v>2002</v>
          </cell>
          <cell r="B142">
            <v>0</v>
          </cell>
          <cell r="C142" t="str">
            <v xml:space="preserve">Рев. проспект, 196                                                                                                                                                                                                                            </v>
          </cell>
          <cell r="F142">
            <v>1969</v>
          </cell>
          <cell r="G142">
            <v>10103</v>
          </cell>
          <cell r="H142">
            <v>2</v>
          </cell>
          <cell r="I142">
            <v>169084500</v>
          </cell>
          <cell r="J142">
            <v>1.06</v>
          </cell>
          <cell r="K142">
            <v>179131.84964</v>
          </cell>
          <cell r="L142">
            <v>3582.6369927999999</v>
          </cell>
          <cell r="M142">
            <v>298.55308273333333</v>
          </cell>
          <cell r="N142">
            <v>118227.0207624</v>
          </cell>
          <cell r="O142">
            <v>60904.828877599997</v>
          </cell>
          <cell r="P142">
            <v>0</v>
          </cell>
          <cell r="Q142">
            <v>298.55308273333333</v>
          </cell>
        </row>
        <row r="143">
          <cell r="A143">
            <v>2002</v>
          </cell>
          <cell r="B143">
            <v>0</v>
          </cell>
          <cell r="C143" t="str">
            <v xml:space="preserve">Рев. проспект, 209                                                                                                                                                                                                                            </v>
          </cell>
          <cell r="F143">
            <v>1916</v>
          </cell>
          <cell r="G143">
            <v>10103</v>
          </cell>
          <cell r="H143">
            <v>2</v>
          </cell>
          <cell r="I143">
            <v>186316264</v>
          </cell>
          <cell r="J143">
            <v>1.1399999999999999</v>
          </cell>
          <cell r="K143">
            <v>209298.6</v>
          </cell>
          <cell r="L143">
            <v>4185.9719999999998</v>
          </cell>
          <cell r="M143">
            <v>0</v>
          </cell>
          <cell r="N143">
            <v>359993.592</v>
          </cell>
          <cell r="O143">
            <v>0</v>
          </cell>
          <cell r="P143">
            <v>150694.992</v>
          </cell>
          <cell r="Q143">
            <v>0</v>
          </cell>
        </row>
        <row r="144">
          <cell r="A144">
            <v>2002</v>
          </cell>
          <cell r="B144">
            <v>0</v>
          </cell>
          <cell r="C144" t="str">
            <v xml:space="preserve">Рев. проспект, 255                                                                                                                                                                                                                            </v>
          </cell>
          <cell r="F144">
            <v>1965</v>
          </cell>
          <cell r="G144">
            <v>10103</v>
          </cell>
          <cell r="H144">
            <v>2</v>
          </cell>
          <cell r="I144">
            <v>144147900</v>
          </cell>
          <cell r="J144">
            <v>1.23</v>
          </cell>
          <cell r="K144">
            <v>176908.75062999999</v>
          </cell>
          <cell r="L144">
            <v>3538.1750125999997</v>
          </cell>
          <cell r="M144">
            <v>294.84791771666664</v>
          </cell>
          <cell r="N144">
            <v>130912.47546619999</v>
          </cell>
          <cell r="O144">
            <v>45996.275163800005</v>
          </cell>
          <cell r="P144">
            <v>0</v>
          </cell>
          <cell r="Q144">
            <v>294.84791771666664</v>
          </cell>
        </row>
        <row r="145">
          <cell r="A145">
            <v>2002</v>
          </cell>
          <cell r="B145">
            <v>0</v>
          </cell>
          <cell r="C145" t="str">
            <v xml:space="preserve">Рев. проспект, 281                                                                                                                                                                                                                            </v>
          </cell>
          <cell r="F145">
            <v>1916</v>
          </cell>
          <cell r="G145">
            <v>10103</v>
          </cell>
          <cell r="H145">
            <v>2</v>
          </cell>
          <cell r="I145">
            <v>118762800</v>
          </cell>
          <cell r="J145">
            <v>0.87</v>
          </cell>
          <cell r="K145">
            <v>103195.42623</v>
          </cell>
          <cell r="L145">
            <v>2063.9085246</v>
          </cell>
          <cell r="M145">
            <v>0</v>
          </cell>
          <cell r="N145">
            <v>177496.13311560001</v>
          </cell>
          <cell r="O145">
            <v>0</v>
          </cell>
          <cell r="P145">
            <v>74300.706885600011</v>
          </cell>
          <cell r="Q145">
            <v>0</v>
          </cell>
        </row>
        <row r="146">
          <cell r="A146">
            <v>2002</v>
          </cell>
          <cell r="B146">
            <v>0</v>
          </cell>
          <cell r="C146" t="str">
            <v xml:space="preserve">К. Маркса, 174                                                                                                                                                                                                                                </v>
          </cell>
          <cell r="F146">
            <v>1914</v>
          </cell>
          <cell r="G146">
            <v>10103</v>
          </cell>
          <cell r="H146">
            <v>2</v>
          </cell>
          <cell r="I146">
            <v>269100000</v>
          </cell>
          <cell r="J146">
            <v>0.53</v>
          </cell>
          <cell r="K146">
            <v>142703.6361</v>
          </cell>
          <cell r="L146">
            <v>2854.0727219999999</v>
          </cell>
          <cell r="M146">
            <v>0</v>
          </cell>
          <cell r="N146">
            <v>251158.39953599998</v>
          </cell>
          <cell r="O146">
            <v>0</v>
          </cell>
          <cell r="P146">
            <v>108454.76343599998</v>
          </cell>
          <cell r="Q146">
            <v>0</v>
          </cell>
        </row>
        <row r="147">
          <cell r="A147">
            <v>2002</v>
          </cell>
          <cell r="B147">
            <v>0</v>
          </cell>
          <cell r="C147" t="str">
            <v xml:space="preserve">Кутякова, 45                                                                                                                                                                                                                                  </v>
          </cell>
          <cell r="F147">
            <v>1967</v>
          </cell>
          <cell r="G147">
            <v>10101</v>
          </cell>
          <cell r="H147">
            <v>0.8</v>
          </cell>
          <cell r="I147">
            <v>154402942</v>
          </cell>
          <cell r="J147">
            <v>1.35</v>
          </cell>
          <cell r="K147">
            <v>208761.72768000001</v>
          </cell>
          <cell r="L147">
            <v>1670.0938214400003</v>
          </cell>
          <cell r="M147">
            <v>139.17448512000001</v>
          </cell>
          <cell r="N147">
            <v>58453.283750400013</v>
          </cell>
          <cell r="O147">
            <v>150308.44392960001</v>
          </cell>
          <cell r="P147">
            <v>0</v>
          </cell>
          <cell r="Q147">
            <v>139.17448512000001</v>
          </cell>
        </row>
        <row r="148">
          <cell r="A148">
            <v>2002</v>
          </cell>
          <cell r="B148">
            <v>0</v>
          </cell>
          <cell r="C148" t="str">
            <v xml:space="preserve">Красноармейская, 259                                                                                                                                                                                                                          </v>
          </cell>
          <cell r="F148">
            <v>1916</v>
          </cell>
          <cell r="G148">
            <v>10103</v>
          </cell>
          <cell r="H148">
            <v>2</v>
          </cell>
          <cell r="I148">
            <v>271252800</v>
          </cell>
          <cell r="J148">
            <v>0.72</v>
          </cell>
          <cell r="K148">
            <v>196628.19075000001</v>
          </cell>
          <cell r="L148">
            <v>3932.563815</v>
          </cell>
          <cell r="M148">
            <v>0</v>
          </cell>
          <cell r="N148">
            <v>338200.48809</v>
          </cell>
          <cell r="O148">
            <v>0</v>
          </cell>
          <cell r="P148">
            <v>141572.29733999999</v>
          </cell>
          <cell r="Q148">
            <v>0</v>
          </cell>
        </row>
        <row r="149">
          <cell r="A149">
            <v>2002</v>
          </cell>
          <cell r="B149">
            <v>0</v>
          </cell>
          <cell r="C149" t="str">
            <v xml:space="preserve">Пушкинская, 282                                                                                                                                                                                                                               </v>
          </cell>
          <cell r="F149">
            <v>1906</v>
          </cell>
          <cell r="G149">
            <v>10103</v>
          </cell>
          <cell r="H149">
            <v>2</v>
          </cell>
          <cell r="I149">
            <v>63328200</v>
          </cell>
          <cell r="J149">
            <v>0.9</v>
          </cell>
          <cell r="K149">
            <v>56902.894800000002</v>
          </cell>
          <cell r="L149">
            <v>1138.057896</v>
          </cell>
          <cell r="M149">
            <v>0</v>
          </cell>
          <cell r="N149">
            <v>109253.558016</v>
          </cell>
          <cell r="O149">
            <v>0</v>
          </cell>
          <cell r="P149">
            <v>52350.663215999994</v>
          </cell>
          <cell r="Q149">
            <v>0</v>
          </cell>
        </row>
        <row r="150">
          <cell r="A150">
            <v>2002</v>
          </cell>
          <cell r="B150">
            <v>0</v>
          </cell>
          <cell r="C150" t="str">
            <v xml:space="preserve">Пушкинская, 304                                                                                                                                                                                                                               </v>
          </cell>
          <cell r="F150">
            <v>1962</v>
          </cell>
          <cell r="G150">
            <v>10103</v>
          </cell>
          <cell r="H150">
            <v>2</v>
          </cell>
          <cell r="I150">
            <v>136792500</v>
          </cell>
          <cell r="J150">
            <v>0.83</v>
          </cell>
          <cell r="K150">
            <v>113607.39</v>
          </cell>
          <cell r="L150">
            <v>2272.1478000000002</v>
          </cell>
          <cell r="M150">
            <v>189.34565000000001</v>
          </cell>
          <cell r="N150">
            <v>90885.912000000011</v>
          </cell>
          <cell r="O150">
            <v>22721.477999999988</v>
          </cell>
          <cell r="P150">
            <v>0</v>
          </cell>
          <cell r="Q150">
            <v>189.34565000000001</v>
          </cell>
        </row>
        <row r="151">
          <cell r="A151">
            <v>2002</v>
          </cell>
          <cell r="B151">
            <v>0</v>
          </cell>
          <cell r="C151" t="str">
            <v xml:space="preserve">Пушкинская, 250                                                                                                                                                                                                                               </v>
          </cell>
          <cell r="F151">
            <v>1916</v>
          </cell>
          <cell r="G151">
            <v>10103</v>
          </cell>
          <cell r="H151">
            <v>2</v>
          </cell>
          <cell r="I151">
            <v>93198300</v>
          </cell>
          <cell r="J151">
            <v>0.3</v>
          </cell>
          <cell r="K151">
            <v>28011.93088</v>
          </cell>
          <cell r="L151">
            <v>560.2386176</v>
          </cell>
          <cell r="M151">
            <v>0</v>
          </cell>
          <cell r="N151">
            <v>48180.5211136</v>
          </cell>
          <cell r="O151">
            <v>0</v>
          </cell>
          <cell r="P151">
            <v>20168.5902336</v>
          </cell>
          <cell r="Q151">
            <v>0</v>
          </cell>
        </row>
        <row r="152">
          <cell r="A152">
            <v>2002</v>
          </cell>
          <cell r="B152">
            <v>0</v>
          </cell>
          <cell r="C152" t="str">
            <v xml:space="preserve">Набережная, 202                                                                                                                                                                                                                               </v>
          </cell>
          <cell r="F152">
            <v>1907</v>
          </cell>
          <cell r="G152">
            <v>10103</v>
          </cell>
          <cell r="H152">
            <v>2</v>
          </cell>
          <cell r="I152">
            <v>78756600</v>
          </cell>
          <cell r="J152">
            <v>0.82</v>
          </cell>
          <cell r="K152">
            <v>64522.85658</v>
          </cell>
          <cell r="L152">
            <v>1290.4571315999999</v>
          </cell>
          <cell r="M152">
            <v>0</v>
          </cell>
          <cell r="N152">
            <v>122593.42750199999</v>
          </cell>
          <cell r="O152">
            <v>0</v>
          </cell>
          <cell r="P152">
            <v>58070.570921999992</v>
          </cell>
          <cell r="Q152">
            <v>0</v>
          </cell>
        </row>
        <row r="153">
          <cell r="A153">
            <v>2002</v>
          </cell>
          <cell r="B153">
            <v>0</v>
          </cell>
          <cell r="C153" t="str">
            <v xml:space="preserve">Интернациональная, 23                                                                                                                                                                                                                         </v>
          </cell>
          <cell r="F153">
            <v>1916</v>
          </cell>
          <cell r="G153">
            <v>10103</v>
          </cell>
          <cell r="H153">
            <v>2</v>
          </cell>
          <cell r="I153">
            <v>78936000</v>
          </cell>
          <cell r="J153">
            <v>0.74</v>
          </cell>
          <cell r="K153">
            <v>58379.869599999998</v>
          </cell>
          <cell r="L153">
            <v>1167.5973919999999</v>
          </cell>
          <cell r="M153">
            <v>0</v>
          </cell>
          <cell r="N153">
            <v>100413.37571199999</v>
          </cell>
          <cell r="O153">
            <v>0</v>
          </cell>
          <cell r="P153">
            <v>42033.506111999995</v>
          </cell>
          <cell r="Q153">
            <v>0</v>
          </cell>
        </row>
        <row r="154">
          <cell r="A154">
            <v>2002</v>
          </cell>
          <cell r="B154">
            <v>0</v>
          </cell>
          <cell r="C154" t="str">
            <v xml:space="preserve">К. Маркса, 294                                                                                                                                                                                                                                </v>
          </cell>
          <cell r="F154">
            <v>1976</v>
          </cell>
          <cell r="G154">
            <v>10101</v>
          </cell>
          <cell r="H154">
            <v>0.8</v>
          </cell>
          <cell r="I154">
            <v>138972210</v>
          </cell>
          <cell r="J154">
            <v>0.59</v>
          </cell>
          <cell r="K154">
            <v>82418.972880000001</v>
          </cell>
          <cell r="L154">
            <v>659.35178303999999</v>
          </cell>
          <cell r="M154">
            <v>54.945981920000001</v>
          </cell>
          <cell r="N154">
            <v>17143.146359039998</v>
          </cell>
          <cell r="O154">
            <v>65275.826520960007</v>
          </cell>
          <cell r="P154">
            <v>0</v>
          </cell>
          <cell r="Q154">
            <v>54.945981920000001</v>
          </cell>
        </row>
        <row r="155">
          <cell r="A155">
            <v>2002</v>
          </cell>
          <cell r="B155">
            <v>0</v>
          </cell>
          <cell r="C155" t="str">
            <v xml:space="preserve">Вольская, 10/4                                                                                                                                                                                                                                </v>
          </cell>
          <cell r="F155">
            <v>1976</v>
          </cell>
          <cell r="G155">
            <v>10101</v>
          </cell>
          <cell r="H155">
            <v>0.8</v>
          </cell>
          <cell r="I155">
            <v>197340000</v>
          </cell>
          <cell r="J155">
            <v>0.68</v>
          </cell>
          <cell r="K155">
            <v>134821.18849999999</v>
          </cell>
          <cell r="L155">
            <v>1078.5695079999998</v>
          </cell>
          <cell r="M155">
            <v>89.880792333333318</v>
          </cell>
          <cell r="N155">
            <v>28042.807207999995</v>
          </cell>
          <cell r="O155">
            <v>106778.38129199999</v>
          </cell>
          <cell r="P155">
            <v>0</v>
          </cell>
          <cell r="Q155">
            <v>89.880792333333318</v>
          </cell>
        </row>
        <row r="156">
          <cell r="A156">
            <v>2002</v>
          </cell>
          <cell r="B156">
            <v>0</v>
          </cell>
          <cell r="C156" t="str">
            <v xml:space="preserve">К. Маркса, 57/1                                                                                                                                                                                                                               </v>
          </cell>
          <cell r="F156">
            <v>1987</v>
          </cell>
          <cell r="G156">
            <v>10101</v>
          </cell>
          <cell r="H156">
            <v>0.8</v>
          </cell>
          <cell r="I156">
            <v>197340000</v>
          </cell>
          <cell r="J156">
            <v>1.02</v>
          </cell>
          <cell r="K156">
            <v>200945.72820000001</v>
          </cell>
          <cell r="L156">
            <v>1607.5658256000002</v>
          </cell>
          <cell r="M156">
            <v>133.96381880000001</v>
          </cell>
          <cell r="N156">
            <v>24113.487384000004</v>
          </cell>
          <cell r="O156">
            <v>176832.240816</v>
          </cell>
          <cell r="P156">
            <v>0</v>
          </cell>
          <cell r="Q156">
            <v>133.96381880000001</v>
          </cell>
        </row>
        <row r="157">
          <cell r="A157">
            <v>2002</v>
          </cell>
          <cell r="B157">
            <v>0</v>
          </cell>
          <cell r="C157" t="str">
            <v xml:space="preserve">Целинная, 12                                                                                                                                                                                                                                  </v>
          </cell>
          <cell r="F157">
            <v>1987</v>
          </cell>
          <cell r="G157">
            <v>10101</v>
          </cell>
          <cell r="H157">
            <v>0.8</v>
          </cell>
          <cell r="I157">
            <v>338169000</v>
          </cell>
          <cell r="J157">
            <v>0.55000000000000004</v>
          </cell>
          <cell r="K157">
            <v>186130.64360000001</v>
          </cell>
          <cell r="L157">
            <v>1489.0451488000001</v>
          </cell>
          <cell r="M157">
            <v>124.08709573333334</v>
          </cell>
          <cell r="N157">
            <v>22335.677232000002</v>
          </cell>
          <cell r="O157">
            <v>163794.96636800002</v>
          </cell>
          <cell r="P157">
            <v>0</v>
          </cell>
          <cell r="Q157">
            <v>124.08709573333334</v>
          </cell>
        </row>
        <row r="158">
          <cell r="A158">
            <v>2002</v>
          </cell>
          <cell r="B158">
            <v>0</v>
          </cell>
          <cell r="C158" t="str">
            <v xml:space="preserve">Целинная, 14                                                                                                                                                                                                                                  </v>
          </cell>
          <cell r="F158">
            <v>1977</v>
          </cell>
          <cell r="G158">
            <v>10101</v>
          </cell>
          <cell r="H158">
            <v>0.8</v>
          </cell>
          <cell r="I158">
            <v>543582000</v>
          </cell>
          <cell r="J158">
            <v>0.35</v>
          </cell>
          <cell r="K158">
            <v>191769.74669999999</v>
          </cell>
          <cell r="L158">
            <v>1534.1579735999999</v>
          </cell>
          <cell r="M158">
            <v>127.84649779999999</v>
          </cell>
          <cell r="N158">
            <v>38353.949339999999</v>
          </cell>
          <cell r="O158">
            <v>153415.79736</v>
          </cell>
          <cell r="P158">
            <v>0</v>
          </cell>
          <cell r="Q158">
            <v>127.84649779999999</v>
          </cell>
        </row>
        <row r="159">
          <cell r="A159">
            <v>2002</v>
          </cell>
          <cell r="B159">
            <v>0</v>
          </cell>
          <cell r="C159" t="str">
            <v xml:space="preserve">Целинная, 16                                                                                                                                                                                                                                  </v>
          </cell>
          <cell r="F159">
            <v>1977</v>
          </cell>
          <cell r="G159">
            <v>10101</v>
          </cell>
          <cell r="H159">
            <v>0.8</v>
          </cell>
          <cell r="I159">
            <v>350054250</v>
          </cell>
          <cell r="J159">
            <v>0.52</v>
          </cell>
          <cell r="K159">
            <v>180775.10219999999</v>
          </cell>
          <cell r="L159">
            <v>1446.2008175999999</v>
          </cell>
          <cell r="M159">
            <v>120.51673479999999</v>
          </cell>
          <cell r="N159">
            <v>36155.02044</v>
          </cell>
          <cell r="O159">
            <v>144620.08176</v>
          </cell>
          <cell r="P159">
            <v>0</v>
          </cell>
          <cell r="Q159">
            <v>120.51673479999999</v>
          </cell>
        </row>
        <row r="160">
          <cell r="A160">
            <v>2002</v>
          </cell>
          <cell r="B160">
            <v>0</v>
          </cell>
          <cell r="C160" t="str">
            <v xml:space="preserve">Целинная, 18                                                                                                                                                                                                                                  </v>
          </cell>
          <cell r="F160">
            <v>1986</v>
          </cell>
          <cell r="G160">
            <v>10101</v>
          </cell>
          <cell r="H160">
            <v>0.8</v>
          </cell>
          <cell r="I160">
            <v>350054250</v>
          </cell>
          <cell r="J160">
            <v>0.53</v>
          </cell>
          <cell r="K160">
            <v>185356.63649999999</v>
          </cell>
          <cell r="L160">
            <v>1482.8530919999998</v>
          </cell>
          <cell r="M160">
            <v>123.57109099999998</v>
          </cell>
          <cell r="N160">
            <v>23725.649471999997</v>
          </cell>
          <cell r="O160">
            <v>161630.987028</v>
          </cell>
          <cell r="P160">
            <v>0</v>
          </cell>
          <cell r="Q160">
            <v>123.57109099999998</v>
          </cell>
        </row>
        <row r="161">
          <cell r="A161">
            <v>2002</v>
          </cell>
          <cell r="B161">
            <v>0</v>
          </cell>
          <cell r="C161" t="str">
            <v xml:space="preserve">Целинная, 20                                                                                                                                                                                                                                  </v>
          </cell>
          <cell r="F161">
            <v>1987</v>
          </cell>
          <cell r="G161">
            <v>10101</v>
          </cell>
          <cell r="H161">
            <v>0.8</v>
          </cell>
          <cell r="I161">
            <v>350054250</v>
          </cell>
          <cell r="J161">
            <v>0.53</v>
          </cell>
          <cell r="K161">
            <v>184620.60750000001</v>
          </cell>
          <cell r="L161">
            <v>1476.96486</v>
          </cell>
          <cell r="M161">
            <v>123.080405</v>
          </cell>
          <cell r="N161">
            <v>22154.472900000001</v>
          </cell>
          <cell r="O161">
            <v>162466.13460000002</v>
          </cell>
          <cell r="P161">
            <v>0</v>
          </cell>
          <cell r="Q161">
            <v>123.080405</v>
          </cell>
        </row>
        <row r="162">
          <cell r="A162">
            <v>2002</v>
          </cell>
          <cell r="B162">
            <v>0</v>
          </cell>
          <cell r="C162" t="str">
            <v xml:space="preserve">Целинная, 22                                                                                                                                                                                                                                  </v>
          </cell>
          <cell r="F162">
            <v>1987</v>
          </cell>
          <cell r="G162">
            <v>10101</v>
          </cell>
          <cell r="H162">
            <v>0.8</v>
          </cell>
          <cell r="I162">
            <v>350054250</v>
          </cell>
          <cell r="J162">
            <v>0.55000000000000004</v>
          </cell>
          <cell r="K162">
            <v>191612.883</v>
          </cell>
          <cell r="L162">
            <v>1532.9030640000001</v>
          </cell>
          <cell r="M162">
            <v>127.741922</v>
          </cell>
          <cell r="N162">
            <v>22993.545960000003</v>
          </cell>
          <cell r="O162">
            <v>168619.33704000001</v>
          </cell>
          <cell r="P162">
            <v>0</v>
          </cell>
          <cell r="Q162">
            <v>127.741922</v>
          </cell>
        </row>
        <row r="163">
          <cell r="A163">
            <v>2002</v>
          </cell>
          <cell r="B163">
            <v>0</v>
          </cell>
          <cell r="C163" t="str">
            <v xml:space="preserve">Целинная, 24                                                                                                                                                                                                                                  </v>
          </cell>
          <cell r="F163">
            <v>1986</v>
          </cell>
          <cell r="G163">
            <v>10101</v>
          </cell>
          <cell r="H163">
            <v>0.8</v>
          </cell>
          <cell r="I163">
            <v>350054250</v>
          </cell>
          <cell r="J163">
            <v>0.56999999999999995</v>
          </cell>
          <cell r="K163">
            <v>198727.83</v>
          </cell>
          <cell r="L163">
            <v>1589.8226399999999</v>
          </cell>
          <cell r="M163">
            <v>132.48522</v>
          </cell>
          <cell r="N163">
            <v>25437.162239999998</v>
          </cell>
          <cell r="O163">
            <v>173290.66775999998</v>
          </cell>
          <cell r="P163">
            <v>0</v>
          </cell>
          <cell r="Q163">
            <v>132.48522</v>
          </cell>
        </row>
        <row r="164">
          <cell r="A164">
            <v>2002</v>
          </cell>
          <cell r="B164">
            <v>0</v>
          </cell>
          <cell r="C164" t="str">
            <v xml:space="preserve">Целинная, 26                                                                                                                                                                                                                                  </v>
          </cell>
          <cell r="F164">
            <v>1987</v>
          </cell>
          <cell r="G164">
            <v>10101</v>
          </cell>
          <cell r="H164">
            <v>0.8</v>
          </cell>
          <cell r="I164">
            <v>350054250</v>
          </cell>
          <cell r="J164">
            <v>0.56999999999999995</v>
          </cell>
          <cell r="K164">
            <v>200077.21650000001</v>
          </cell>
          <cell r="L164">
            <v>1600.6177320000002</v>
          </cell>
          <cell r="M164">
            <v>133.38481100000001</v>
          </cell>
          <cell r="N164">
            <v>24009.265980000004</v>
          </cell>
          <cell r="O164">
            <v>176067.95052000001</v>
          </cell>
          <cell r="P164">
            <v>0</v>
          </cell>
          <cell r="Q164">
            <v>133.38481100000001</v>
          </cell>
        </row>
        <row r="165">
          <cell r="A165">
            <v>2002</v>
          </cell>
          <cell r="B165">
            <v>0</v>
          </cell>
          <cell r="C165" t="str">
            <v xml:space="preserve">Целинная, 28                                                                                                                                                                                                                                  </v>
          </cell>
          <cell r="F165">
            <v>1986</v>
          </cell>
          <cell r="G165">
            <v>10101</v>
          </cell>
          <cell r="H165">
            <v>0.8</v>
          </cell>
          <cell r="I165">
            <v>350054250</v>
          </cell>
          <cell r="J165">
            <v>0.56000000000000005</v>
          </cell>
          <cell r="K165">
            <v>196887.75750000001</v>
          </cell>
          <cell r="L165">
            <v>1575.1020600000002</v>
          </cell>
          <cell r="M165">
            <v>131.25850500000001</v>
          </cell>
          <cell r="N165">
            <v>25201.632960000003</v>
          </cell>
          <cell r="O165">
            <v>171686.12453999999</v>
          </cell>
          <cell r="P165">
            <v>0</v>
          </cell>
          <cell r="Q165">
            <v>131.25850500000001</v>
          </cell>
        </row>
        <row r="166">
          <cell r="A166">
            <v>2002</v>
          </cell>
          <cell r="B166">
            <v>0</v>
          </cell>
          <cell r="C166" t="str">
            <v xml:space="preserve">Целинная, 30                                                                                                                                                                                                                                  </v>
          </cell>
          <cell r="F166">
            <v>1986</v>
          </cell>
          <cell r="G166">
            <v>10101</v>
          </cell>
          <cell r="H166">
            <v>0.8</v>
          </cell>
          <cell r="I166">
            <v>350054250</v>
          </cell>
          <cell r="J166">
            <v>0.56999999999999995</v>
          </cell>
          <cell r="K166">
            <v>199709.20199999999</v>
          </cell>
          <cell r="L166">
            <v>1597.673616</v>
          </cell>
          <cell r="M166">
            <v>133.13946799999999</v>
          </cell>
          <cell r="N166">
            <v>25562.777856000001</v>
          </cell>
          <cell r="O166">
            <v>174146.42414399999</v>
          </cell>
          <cell r="P166">
            <v>0</v>
          </cell>
          <cell r="Q166">
            <v>133.13946799999999</v>
          </cell>
        </row>
        <row r="167">
          <cell r="A167">
            <v>2002</v>
          </cell>
          <cell r="B167">
            <v>0</v>
          </cell>
          <cell r="C167" t="str">
            <v xml:space="preserve">Целинная, 32                                                                                                                                                                                                                                  </v>
          </cell>
          <cell r="F167">
            <v>1989</v>
          </cell>
          <cell r="G167">
            <v>10101</v>
          </cell>
          <cell r="H167">
            <v>0.8</v>
          </cell>
          <cell r="I167">
            <v>543582000</v>
          </cell>
          <cell r="J167">
            <v>0.38</v>
          </cell>
          <cell r="K167">
            <v>205106.74799999999</v>
          </cell>
          <cell r="L167">
            <v>1640.8539840000001</v>
          </cell>
          <cell r="M167">
            <v>136.737832</v>
          </cell>
          <cell r="N167">
            <v>21331.101792000001</v>
          </cell>
          <cell r="O167">
            <v>183775.64620799999</v>
          </cell>
          <cell r="P167">
            <v>0</v>
          </cell>
          <cell r="Q167">
            <v>136.737832</v>
          </cell>
        </row>
        <row r="168">
          <cell r="A168">
            <v>2002</v>
          </cell>
          <cell r="B168">
            <v>0</v>
          </cell>
          <cell r="C168" t="str">
            <v xml:space="preserve">Заводская, 45                                                                                                                                                                                                                                 </v>
          </cell>
          <cell r="F168">
            <v>1967</v>
          </cell>
          <cell r="G168">
            <v>10101</v>
          </cell>
          <cell r="H168">
            <v>0.8</v>
          </cell>
          <cell r="I168">
            <v>134926740</v>
          </cell>
          <cell r="J168">
            <v>0.83</v>
          </cell>
          <cell r="K168">
            <v>112121.7549</v>
          </cell>
          <cell r="L168">
            <v>896.97403920000011</v>
          </cell>
          <cell r="M168">
            <v>74.747836600000014</v>
          </cell>
          <cell r="N168">
            <v>31394.091372000003</v>
          </cell>
          <cell r="O168">
            <v>80727.663528000005</v>
          </cell>
          <cell r="P168">
            <v>0</v>
          </cell>
          <cell r="Q168">
            <v>74.747836600000014</v>
          </cell>
        </row>
        <row r="169">
          <cell r="A169">
            <v>2002</v>
          </cell>
          <cell r="B169">
            <v>0</v>
          </cell>
          <cell r="C169" t="str">
            <v xml:space="preserve">Кутякова, 68                                                                                                                                                                                                                                  </v>
          </cell>
          <cell r="F169">
            <v>1977</v>
          </cell>
          <cell r="G169">
            <v>10101</v>
          </cell>
          <cell r="H169">
            <v>0.8</v>
          </cell>
          <cell r="I169">
            <v>7488227760</v>
          </cell>
          <cell r="J169">
            <v>0.59</v>
          </cell>
          <cell r="K169">
            <v>4407546.3137999997</v>
          </cell>
          <cell r="L169">
            <v>35260.370510399996</v>
          </cell>
          <cell r="M169">
            <v>2938.3642091999996</v>
          </cell>
          <cell r="N169">
            <v>881509.26275999995</v>
          </cell>
          <cell r="O169">
            <v>3526037.0510399998</v>
          </cell>
          <cell r="P169">
            <v>0</v>
          </cell>
          <cell r="Q169">
            <v>2938.3642091999996</v>
          </cell>
        </row>
        <row r="170">
          <cell r="A170">
            <v>2002</v>
          </cell>
          <cell r="B170">
            <v>0</v>
          </cell>
          <cell r="C170" t="str">
            <v xml:space="preserve">Кутякова, 66                                                                                                                                                                                                                                  </v>
          </cell>
          <cell r="F170">
            <v>1979</v>
          </cell>
          <cell r="G170">
            <v>10101</v>
          </cell>
          <cell r="H170">
            <v>0.8</v>
          </cell>
          <cell r="I170">
            <v>7951375770</v>
          </cell>
          <cell r="J170">
            <v>0.5</v>
          </cell>
          <cell r="K170">
            <v>3893721.76</v>
          </cell>
          <cell r="L170">
            <v>31149.774079999999</v>
          </cell>
          <cell r="M170">
            <v>2595.8145066666666</v>
          </cell>
          <cell r="N170">
            <v>716444.80383999995</v>
          </cell>
          <cell r="O170">
            <v>3177276.9561599996</v>
          </cell>
          <cell r="P170">
            <v>0</v>
          </cell>
          <cell r="Q170">
            <v>2595.8145066666666</v>
          </cell>
        </row>
        <row r="171">
          <cell r="A171">
            <v>2002</v>
          </cell>
          <cell r="B171">
            <v>0</v>
          </cell>
          <cell r="C171" t="str">
            <v xml:space="preserve">Ермощенко, 181                                                                                                                                                                                                                                </v>
          </cell>
          <cell r="F171">
            <v>1977</v>
          </cell>
          <cell r="G171">
            <v>10101</v>
          </cell>
          <cell r="H171">
            <v>0.8</v>
          </cell>
          <cell r="I171">
            <v>6539444363</v>
          </cell>
          <cell r="J171">
            <v>0.6</v>
          </cell>
          <cell r="K171">
            <v>3944181.3396899998</v>
          </cell>
          <cell r="L171">
            <v>31553.450717520001</v>
          </cell>
          <cell r="M171">
            <v>2629.45422646</v>
          </cell>
          <cell r="N171">
            <v>788836.26793800003</v>
          </cell>
          <cell r="O171">
            <v>3155345.0717519997</v>
          </cell>
          <cell r="P171">
            <v>0</v>
          </cell>
          <cell r="Q171">
            <v>2629.45422646</v>
          </cell>
        </row>
        <row r="172">
          <cell r="A172">
            <v>2002</v>
          </cell>
          <cell r="B172">
            <v>0</v>
          </cell>
          <cell r="C172" t="str">
            <v xml:space="preserve">Ермощенко, 181/1                                                                                                                                                                                                                              </v>
          </cell>
          <cell r="F172">
            <v>1979</v>
          </cell>
          <cell r="G172">
            <v>10101</v>
          </cell>
          <cell r="H172">
            <v>0.8</v>
          </cell>
          <cell r="I172">
            <v>5156323770</v>
          </cell>
          <cell r="J172">
            <v>0.67</v>
          </cell>
          <cell r="K172">
            <v>3457412.83384</v>
          </cell>
          <cell r="L172">
            <v>27659.302670720001</v>
          </cell>
          <cell r="M172">
            <v>2304.9418892266667</v>
          </cell>
          <cell r="N172">
            <v>636163.96142656007</v>
          </cell>
          <cell r="O172">
            <v>2821248.8724134397</v>
          </cell>
          <cell r="P172">
            <v>0</v>
          </cell>
          <cell r="Q172">
            <v>2304.9418892266667</v>
          </cell>
        </row>
        <row r="173">
          <cell r="A173">
            <v>2002</v>
          </cell>
          <cell r="B173">
            <v>0</v>
          </cell>
          <cell r="C173" t="str">
            <v xml:space="preserve">Ермощенко, 185/1                                                                                                                                                                                                                              </v>
          </cell>
          <cell r="F173">
            <v>1979</v>
          </cell>
          <cell r="G173">
            <v>10101</v>
          </cell>
          <cell r="H173">
            <v>0.8</v>
          </cell>
          <cell r="I173">
            <v>6290661000</v>
          </cell>
          <cell r="J173">
            <v>0.55000000000000004</v>
          </cell>
          <cell r="K173">
            <v>3448322.3531200001</v>
          </cell>
          <cell r="L173">
            <v>27586.578824960001</v>
          </cell>
          <cell r="M173">
            <v>2298.8815687466667</v>
          </cell>
          <cell r="N173">
            <v>634491.31297407998</v>
          </cell>
          <cell r="O173">
            <v>2813831.0401459201</v>
          </cell>
          <cell r="P173">
            <v>0</v>
          </cell>
          <cell r="Q173">
            <v>2298.8815687466667</v>
          </cell>
        </row>
        <row r="174">
          <cell r="A174">
            <v>2002</v>
          </cell>
          <cell r="B174">
            <v>0</v>
          </cell>
          <cell r="C174" t="str">
            <v xml:space="preserve">Ермощенко, 187/1                                                                                                                                                                                                                              </v>
          </cell>
          <cell r="F174">
            <v>1979</v>
          </cell>
          <cell r="G174">
            <v>10101</v>
          </cell>
          <cell r="H174">
            <v>0.8</v>
          </cell>
          <cell r="I174">
            <v>8283406320</v>
          </cell>
          <cell r="J174">
            <v>0.41</v>
          </cell>
          <cell r="K174">
            <v>3365536.5929200002</v>
          </cell>
          <cell r="L174">
            <v>26924.292743360005</v>
          </cell>
          <cell r="M174">
            <v>2243.6910619466671</v>
          </cell>
          <cell r="N174">
            <v>619258.73309728014</v>
          </cell>
          <cell r="O174">
            <v>2746277.8598227203</v>
          </cell>
          <cell r="P174">
            <v>0</v>
          </cell>
          <cell r="Q174">
            <v>2243.6910619466671</v>
          </cell>
        </row>
        <row r="175">
          <cell r="A175">
            <v>2002</v>
          </cell>
          <cell r="B175">
            <v>0</v>
          </cell>
          <cell r="C175" t="str">
            <v xml:space="preserve">Ермощенко, 183/1                                                                                                                                                                                                                              </v>
          </cell>
          <cell r="F175">
            <v>1979</v>
          </cell>
          <cell r="G175">
            <v>10101</v>
          </cell>
          <cell r="H175">
            <v>0.8</v>
          </cell>
          <cell r="I175">
            <v>6331384800</v>
          </cell>
          <cell r="J175">
            <v>0.54</v>
          </cell>
          <cell r="K175">
            <v>3401684.62213</v>
          </cell>
          <cell r="L175">
            <v>27213.476977040005</v>
          </cell>
          <cell r="M175">
            <v>2267.7897480866673</v>
          </cell>
          <cell r="N175">
            <v>625909.9704719201</v>
          </cell>
          <cell r="O175">
            <v>2775774.6516580801</v>
          </cell>
          <cell r="P175">
            <v>0</v>
          </cell>
          <cell r="Q175">
            <v>2267.7897480866673</v>
          </cell>
        </row>
        <row r="176">
          <cell r="A176">
            <v>2002</v>
          </cell>
          <cell r="B176">
            <v>0</v>
          </cell>
          <cell r="C176" t="str">
            <v xml:space="preserve">Октябрьская, 99                                                                                                                                                                                                                               </v>
          </cell>
          <cell r="F176">
            <v>1989</v>
          </cell>
          <cell r="G176">
            <v>10101</v>
          </cell>
          <cell r="H176">
            <v>0.8</v>
          </cell>
          <cell r="I176">
            <v>8419896993</v>
          </cell>
          <cell r="J176">
            <v>0.44</v>
          </cell>
          <cell r="K176">
            <v>3682470.54</v>
          </cell>
          <cell r="L176">
            <v>29459.764320000002</v>
          </cell>
          <cell r="M176">
            <v>2454.98036</v>
          </cell>
          <cell r="N176">
            <v>382976.93616000004</v>
          </cell>
          <cell r="O176">
            <v>3299493.60384</v>
          </cell>
          <cell r="P176">
            <v>0</v>
          </cell>
          <cell r="Q176">
            <v>2454.98036</v>
          </cell>
        </row>
        <row r="177">
          <cell r="A177">
            <v>2002</v>
          </cell>
          <cell r="B177">
            <v>0</v>
          </cell>
          <cell r="C177" t="str">
            <v xml:space="preserve">1-ый Микрорайон, 10                                                                                                                                                                                                                           </v>
          </cell>
          <cell r="F177">
            <v>1971</v>
          </cell>
          <cell r="G177">
            <v>10101</v>
          </cell>
          <cell r="H177">
            <v>0.8</v>
          </cell>
          <cell r="I177">
            <v>1105678080</v>
          </cell>
          <cell r="J177">
            <v>0.85</v>
          </cell>
          <cell r="K177">
            <v>942893.02040000004</v>
          </cell>
          <cell r="L177">
            <v>7543.1441632000005</v>
          </cell>
          <cell r="M177">
            <v>628.59534693333342</v>
          </cell>
          <cell r="N177">
            <v>233837.46905920003</v>
          </cell>
          <cell r="O177">
            <v>709055.55134080001</v>
          </cell>
          <cell r="P177">
            <v>0</v>
          </cell>
          <cell r="Q177">
            <v>628.59534693333342</v>
          </cell>
        </row>
        <row r="178">
          <cell r="A178">
            <v>2002</v>
          </cell>
          <cell r="B178">
            <v>0</v>
          </cell>
          <cell r="C178" t="str">
            <v xml:space="preserve">1-ый Микрорайон, 12                                                                                                                                                                                                                           </v>
          </cell>
          <cell r="F178">
            <v>1972</v>
          </cell>
          <cell r="G178">
            <v>10101</v>
          </cell>
          <cell r="H178">
            <v>0.8</v>
          </cell>
          <cell r="I178">
            <v>932880000</v>
          </cell>
          <cell r="J178">
            <v>0.98</v>
          </cell>
          <cell r="K178">
            <v>833000.16</v>
          </cell>
          <cell r="L178">
            <v>6664.0012800000004</v>
          </cell>
          <cell r="M178">
            <v>555.33344</v>
          </cell>
          <cell r="N178">
            <v>199920.03840000002</v>
          </cell>
          <cell r="O178">
            <v>633080.12159999995</v>
          </cell>
          <cell r="P178">
            <v>0</v>
          </cell>
          <cell r="Q178">
            <v>555.33344</v>
          </cell>
        </row>
        <row r="179">
          <cell r="A179">
            <v>2002</v>
          </cell>
          <cell r="B179">
            <v>0</v>
          </cell>
          <cell r="C179" t="str">
            <v xml:space="preserve">1-ый Микрорайон, 14                                                                                                                                                                                                                           </v>
          </cell>
          <cell r="F179">
            <v>1974</v>
          </cell>
          <cell r="G179">
            <v>10101</v>
          </cell>
          <cell r="H179">
            <v>0.8</v>
          </cell>
          <cell r="I179">
            <v>1055607540</v>
          </cell>
          <cell r="J179">
            <v>0.92</v>
          </cell>
          <cell r="K179">
            <v>970464.82617000001</v>
          </cell>
          <cell r="L179">
            <v>7763.7186093600003</v>
          </cell>
          <cell r="M179">
            <v>646.97655078000003</v>
          </cell>
          <cell r="N179">
            <v>217384.12106208</v>
          </cell>
          <cell r="O179">
            <v>753080.70510791999</v>
          </cell>
          <cell r="P179">
            <v>0</v>
          </cell>
          <cell r="Q179">
            <v>646.97655078000003</v>
          </cell>
        </row>
        <row r="180">
          <cell r="A180">
            <v>2002</v>
          </cell>
          <cell r="B180">
            <v>0</v>
          </cell>
          <cell r="C180" t="str">
            <v xml:space="preserve">1-ый Микрорайон, 16                                                                                                                                                                                                                           </v>
          </cell>
          <cell r="F180">
            <v>1978</v>
          </cell>
          <cell r="G180">
            <v>10101</v>
          </cell>
          <cell r="H180">
            <v>0.8</v>
          </cell>
          <cell r="I180">
            <v>1009125000</v>
          </cell>
          <cell r="J180">
            <v>1.04</v>
          </cell>
          <cell r="K180">
            <v>1054413.3489600001</v>
          </cell>
          <cell r="L180">
            <v>8435.306791680001</v>
          </cell>
          <cell r="M180">
            <v>702.94223264000004</v>
          </cell>
          <cell r="N180">
            <v>202447.36300032004</v>
          </cell>
          <cell r="O180">
            <v>851965.98595968005</v>
          </cell>
          <cell r="P180">
            <v>0</v>
          </cell>
          <cell r="Q180">
            <v>702.94223264000004</v>
          </cell>
        </row>
        <row r="181">
          <cell r="A181">
            <v>2002</v>
          </cell>
          <cell r="B181">
            <v>0</v>
          </cell>
          <cell r="C181" t="str">
            <v xml:space="preserve">1-ый Микрорайон, 18                                                                                                                                                                                                                           </v>
          </cell>
          <cell r="F181">
            <v>1976</v>
          </cell>
          <cell r="G181">
            <v>10101</v>
          </cell>
          <cell r="H181">
            <v>0.8</v>
          </cell>
          <cell r="I181">
            <v>1133897700</v>
          </cell>
          <cell r="J181">
            <v>0.92</v>
          </cell>
          <cell r="K181">
            <v>1040340.80313</v>
          </cell>
          <cell r="L181">
            <v>8322.7264250400003</v>
          </cell>
          <cell r="M181">
            <v>693.56053542000006</v>
          </cell>
          <cell r="N181">
            <v>216390.88705104002</v>
          </cell>
          <cell r="O181">
            <v>823949.91607896006</v>
          </cell>
          <cell r="P181">
            <v>0</v>
          </cell>
          <cell r="Q181">
            <v>693.56053542000006</v>
          </cell>
        </row>
        <row r="182">
          <cell r="A182">
            <v>2002</v>
          </cell>
          <cell r="B182">
            <v>0</v>
          </cell>
          <cell r="C182" t="str">
            <v xml:space="preserve">1-ый Микрорайон, 20                                                                                                                                                                                                                           </v>
          </cell>
          <cell r="F182">
            <v>1975</v>
          </cell>
          <cell r="G182">
            <v>10101</v>
          </cell>
          <cell r="H182">
            <v>0.8</v>
          </cell>
          <cell r="I182">
            <v>917586150</v>
          </cell>
          <cell r="J182">
            <v>1.1599999999999999</v>
          </cell>
          <cell r="K182">
            <v>1064213.29247</v>
          </cell>
          <cell r="L182">
            <v>8513.7063397599995</v>
          </cell>
          <cell r="M182">
            <v>709.47552831333326</v>
          </cell>
          <cell r="N182">
            <v>229870.07117352</v>
          </cell>
          <cell r="O182">
            <v>834343.22129647993</v>
          </cell>
          <cell r="P182">
            <v>0</v>
          </cell>
          <cell r="Q182">
            <v>709.47552831333326</v>
          </cell>
        </row>
        <row r="183">
          <cell r="A183">
            <v>2002</v>
          </cell>
          <cell r="B183">
            <v>0</v>
          </cell>
          <cell r="C183" t="str">
            <v xml:space="preserve">1-ый Микрорайон, 22                                                                                                                                                                                                                           </v>
          </cell>
          <cell r="F183">
            <v>1978</v>
          </cell>
          <cell r="G183">
            <v>10101</v>
          </cell>
          <cell r="H183">
            <v>0.8</v>
          </cell>
          <cell r="I183">
            <v>1051158420</v>
          </cell>
          <cell r="J183">
            <v>1.07</v>
          </cell>
          <cell r="K183">
            <v>1127393.7230400001</v>
          </cell>
          <cell r="L183">
            <v>9019.1497843200013</v>
          </cell>
          <cell r="M183">
            <v>751.59581536000007</v>
          </cell>
          <cell r="N183">
            <v>216459.59482368003</v>
          </cell>
          <cell r="O183">
            <v>910934.12821632007</v>
          </cell>
          <cell r="P183">
            <v>0</v>
          </cell>
          <cell r="Q183">
            <v>751.59581536000007</v>
          </cell>
        </row>
        <row r="184">
          <cell r="A184">
            <v>2002</v>
          </cell>
          <cell r="B184">
            <v>0</v>
          </cell>
          <cell r="C184" t="str">
            <v xml:space="preserve">1-ый Микрорайон, 26                                                                                                                                                                                                                           </v>
          </cell>
          <cell r="F184">
            <v>1978</v>
          </cell>
          <cell r="G184">
            <v>10101</v>
          </cell>
          <cell r="H184">
            <v>0.8</v>
          </cell>
          <cell r="I184">
            <v>1199342820</v>
          </cell>
          <cell r="J184">
            <v>0.88</v>
          </cell>
          <cell r="K184">
            <v>1059508.0215799999</v>
          </cell>
          <cell r="L184">
            <v>8476.0641726400008</v>
          </cell>
          <cell r="M184">
            <v>706.3386810533334</v>
          </cell>
          <cell r="N184">
            <v>203425.54014336003</v>
          </cell>
          <cell r="O184">
            <v>856082.48143663991</v>
          </cell>
          <cell r="P184">
            <v>0</v>
          </cell>
          <cell r="Q184">
            <v>706.3386810533334</v>
          </cell>
        </row>
        <row r="185">
          <cell r="A185">
            <v>2002</v>
          </cell>
          <cell r="B185">
            <v>0</v>
          </cell>
          <cell r="C185" t="str">
            <v xml:space="preserve">1-ый Микрорайон, 30                                                                                                                                                                                                                           </v>
          </cell>
          <cell r="F185">
            <v>1978</v>
          </cell>
          <cell r="G185">
            <v>10101</v>
          </cell>
          <cell r="H185">
            <v>0.8</v>
          </cell>
          <cell r="I185">
            <v>1499380350</v>
          </cell>
          <cell r="J185">
            <v>0.6</v>
          </cell>
          <cell r="K185">
            <v>893410.40448000003</v>
          </cell>
          <cell r="L185">
            <v>7147.283235840001</v>
          </cell>
          <cell r="M185">
            <v>595.60693632000005</v>
          </cell>
          <cell r="N185">
            <v>171534.79766016002</v>
          </cell>
          <cell r="O185">
            <v>721875.60681984003</v>
          </cell>
          <cell r="P185">
            <v>0</v>
          </cell>
          <cell r="Q185">
            <v>595.60693632000005</v>
          </cell>
        </row>
        <row r="186">
          <cell r="A186">
            <v>2002</v>
          </cell>
          <cell r="B186">
            <v>0</v>
          </cell>
          <cell r="C186" t="str">
            <v xml:space="preserve">1-ый Микрорайон, 32                                                                                                                                                                                                                           </v>
          </cell>
          <cell r="F186">
            <v>1976</v>
          </cell>
          <cell r="G186">
            <v>10101</v>
          </cell>
          <cell r="H186">
            <v>0.8</v>
          </cell>
          <cell r="I186">
            <v>1454934000</v>
          </cell>
          <cell r="J186">
            <v>0.8</v>
          </cell>
          <cell r="K186">
            <v>1169147.42824</v>
          </cell>
          <cell r="L186">
            <v>9353.1794259200014</v>
          </cell>
          <cell r="M186">
            <v>779.43161882666675</v>
          </cell>
          <cell r="N186">
            <v>243182.66507392004</v>
          </cell>
          <cell r="O186">
            <v>925964.76316608</v>
          </cell>
          <cell r="P186">
            <v>0</v>
          </cell>
          <cell r="Q186">
            <v>779.43161882666675</v>
          </cell>
        </row>
        <row r="187">
          <cell r="A187">
            <v>2002</v>
          </cell>
          <cell r="B187">
            <v>0</v>
          </cell>
          <cell r="C187" t="str">
            <v xml:space="preserve">1-ый Микрорайон, 34                                                                                                                                                                                                                           </v>
          </cell>
          <cell r="F187">
            <v>1976</v>
          </cell>
          <cell r="G187">
            <v>10101</v>
          </cell>
          <cell r="H187">
            <v>0.8</v>
          </cell>
          <cell r="I187">
            <v>1554321600</v>
          </cell>
          <cell r="J187">
            <v>0.56999999999999995</v>
          </cell>
          <cell r="K187">
            <v>881941.96284000005</v>
          </cell>
          <cell r="L187">
            <v>7055.5357027200007</v>
          </cell>
          <cell r="M187">
            <v>587.96130856000002</v>
          </cell>
          <cell r="N187">
            <v>183443.92827072</v>
          </cell>
          <cell r="O187">
            <v>698498.03456927999</v>
          </cell>
          <cell r="P187">
            <v>0</v>
          </cell>
          <cell r="Q187">
            <v>587.96130856000002</v>
          </cell>
        </row>
        <row r="188">
          <cell r="A188">
            <v>2002</v>
          </cell>
          <cell r="B188">
            <v>0</v>
          </cell>
          <cell r="C188" t="str">
            <v xml:space="preserve">1-ый Микрорайон, 36                                                                                                                                                                                                                           </v>
          </cell>
          <cell r="F188">
            <v>1976</v>
          </cell>
          <cell r="G188">
            <v>10101</v>
          </cell>
          <cell r="H188">
            <v>0.8</v>
          </cell>
          <cell r="I188">
            <v>1454934000</v>
          </cell>
          <cell r="J188">
            <v>0.74</v>
          </cell>
          <cell r="K188">
            <v>1075314.4633899999</v>
          </cell>
          <cell r="L188">
            <v>8602.515707120001</v>
          </cell>
          <cell r="M188">
            <v>716.87630892666675</v>
          </cell>
          <cell r="N188">
            <v>223665.40838512004</v>
          </cell>
          <cell r="O188">
            <v>851649.05500487983</v>
          </cell>
          <cell r="P188">
            <v>0</v>
          </cell>
          <cell r="Q188">
            <v>716.87630892666675</v>
          </cell>
        </row>
        <row r="189">
          <cell r="A189">
            <v>2002</v>
          </cell>
          <cell r="B189">
            <v>0</v>
          </cell>
          <cell r="C189" t="str">
            <v xml:space="preserve">1-ый Микрорайон, 36А                                                                                                                                                                                                                          </v>
          </cell>
          <cell r="F189">
            <v>1979</v>
          </cell>
          <cell r="G189">
            <v>10101</v>
          </cell>
          <cell r="H189">
            <v>0.8</v>
          </cell>
          <cell r="I189">
            <v>1679650440</v>
          </cell>
          <cell r="J189">
            <v>0.62</v>
          </cell>
          <cell r="K189">
            <v>1049157.2396800001</v>
          </cell>
          <cell r="L189">
            <v>8393.2579174400016</v>
          </cell>
          <cell r="M189">
            <v>699.4381597866668</v>
          </cell>
          <cell r="N189">
            <v>193044.93210112004</v>
          </cell>
          <cell r="O189">
            <v>856112.30757888011</v>
          </cell>
          <cell r="P189">
            <v>0</v>
          </cell>
          <cell r="Q189">
            <v>699.4381597866668</v>
          </cell>
        </row>
        <row r="190">
          <cell r="A190">
            <v>2002</v>
          </cell>
          <cell r="B190">
            <v>0</v>
          </cell>
          <cell r="C190" t="str">
            <v xml:space="preserve">1-ый Микрорайон, 38                                                                                                                                                                                                                           </v>
          </cell>
          <cell r="F190">
            <v>1978</v>
          </cell>
          <cell r="G190">
            <v>10101</v>
          </cell>
          <cell r="H190">
            <v>0.8</v>
          </cell>
          <cell r="I190">
            <v>1539978570</v>
          </cell>
          <cell r="J190">
            <v>0.56000000000000005</v>
          </cell>
          <cell r="K190">
            <v>859644.30417999998</v>
          </cell>
          <cell r="L190">
            <v>6877.1544334400005</v>
          </cell>
          <cell r="M190">
            <v>573.09620278666671</v>
          </cell>
          <cell r="N190">
            <v>165051.70640256</v>
          </cell>
          <cell r="O190">
            <v>694592.59777743998</v>
          </cell>
          <cell r="P190">
            <v>0</v>
          </cell>
          <cell r="Q190">
            <v>573.09620278666671</v>
          </cell>
        </row>
        <row r="191">
          <cell r="A191">
            <v>2002</v>
          </cell>
          <cell r="B191">
            <v>0</v>
          </cell>
          <cell r="C191" t="str">
            <v xml:space="preserve">1-ый Микрорайон, 4                                                                                                                                                                                                                            </v>
          </cell>
          <cell r="F191">
            <v>1974</v>
          </cell>
          <cell r="G191">
            <v>10101</v>
          </cell>
          <cell r="H191">
            <v>0.8</v>
          </cell>
          <cell r="I191">
            <v>815929140</v>
          </cell>
          <cell r="J191">
            <v>1.18</v>
          </cell>
          <cell r="K191">
            <v>960599.98236000002</v>
          </cell>
          <cell r="L191">
            <v>7684.799858880001</v>
          </cell>
          <cell r="M191">
            <v>640.39998824000008</v>
          </cell>
          <cell r="N191">
            <v>215174.39604864002</v>
          </cell>
          <cell r="O191">
            <v>745425.58631136001</v>
          </cell>
          <cell r="P191">
            <v>0</v>
          </cell>
          <cell r="Q191">
            <v>640.39998824000008</v>
          </cell>
        </row>
        <row r="192">
          <cell r="A192">
            <v>2002</v>
          </cell>
          <cell r="B192">
            <v>0</v>
          </cell>
          <cell r="C192" t="str">
            <v xml:space="preserve">1-ый Микрорайон, 40                                                                                                                                                                                                                           </v>
          </cell>
          <cell r="F192">
            <v>1976</v>
          </cell>
          <cell r="G192">
            <v>10101</v>
          </cell>
          <cell r="H192">
            <v>0.8</v>
          </cell>
          <cell r="I192">
            <v>1341423346</v>
          </cell>
          <cell r="J192">
            <v>0.81</v>
          </cell>
          <cell r="K192">
            <v>1082477.06</v>
          </cell>
          <cell r="L192">
            <v>8659.8164800000013</v>
          </cell>
          <cell r="M192">
            <v>721.65137333333348</v>
          </cell>
          <cell r="N192">
            <v>225155.22848000005</v>
          </cell>
          <cell r="O192">
            <v>857321.83152000001</v>
          </cell>
          <cell r="P192">
            <v>0</v>
          </cell>
          <cell r="Q192">
            <v>721.65137333333348</v>
          </cell>
        </row>
        <row r="193">
          <cell r="A193">
            <v>2002</v>
          </cell>
          <cell r="B193">
            <v>0</v>
          </cell>
          <cell r="C193" t="str">
            <v xml:space="preserve">1-ый Микрорайон, 42                                                                                                                                                                                                                           </v>
          </cell>
          <cell r="F193">
            <v>1978</v>
          </cell>
          <cell r="G193">
            <v>10101</v>
          </cell>
          <cell r="H193">
            <v>0.8</v>
          </cell>
          <cell r="I193">
            <v>1494061140</v>
          </cell>
          <cell r="J193">
            <v>0.56999999999999995</v>
          </cell>
          <cell r="K193">
            <v>852293.22109000001</v>
          </cell>
          <cell r="L193">
            <v>6818.3457687199998</v>
          </cell>
          <cell r="M193">
            <v>568.19548072666669</v>
          </cell>
          <cell r="N193">
            <v>163640.29844928</v>
          </cell>
          <cell r="O193">
            <v>688652.92264072003</v>
          </cell>
          <cell r="P193">
            <v>0</v>
          </cell>
          <cell r="Q193">
            <v>568.19548072666669</v>
          </cell>
        </row>
        <row r="194">
          <cell r="A194">
            <v>2002</v>
          </cell>
          <cell r="B194">
            <v>0</v>
          </cell>
          <cell r="C194" t="str">
            <v xml:space="preserve">1-ый Микрорайон, 44                                                                                                                                                                                                                           </v>
          </cell>
          <cell r="F194">
            <v>1976</v>
          </cell>
          <cell r="G194">
            <v>10101</v>
          </cell>
          <cell r="H194">
            <v>0.8</v>
          </cell>
          <cell r="I194">
            <v>1679650440</v>
          </cell>
          <cell r="J194">
            <v>0.71</v>
          </cell>
          <cell r="K194">
            <v>1199065.3006200001</v>
          </cell>
          <cell r="L194">
            <v>9592.5224049600019</v>
          </cell>
          <cell r="M194">
            <v>799.37686708000012</v>
          </cell>
          <cell r="N194">
            <v>249405.58252896005</v>
          </cell>
          <cell r="O194">
            <v>949659.71809104003</v>
          </cell>
          <cell r="P194">
            <v>0</v>
          </cell>
          <cell r="Q194">
            <v>799.37686708000012</v>
          </cell>
        </row>
        <row r="195">
          <cell r="A195">
            <v>2002</v>
          </cell>
          <cell r="B195">
            <v>0</v>
          </cell>
          <cell r="C195" t="str">
            <v xml:space="preserve">1-ый Микрорайон, 46                                                                                                                                                                                                                           </v>
          </cell>
          <cell r="F195">
            <v>1979</v>
          </cell>
          <cell r="G195">
            <v>10101</v>
          </cell>
          <cell r="H195">
            <v>0.8</v>
          </cell>
          <cell r="I195">
            <v>1752953280</v>
          </cell>
          <cell r="J195">
            <v>0.53</v>
          </cell>
          <cell r="K195">
            <v>928386.23846999998</v>
          </cell>
          <cell r="L195">
            <v>7427.0899077600006</v>
          </cell>
          <cell r="M195">
            <v>618.92415898000002</v>
          </cell>
          <cell r="N195">
            <v>170823.06787848001</v>
          </cell>
          <cell r="O195">
            <v>757563.17059151991</v>
          </cell>
          <cell r="P195">
            <v>0</v>
          </cell>
          <cell r="Q195">
            <v>618.92415898000002</v>
          </cell>
        </row>
        <row r="196">
          <cell r="A196">
            <v>2002</v>
          </cell>
          <cell r="B196">
            <v>0</v>
          </cell>
          <cell r="C196" t="str">
            <v xml:space="preserve">1-ый Микрорайон, 5                                                                                                                                                                                                                            </v>
          </cell>
          <cell r="F196">
            <v>1981</v>
          </cell>
          <cell r="G196">
            <v>10101</v>
          </cell>
          <cell r="H196">
            <v>0.8</v>
          </cell>
          <cell r="I196">
            <v>13290813120</v>
          </cell>
          <cell r="J196">
            <v>0.56999999999999995</v>
          </cell>
          <cell r="K196">
            <v>7519721.5587999998</v>
          </cell>
          <cell r="L196">
            <v>60157.772470399999</v>
          </cell>
          <cell r="M196">
            <v>5013.1477058666669</v>
          </cell>
          <cell r="N196">
            <v>1263313.2218784001</v>
          </cell>
          <cell r="O196">
            <v>6256408.3369215997</v>
          </cell>
          <cell r="P196">
            <v>0</v>
          </cell>
          <cell r="Q196">
            <v>5013.1477058666669</v>
          </cell>
        </row>
        <row r="197">
          <cell r="A197">
            <v>2002</v>
          </cell>
          <cell r="B197">
            <v>0</v>
          </cell>
          <cell r="C197" t="str">
            <v xml:space="preserve">1-ый Микрорайон, 5/1                                                                                                                                                                                                                          </v>
          </cell>
          <cell r="F197">
            <v>1987</v>
          </cell>
          <cell r="G197">
            <v>10101</v>
          </cell>
          <cell r="H197">
            <v>0.8</v>
          </cell>
          <cell r="I197">
            <v>6982059630</v>
          </cell>
          <cell r="J197">
            <v>0.33</v>
          </cell>
          <cell r="K197">
            <v>2379338.5099999998</v>
          </cell>
          <cell r="L197">
            <v>19034.70808</v>
          </cell>
          <cell r="M197">
            <v>1586.2256733333334</v>
          </cell>
          <cell r="N197">
            <v>285520.62119999999</v>
          </cell>
          <cell r="O197">
            <v>2093817.8887999998</v>
          </cell>
          <cell r="P197">
            <v>0</v>
          </cell>
          <cell r="Q197">
            <v>1586.2256733333334</v>
          </cell>
        </row>
        <row r="198">
          <cell r="A198">
            <v>2002</v>
          </cell>
          <cell r="B198">
            <v>0</v>
          </cell>
          <cell r="C198" t="str">
            <v xml:space="preserve">1-ый Микрорайон, 52                                                                                                                                                                                                                           </v>
          </cell>
          <cell r="F198">
            <v>1979</v>
          </cell>
          <cell r="G198">
            <v>10101</v>
          </cell>
          <cell r="H198">
            <v>0.8</v>
          </cell>
          <cell r="I198">
            <v>1652857846</v>
          </cell>
          <cell r="J198">
            <v>0.64</v>
          </cell>
          <cell r="K198">
            <v>1057512.3500000001</v>
          </cell>
          <cell r="L198">
            <v>8460.0988000000016</v>
          </cell>
          <cell r="M198">
            <v>705.00823333333346</v>
          </cell>
          <cell r="N198">
            <v>194582.27240000005</v>
          </cell>
          <cell r="O198">
            <v>862930.07760000008</v>
          </cell>
          <cell r="P198">
            <v>0</v>
          </cell>
          <cell r="Q198">
            <v>705.00823333333346</v>
          </cell>
        </row>
        <row r="199">
          <cell r="A199">
            <v>2002</v>
          </cell>
          <cell r="B199">
            <v>0</v>
          </cell>
          <cell r="C199" t="str">
            <v xml:space="preserve">1-ый Микрорайон, 54                                                                                                                                                                                                                           </v>
          </cell>
          <cell r="F199">
            <v>1979</v>
          </cell>
          <cell r="G199">
            <v>10101</v>
          </cell>
          <cell r="H199">
            <v>0.8</v>
          </cell>
          <cell r="I199">
            <v>1686752843</v>
          </cell>
          <cell r="J199">
            <v>0.62</v>
          </cell>
          <cell r="K199">
            <v>1043545.58</v>
          </cell>
          <cell r="L199">
            <v>8348.3646399999998</v>
          </cell>
          <cell r="M199">
            <v>695.69705333333332</v>
          </cell>
          <cell r="N199">
            <v>192012.38672000001</v>
          </cell>
          <cell r="O199">
            <v>851533.19328000001</v>
          </cell>
          <cell r="P199">
            <v>0</v>
          </cell>
          <cell r="Q199">
            <v>695.69705333333332</v>
          </cell>
        </row>
        <row r="200">
          <cell r="A200">
            <v>2002</v>
          </cell>
          <cell r="B200">
            <v>0</v>
          </cell>
          <cell r="C200" t="str">
            <v xml:space="preserve">1-ый Микрорайон, 58                                                                                                                                                                                                                           </v>
          </cell>
          <cell r="F200">
            <v>1983</v>
          </cell>
          <cell r="G200">
            <v>10101</v>
          </cell>
          <cell r="H200">
            <v>0.8</v>
          </cell>
          <cell r="I200">
            <v>4247922900</v>
          </cell>
          <cell r="J200">
            <v>0.66</v>
          </cell>
          <cell r="K200">
            <v>2817552.0581999999</v>
          </cell>
          <cell r="L200">
            <v>22540.416465599999</v>
          </cell>
          <cell r="M200">
            <v>1878.3680388</v>
          </cell>
          <cell r="N200">
            <v>428267.9128464</v>
          </cell>
          <cell r="O200">
            <v>2389284.1453535999</v>
          </cell>
          <cell r="P200">
            <v>0</v>
          </cell>
          <cell r="Q200">
            <v>1878.3680388</v>
          </cell>
        </row>
        <row r="201">
          <cell r="A201">
            <v>2002</v>
          </cell>
          <cell r="B201">
            <v>0</v>
          </cell>
          <cell r="C201" t="str">
            <v xml:space="preserve">1-ый Микрорайон, 6                                                                                                                                                                                                                            </v>
          </cell>
          <cell r="F201">
            <v>1972</v>
          </cell>
          <cell r="G201">
            <v>10101</v>
          </cell>
          <cell r="H201">
            <v>0.8</v>
          </cell>
          <cell r="I201">
            <v>672750000</v>
          </cell>
          <cell r="J201">
            <v>1.0900000000000001</v>
          </cell>
          <cell r="K201">
            <v>689854.74</v>
          </cell>
          <cell r="L201">
            <v>5518.8379199999999</v>
          </cell>
          <cell r="M201">
            <v>459.90316000000001</v>
          </cell>
          <cell r="N201">
            <v>165565.13759999999</v>
          </cell>
          <cell r="O201">
            <v>524289.60239999997</v>
          </cell>
          <cell r="P201">
            <v>0</v>
          </cell>
          <cell r="Q201">
            <v>459.90316000000001</v>
          </cell>
        </row>
        <row r="202">
          <cell r="A202">
            <v>2002</v>
          </cell>
          <cell r="B202">
            <v>0</v>
          </cell>
          <cell r="C202" t="str">
            <v xml:space="preserve">1-ый Микрорайон, 7                                                                                                                                                                                                                            </v>
          </cell>
          <cell r="F202">
            <v>1989</v>
          </cell>
          <cell r="G202">
            <v>10101</v>
          </cell>
          <cell r="H202">
            <v>0.8</v>
          </cell>
          <cell r="I202">
            <v>14322399000</v>
          </cell>
          <cell r="J202">
            <v>0.18</v>
          </cell>
          <cell r="K202">
            <v>2536658.25666</v>
          </cell>
          <cell r="L202">
            <v>20293.26605328</v>
          </cell>
          <cell r="M202">
            <v>1691.10550444</v>
          </cell>
          <cell r="N202">
            <v>263812.45869264001</v>
          </cell>
          <cell r="O202">
            <v>2272845.7979673599</v>
          </cell>
          <cell r="P202">
            <v>0</v>
          </cell>
          <cell r="Q202">
            <v>1691.10550444</v>
          </cell>
        </row>
        <row r="203">
          <cell r="A203">
            <v>2002</v>
          </cell>
          <cell r="B203">
            <v>0</v>
          </cell>
          <cell r="C203" t="str">
            <v xml:space="preserve">1-ый Микрорайон, 8                                                                                                                                                                                                                            </v>
          </cell>
          <cell r="F203">
            <v>1972</v>
          </cell>
          <cell r="G203">
            <v>10101</v>
          </cell>
          <cell r="H203">
            <v>0.8</v>
          </cell>
          <cell r="I203">
            <v>1051615890</v>
          </cell>
          <cell r="J203">
            <v>0.88</v>
          </cell>
          <cell r="K203">
            <v>920826.92241</v>
          </cell>
          <cell r="L203">
            <v>7366.6153792800005</v>
          </cell>
          <cell r="M203">
            <v>613.88461494000001</v>
          </cell>
          <cell r="N203">
            <v>220998.46137840001</v>
          </cell>
          <cell r="O203">
            <v>699828.46103160002</v>
          </cell>
          <cell r="P203">
            <v>0</v>
          </cell>
          <cell r="Q203">
            <v>613.88461494000001</v>
          </cell>
        </row>
        <row r="204">
          <cell r="A204">
            <v>2002</v>
          </cell>
          <cell r="B204">
            <v>0</v>
          </cell>
          <cell r="C204" t="str">
            <v xml:space="preserve">1-ый Микрорайон (общж.)                                                                                                                                                                                                                       </v>
          </cell>
          <cell r="F204">
            <v>1981</v>
          </cell>
          <cell r="G204">
            <v>10101</v>
          </cell>
          <cell r="H204">
            <v>0.8</v>
          </cell>
          <cell r="I204">
            <v>2766267270</v>
          </cell>
          <cell r="J204">
            <v>0.55000000000000004</v>
          </cell>
          <cell r="K204">
            <v>1508724.2609999999</v>
          </cell>
          <cell r="L204">
            <v>12069.794088000001</v>
          </cell>
          <cell r="M204">
            <v>1005.816174</v>
          </cell>
          <cell r="N204">
            <v>253465.67584800001</v>
          </cell>
          <cell r="O204">
            <v>1255258.585152</v>
          </cell>
          <cell r="P204">
            <v>0</v>
          </cell>
          <cell r="Q204">
            <v>1005.816174</v>
          </cell>
        </row>
        <row r="205">
          <cell r="A205">
            <v>2002</v>
          </cell>
          <cell r="B205">
            <v>0</v>
          </cell>
          <cell r="C205" t="str">
            <v xml:space="preserve">40 лет Октября, 168                                                                                                                                                                                                                           </v>
          </cell>
          <cell r="F205">
            <v>1928</v>
          </cell>
          <cell r="G205">
            <v>10103</v>
          </cell>
          <cell r="H205">
            <v>2</v>
          </cell>
          <cell r="I205">
            <v>576771000</v>
          </cell>
          <cell r="J205">
            <v>1.07</v>
          </cell>
          <cell r="K205">
            <v>615524.83901999996</v>
          </cell>
          <cell r="L205">
            <v>12310.496780399999</v>
          </cell>
          <cell r="M205">
            <v>0</v>
          </cell>
          <cell r="N205">
            <v>910976.76174959994</v>
          </cell>
          <cell r="O205">
            <v>0</v>
          </cell>
          <cell r="P205">
            <v>295451.92272959999</v>
          </cell>
          <cell r="Q205">
            <v>0</v>
          </cell>
        </row>
        <row r="206">
          <cell r="A206">
            <v>2002</v>
          </cell>
          <cell r="B206">
            <v>0</v>
          </cell>
          <cell r="C206" t="str">
            <v xml:space="preserve">40 лет Октября, 170                                                                                                                                                                                                                           </v>
          </cell>
          <cell r="F206">
            <v>1916</v>
          </cell>
          <cell r="G206">
            <v>10103</v>
          </cell>
          <cell r="H206">
            <v>2</v>
          </cell>
          <cell r="I206">
            <v>517317840</v>
          </cell>
          <cell r="J206">
            <v>1.23</v>
          </cell>
          <cell r="K206">
            <v>635396.54295999999</v>
          </cell>
          <cell r="L206">
            <v>12707.9308592</v>
          </cell>
          <cell r="M206">
            <v>0</v>
          </cell>
          <cell r="N206">
            <v>1092882.0538911999</v>
          </cell>
          <cell r="O206">
            <v>0</v>
          </cell>
          <cell r="P206">
            <v>457485.51093119988</v>
          </cell>
          <cell r="Q206">
            <v>0</v>
          </cell>
        </row>
        <row r="207">
          <cell r="A207">
            <v>2002</v>
          </cell>
          <cell r="B207">
            <v>0</v>
          </cell>
          <cell r="C207" t="str">
            <v xml:space="preserve">40 лет Октября, 171                                                                                                                                                                                                                           </v>
          </cell>
          <cell r="F207">
            <v>1916</v>
          </cell>
          <cell r="G207">
            <v>10101</v>
          </cell>
          <cell r="H207">
            <v>0.8</v>
          </cell>
          <cell r="I207">
            <v>547618500</v>
          </cell>
          <cell r="J207">
            <v>0.8</v>
          </cell>
          <cell r="K207">
            <v>436036.12203999999</v>
          </cell>
          <cell r="L207">
            <v>3488.2889763200005</v>
          </cell>
          <cell r="M207">
            <v>290.69074802666671</v>
          </cell>
          <cell r="N207">
            <v>299992.85196352005</v>
          </cell>
          <cell r="O207">
            <v>136043.27007647994</v>
          </cell>
          <cell r="P207">
            <v>0</v>
          </cell>
          <cell r="Q207">
            <v>290.69074802666671</v>
          </cell>
        </row>
        <row r="208">
          <cell r="A208">
            <v>2002</v>
          </cell>
          <cell r="B208">
            <v>0</v>
          </cell>
          <cell r="C208" t="str">
            <v xml:space="preserve">Бубенца, 20                                                                                                                                                                                                                                   </v>
          </cell>
          <cell r="F208">
            <v>1916</v>
          </cell>
          <cell r="G208">
            <v>10101</v>
          </cell>
          <cell r="H208">
            <v>0.8</v>
          </cell>
          <cell r="I208">
            <v>210525900</v>
          </cell>
          <cell r="J208">
            <v>0.95</v>
          </cell>
          <cell r="K208">
            <v>200251.18504000001</v>
          </cell>
          <cell r="L208">
            <v>1602.0094803200002</v>
          </cell>
          <cell r="M208">
            <v>133.50079002666669</v>
          </cell>
          <cell r="N208">
            <v>137772.81530752001</v>
          </cell>
          <cell r="O208">
            <v>62478.369732480001</v>
          </cell>
          <cell r="P208">
            <v>0</v>
          </cell>
          <cell r="Q208">
            <v>133.50079002666669</v>
          </cell>
        </row>
        <row r="209">
          <cell r="A209">
            <v>2002</v>
          </cell>
          <cell r="B209">
            <v>0</v>
          </cell>
          <cell r="C209" t="str">
            <v xml:space="preserve">Бур. площадка, 1,2                                                                                                                                                                                                                            </v>
          </cell>
          <cell r="F209">
            <v>1950</v>
          </cell>
          <cell r="G209">
            <v>10104</v>
          </cell>
          <cell r="H209">
            <v>3.3</v>
          </cell>
          <cell r="I209">
            <v>562149900</v>
          </cell>
          <cell r="J209">
            <v>0.81</v>
          </cell>
          <cell r="K209">
            <v>455215.83650999999</v>
          </cell>
          <cell r="L209">
            <v>15022.12260483</v>
          </cell>
          <cell r="M209">
            <v>0</v>
          </cell>
          <cell r="N209">
            <v>781150.37545116001</v>
          </cell>
          <cell r="O209">
            <v>0</v>
          </cell>
          <cell r="P209">
            <v>325934.53894116002</v>
          </cell>
          <cell r="Q209">
            <v>0</v>
          </cell>
        </row>
        <row r="210">
          <cell r="A210">
            <v>2002</v>
          </cell>
          <cell r="B210">
            <v>0</v>
          </cell>
          <cell r="C210" t="str">
            <v xml:space="preserve">Вокзальная, 10/1                                                                                                                                                                                                                              </v>
          </cell>
          <cell r="F210">
            <v>1965</v>
          </cell>
          <cell r="G210">
            <v>10101</v>
          </cell>
          <cell r="H210">
            <v>0.8</v>
          </cell>
          <cell r="I210">
            <v>512707260</v>
          </cell>
          <cell r="J210">
            <v>1.45</v>
          </cell>
          <cell r="K210">
            <v>743411.1679</v>
          </cell>
          <cell r="L210">
            <v>5947.2893432000001</v>
          </cell>
          <cell r="M210">
            <v>495.60744526666667</v>
          </cell>
          <cell r="N210">
            <v>220049.70569840001</v>
          </cell>
          <cell r="O210">
            <v>523361.46220159996</v>
          </cell>
          <cell r="P210">
            <v>0</v>
          </cell>
          <cell r="Q210">
            <v>495.60744526666667</v>
          </cell>
        </row>
        <row r="211">
          <cell r="A211">
            <v>2002</v>
          </cell>
          <cell r="B211">
            <v>0</v>
          </cell>
          <cell r="C211" t="str">
            <v xml:space="preserve">Вокзальная, 12                                                                                                                                                                                                                                </v>
          </cell>
          <cell r="F211">
            <v>1962</v>
          </cell>
          <cell r="G211">
            <v>10101</v>
          </cell>
          <cell r="H211">
            <v>0.8</v>
          </cell>
          <cell r="I211">
            <v>911589740</v>
          </cell>
          <cell r="J211">
            <v>0.84</v>
          </cell>
          <cell r="K211">
            <v>764516.36</v>
          </cell>
          <cell r="L211">
            <v>6116.1308799999997</v>
          </cell>
          <cell r="M211">
            <v>509.67757333333333</v>
          </cell>
          <cell r="N211">
            <v>244645.2352</v>
          </cell>
          <cell r="O211">
            <v>519871.12479999999</v>
          </cell>
          <cell r="P211">
            <v>0</v>
          </cell>
          <cell r="Q211">
            <v>509.67757333333333</v>
          </cell>
        </row>
        <row r="212">
          <cell r="A212">
            <v>2002</v>
          </cell>
          <cell r="B212">
            <v>0</v>
          </cell>
          <cell r="C212" t="str">
            <v xml:space="preserve">Вокзальная, 14                                                                                                                                                                                                                                </v>
          </cell>
          <cell r="F212">
            <v>1961</v>
          </cell>
          <cell r="G212">
            <v>10101</v>
          </cell>
          <cell r="H212">
            <v>0.8</v>
          </cell>
          <cell r="I212">
            <v>892515000</v>
          </cell>
          <cell r="J212">
            <v>0.91</v>
          </cell>
          <cell r="K212">
            <v>811375.88593999995</v>
          </cell>
          <cell r="L212">
            <v>6491.0070875199999</v>
          </cell>
          <cell r="M212">
            <v>540.91725729333336</v>
          </cell>
          <cell r="N212">
            <v>266131.29058832</v>
          </cell>
          <cell r="O212">
            <v>545244.59535167995</v>
          </cell>
          <cell r="P212">
            <v>0</v>
          </cell>
          <cell r="Q212">
            <v>540.91725729333336</v>
          </cell>
        </row>
        <row r="213">
          <cell r="A213">
            <v>2002</v>
          </cell>
          <cell r="B213">
            <v>0</v>
          </cell>
          <cell r="C213" t="str">
            <v xml:space="preserve">Ермощенко, 158/2                                                                                                                                                                                                                              </v>
          </cell>
          <cell r="F213">
            <v>1981</v>
          </cell>
          <cell r="G213">
            <v>10100</v>
          </cell>
          <cell r="H213">
            <v>0.7</v>
          </cell>
          <cell r="I213">
            <v>1222767616</v>
          </cell>
          <cell r="J213">
            <v>0.47</v>
          </cell>
          <cell r="K213">
            <v>576506.93133000005</v>
          </cell>
          <cell r="L213">
            <v>4035.5485193100003</v>
          </cell>
          <cell r="M213">
            <v>336.29570994250003</v>
          </cell>
          <cell r="N213">
            <v>84746.518905510005</v>
          </cell>
          <cell r="O213">
            <v>491760.41242449003</v>
          </cell>
          <cell r="P213">
            <v>0</v>
          </cell>
          <cell r="Q213">
            <v>336.29570994250003</v>
          </cell>
        </row>
        <row r="214">
          <cell r="A214">
            <v>2002</v>
          </cell>
          <cell r="B214">
            <v>0</v>
          </cell>
          <cell r="C214" t="str">
            <v xml:space="preserve">Ермощенко, 183                                                                                                                                                                                                                                </v>
          </cell>
          <cell r="F214">
            <v>1983</v>
          </cell>
          <cell r="G214">
            <v>10101</v>
          </cell>
          <cell r="H214">
            <v>0.8</v>
          </cell>
          <cell r="I214">
            <v>0</v>
          </cell>
          <cell r="J214">
            <v>0.85</v>
          </cell>
          <cell r="K214">
            <v>2802046.7811599998</v>
          </cell>
          <cell r="L214">
            <v>22416.374249279997</v>
          </cell>
          <cell r="M214">
            <v>1868.0311874399997</v>
          </cell>
          <cell r="N214">
            <v>425911.11073631997</v>
          </cell>
          <cell r="O214">
            <v>2376135.67042368</v>
          </cell>
          <cell r="P214">
            <v>0</v>
          </cell>
          <cell r="Q214">
            <v>1868.0311874399997</v>
          </cell>
        </row>
        <row r="215">
          <cell r="A215">
            <v>2002</v>
          </cell>
          <cell r="B215">
            <v>0</v>
          </cell>
          <cell r="C215" t="str">
            <v xml:space="preserve">Ермощенко, 185                                                                                                                                                                                                                                </v>
          </cell>
          <cell r="F215">
            <v>1983</v>
          </cell>
          <cell r="G215">
            <v>10101</v>
          </cell>
          <cell r="H215">
            <v>0.8</v>
          </cell>
          <cell r="I215">
            <v>4189106610</v>
          </cell>
          <cell r="J215">
            <v>0.67</v>
          </cell>
          <cell r="K215">
            <v>2875233.07</v>
          </cell>
          <cell r="L215">
            <v>23001.864559999998</v>
          </cell>
          <cell r="M215">
            <v>1916.8220466666664</v>
          </cell>
          <cell r="N215">
            <v>437035.42663999996</v>
          </cell>
          <cell r="O215">
            <v>2438197.6433600001</v>
          </cell>
          <cell r="P215">
            <v>0</v>
          </cell>
          <cell r="Q215">
            <v>1916.8220466666664</v>
          </cell>
        </row>
        <row r="216">
          <cell r="A216">
            <v>2002</v>
          </cell>
          <cell r="B216">
            <v>0</v>
          </cell>
          <cell r="C216" t="str">
            <v xml:space="preserve">Ермощенко, 4                                                                                                                                                                                                                                  </v>
          </cell>
          <cell r="F216">
            <v>1980</v>
          </cell>
          <cell r="G216">
            <v>10100</v>
          </cell>
          <cell r="H216">
            <v>0.7</v>
          </cell>
          <cell r="I216">
            <v>1383263700</v>
          </cell>
          <cell r="J216">
            <v>0.43</v>
          </cell>
          <cell r="K216">
            <v>594836.84511999995</v>
          </cell>
          <cell r="L216">
            <v>4163.8579158399989</v>
          </cell>
          <cell r="M216">
            <v>346.98815965333324</v>
          </cell>
          <cell r="N216">
            <v>91604.874148479983</v>
          </cell>
          <cell r="O216">
            <v>503231.97097151994</v>
          </cell>
          <cell r="P216">
            <v>0</v>
          </cell>
          <cell r="Q216">
            <v>346.98815965333324</v>
          </cell>
        </row>
        <row r="217">
          <cell r="A217">
            <v>2002</v>
          </cell>
          <cell r="B217">
            <v>0</v>
          </cell>
          <cell r="C217" t="str">
            <v xml:space="preserve">Железнодорожная, 58                                                                                                                                                                                                                           </v>
          </cell>
          <cell r="F217">
            <v>1971</v>
          </cell>
          <cell r="G217">
            <v>10101</v>
          </cell>
          <cell r="H217">
            <v>0.8</v>
          </cell>
          <cell r="I217">
            <v>404905800</v>
          </cell>
          <cell r="J217">
            <v>1.03</v>
          </cell>
          <cell r="K217">
            <v>416993.79141000001</v>
          </cell>
          <cell r="L217">
            <v>3335.9503312800002</v>
          </cell>
          <cell r="M217">
            <v>277.99586094</v>
          </cell>
          <cell r="N217">
            <v>103414.46026968001</v>
          </cell>
          <cell r="O217">
            <v>313579.33114031999</v>
          </cell>
          <cell r="P217">
            <v>0</v>
          </cell>
          <cell r="Q217">
            <v>277.99586094</v>
          </cell>
        </row>
        <row r="218">
          <cell r="A218">
            <v>2002</v>
          </cell>
          <cell r="B218">
            <v>0</v>
          </cell>
          <cell r="C218" t="str">
            <v xml:space="preserve">Заводская, 49                                                                                                                                                                                                                                 </v>
          </cell>
          <cell r="F218">
            <v>1969</v>
          </cell>
          <cell r="G218">
            <v>10101</v>
          </cell>
          <cell r="H218">
            <v>0.8</v>
          </cell>
          <cell r="I218">
            <v>828828000</v>
          </cell>
          <cell r="J218">
            <v>0.86</v>
          </cell>
          <cell r="K218">
            <v>713740.91948000004</v>
          </cell>
          <cell r="L218">
            <v>5709.92735584</v>
          </cell>
          <cell r="M218">
            <v>475.82727965333333</v>
          </cell>
          <cell r="N218">
            <v>188427.60274271999</v>
          </cell>
          <cell r="O218">
            <v>525313.31673727999</v>
          </cell>
          <cell r="P218">
            <v>0</v>
          </cell>
          <cell r="Q218">
            <v>475.82727965333333</v>
          </cell>
        </row>
        <row r="219">
          <cell r="A219">
            <v>2002</v>
          </cell>
          <cell r="B219">
            <v>0</v>
          </cell>
          <cell r="C219" t="str">
            <v xml:space="preserve">Заводская, 53                                                                                                                                                                                                                                 </v>
          </cell>
          <cell r="F219">
            <v>1970</v>
          </cell>
          <cell r="G219">
            <v>10101</v>
          </cell>
          <cell r="H219">
            <v>0.8</v>
          </cell>
          <cell r="I219">
            <v>912921750</v>
          </cell>
          <cell r="J219">
            <v>0.89</v>
          </cell>
          <cell r="K219">
            <v>811340.13621999999</v>
          </cell>
          <cell r="L219">
            <v>6490.7210897599998</v>
          </cell>
          <cell r="M219">
            <v>540.89342414666669</v>
          </cell>
          <cell r="N219">
            <v>207703.07487231999</v>
          </cell>
          <cell r="O219">
            <v>603637.06134767993</v>
          </cell>
          <cell r="P219">
            <v>0</v>
          </cell>
          <cell r="Q219">
            <v>540.89342414666669</v>
          </cell>
        </row>
        <row r="220">
          <cell r="A220">
            <v>2002</v>
          </cell>
          <cell r="B220">
            <v>0</v>
          </cell>
          <cell r="C220" t="str">
            <v xml:space="preserve">К. Маркса, 226                                                                                                                                                                                                                                </v>
          </cell>
          <cell r="F220">
            <v>1891</v>
          </cell>
          <cell r="G220">
            <v>10103</v>
          </cell>
          <cell r="H220">
            <v>2</v>
          </cell>
          <cell r="I220">
            <v>213396300</v>
          </cell>
          <cell r="J220">
            <v>0.83</v>
          </cell>
          <cell r="K220">
            <v>177134.62700000001</v>
          </cell>
          <cell r="L220">
            <v>3542.69254</v>
          </cell>
          <cell r="M220">
            <v>0</v>
          </cell>
          <cell r="N220">
            <v>393238.87193999998</v>
          </cell>
          <cell r="O220">
            <v>0</v>
          </cell>
          <cell r="P220">
            <v>216104.24493999998</v>
          </cell>
          <cell r="Q220">
            <v>0</v>
          </cell>
        </row>
        <row r="221">
          <cell r="A221">
            <v>2002</v>
          </cell>
          <cell r="B221">
            <v>0</v>
          </cell>
          <cell r="C221" t="str">
            <v xml:space="preserve">Коммунистическая, 1                                                                                                                                                                                                                           </v>
          </cell>
          <cell r="F221">
            <v>1977</v>
          </cell>
          <cell r="G221">
            <v>10100</v>
          </cell>
          <cell r="H221">
            <v>0.7</v>
          </cell>
          <cell r="I221">
            <v>1214511090</v>
          </cell>
          <cell r="J221">
            <v>0.73</v>
          </cell>
          <cell r="K221">
            <v>889523.35007000004</v>
          </cell>
          <cell r="L221">
            <v>6226.6634504900003</v>
          </cell>
          <cell r="M221">
            <v>518.88862087416669</v>
          </cell>
          <cell r="N221">
            <v>155666.58626225</v>
          </cell>
          <cell r="O221">
            <v>733856.76380775007</v>
          </cell>
          <cell r="P221">
            <v>0</v>
          </cell>
          <cell r="Q221">
            <v>518.88862087416669</v>
          </cell>
        </row>
        <row r="222">
          <cell r="A222">
            <v>2002</v>
          </cell>
          <cell r="B222">
            <v>0</v>
          </cell>
          <cell r="C222" t="str">
            <v xml:space="preserve">Коммунистическая, 80/1                                                                                                                                                                                                                        </v>
          </cell>
          <cell r="F222">
            <v>1974</v>
          </cell>
          <cell r="G222">
            <v>10100</v>
          </cell>
          <cell r="H222">
            <v>0.7</v>
          </cell>
          <cell r="I222">
            <v>440696100</v>
          </cell>
          <cell r="J222">
            <v>1.58</v>
          </cell>
          <cell r="K222">
            <v>694216.74945</v>
          </cell>
          <cell r="L222">
            <v>4859.5172461499997</v>
          </cell>
          <cell r="M222">
            <v>404.95977051249997</v>
          </cell>
          <cell r="N222">
            <v>136066.4828922</v>
          </cell>
          <cell r="O222">
            <v>558150.2665578</v>
          </cell>
          <cell r="P222">
            <v>0</v>
          </cell>
          <cell r="Q222">
            <v>404.95977051249997</v>
          </cell>
        </row>
        <row r="223">
          <cell r="A223">
            <v>2002</v>
          </cell>
          <cell r="B223">
            <v>0</v>
          </cell>
          <cell r="C223" t="str">
            <v xml:space="preserve">Коммунистическая, 98                                                                                                                                                                                                                          </v>
          </cell>
          <cell r="F223">
            <v>1987</v>
          </cell>
          <cell r="G223">
            <v>10101</v>
          </cell>
          <cell r="H223">
            <v>0.8</v>
          </cell>
          <cell r="I223">
            <v>6531065970</v>
          </cell>
          <cell r="J223">
            <v>0.5</v>
          </cell>
          <cell r="K223">
            <v>3267536.5348</v>
          </cell>
          <cell r="L223">
            <v>26140.292278400004</v>
          </cell>
          <cell r="M223">
            <v>2178.357689866667</v>
          </cell>
          <cell r="N223">
            <v>392104.38417600008</v>
          </cell>
          <cell r="O223">
            <v>2875432.150624</v>
          </cell>
          <cell r="P223">
            <v>0</v>
          </cell>
          <cell r="Q223">
            <v>2178.357689866667</v>
          </cell>
        </row>
        <row r="224">
          <cell r="A224">
            <v>2002</v>
          </cell>
          <cell r="B224">
            <v>0</v>
          </cell>
          <cell r="C224" t="str">
            <v xml:space="preserve">Кутякова, 1                                                                                                                                                                                                                                   </v>
          </cell>
          <cell r="F224">
            <v>1950</v>
          </cell>
          <cell r="G224">
            <v>10101</v>
          </cell>
          <cell r="H224">
            <v>0.8</v>
          </cell>
          <cell r="I224">
            <v>345075900</v>
          </cell>
          <cell r="J224">
            <v>1.29</v>
          </cell>
          <cell r="K224">
            <v>444084.34351999999</v>
          </cell>
          <cell r="L224">
            <v>3552.6747481600005</v>
          </cell>
          <cell r="M224">
            <v>296.05622901333339</v>
          </cell>
          <cell r="N224">
            <v>184739.08690432002</v>
          </cell>
          <cell r="O224">
            <v>259345.25661567997</v>
          </cell>
          <cell r="P224">
            <v>0</v>
          </cell>
          <cell r="Q224">
            <v>296.05622901333339</v>
          </cell>
        </row>
        <row r="225">
          <cell r="A225">
            <v>2002</v>
          </cell>
          <cell r="B225">
            <v>0</v>
          </cell>
          <cell r="C225" t="str">
            <v xml:space="preserve">Кутякова, 49/1                                                                                                                                                                                                                                </v>
          </cell>
          <cell r="F225">
            <v>1972</v>
          </cell>
          <cell r="G225">
            <v>10101</v>
          </cell>
          <cell r="H225">
            <v>0.8</v>
          </cell>
          <cell r="I225">
            <v>1044521000</v>
          </cell>
          <cell r="J225">
            <v>0.83</v>
          </cell>
          <cell r="K225">
            <v>866613.54833000002</v>
          </cell>
          <cell r="L225">
            <v>6932.9083866400006</v>
          </cell>
          <cell r="M225">
            <v>577.74236555333334</v>
          </cell>
          <cell r="N225">
            <v>207987.25159920001</v>
          </cell>
          <cell r="O225">
            <v>658626.29673080007</v>
          </cell>
          <cell r="P225">
            <v>0</v>
          </cell>
          <cell r="Q225">
            <v>577.74236555333334</v>
          </cell>
        </row>
        <row r="226">
          <cell r="A226">
            <v>2002</v>
          </cell>
          <cell r="B226">
            <v>0</v>
          </cell>
          <cell r="C226" t="str">
            <v xml:space="preserve">Кутякова, 51/1                                                                                                                                                                                                                                </v>
          </cell>
          <cell r="F226">
            <v>1972</v>
          </cell>
          <cell r="G226">
            <v>10101</v>
          </cell>
          <cell r="H226">
            <v>0.8</v>
          </cell>
          <cell r="I226">
            <v>932285000</v>
          </cell>
          <cell r="J226">
            <v>0.91</v>
          </cell>
          <cell r="K226">
            <v>844352.74948</v>
          </cell>
          <cell r="L226">
            <v>6754.8219958400005</v>
          </cell>
          <cell r="M226">
            <v>562.9018329866667</v>
          </cell>
          <cell r="N226">
            <v>202644.65987520001</v>
          </cell>
          <cell r="O226">
            <v>641708.08960479998</v>
          </cell>
          <cell r="P226">
            <v>0</v>
          </cell>
          <cell r="Q226">
            <v>562.9018329866667</v>
          </cell>
        </row>
        <row r="227">
          <cell r="A227">
            <v>2002</v>
          </cell>
          <cell r="B227">
            <v>0</v>
          </cell>
          <cell r="C227" t="str">
            <v xml:space="preserve">М. Горького, 101                                                                                                                                                                                                                              </v>
          </cell>
          <cell r="F227">
            <v>1952</v>
          </cell>
          <cell r="G227">
            <v>10101</v>
          </cell>
          <cell r="H227">
            <v>0.8</v>
          </cell>
          <cell r="I227">
            <v>400600200</v>
          </cell>
          <cell r="J227">
            <v>0.93998999999999999</v>
          </cell>
          <cell r="K227">
            <v>376816.67572</v>
          </cell>
          <cell r="L227">
            <v>3014.5334057599998</v>
          </cell>
          <cell r="M227">
            <v>251.21111714666665</v>
          </cell>
          <cell r="N227">
            <v>150726.67028799999</v>
          </cell>
          <cell r="O227">
            <v>226090.00543200001</v>
          </cell>
          <cell r="P227">
            <v>0</v>
          </cell>
          <cell r="Q227">
            <v>251.21111714666665</v>
          </cell>
        </row>
        <row r="228">
          <cell r="A228">
            <v>2002</v>
          </cell>
          <cell r="B228">
            <v>0</v>
          </cell>
          <cell r="C228" t="str">
            <v xml:space="preserve">М. Горького, 105                                                                                                                                                                                                                              </v>
          </cell>
          <cell r="F228">
            <v>1952</v>
          </cell>
          <cell r="G228">
            <v>10101</v>
          </cell>
          <cell r="H228">
            <v>0.8</v>
          </cell>
          <cell r="I228">
            <v>370461000</v>
          </cell>
          <cell r="J228">
            <v>1.07</v>
          </cell>
          <cell r="K228">
            <v>397798.28370000003</v>
          </cell>
          <cell r="L228">
            <v>3182.3862696000001</v>
          </cell>
          <cell r="M228">
            <v>265.19885579999999</v>
          </cell>
          <cell r="N228">
            <v>159119.31348000001</v>
          </cell>
          <cell r="O228">
            <v>238678.97022000002</v>
          </cell>
          <cell r="P228">
            <v>0</v>
          </cell>
          <cell r="Q228">
            <v>265.19885579999999</v>
          </cell>
        </row>
        <row r="229">
          <cell r="A229">
            <v>2002</v>
          </cell>
          <cell r="B229">
            <v>0</v>
          </cell>
          <cell r="C229" t="str">
            <v xml:space="preserve">М. Горького, 139                                                                                                                                                                                                                              </v>
          </cell>
          <cell r="F229">
            <v>1957</v>
          </cell>
          <cell r="G229">
            <v>10104</v>
          </cell>
          <cell r="H229">
            <v>3.3</v>
          </cell>
          <cell r="I229">
            <v>550309500</v>
          </cell>
          <cell r="J229">
            <v>1.29</v>
          </cell>
          <cell r="K229">
            <v>708436.78884000005</v>
          </cell>
          <cell r="L229">
            <v>23378.41403172</v>
          </cell>
          <cell r="M229">
            <v>0</v>
          </cell>
          <cell r="N229">
            <v>1052028.6314274</v>
          </cell>
          <cell r="O229">
            <v>0</v>
          </cell>
          <cell r="P229">
            <v>343591.84258739999</v>
          </cell>
          <cell r="Q229">
            <v>0</v>
          </cell>
        </row>
        <row r="230">
          <cell r="A230">
            <v>2002</v>
          </cell>
          <cell r="B230">
            <v>0</v>
          </cell>
          <cell r="C230" t="str">
            <v xml:space="preserve">М. Горького, 141                                                                                                                                                                                                                              </v>
          </cell>
          <cell r="F230">
            <v>1957</v>
          </cell>
          <cell r="G230">
            <v>10104</v>
          </cell>
          <cell r="H230">
            <v>3.3</v>
          </cell>
          <cell r="I230">
            <v>526539000</v>
          </cell>
          <cell r="J230">
            <v>1.37</v>
          </cell>
          <cell r="K230">
            <v>721528.32816000003</v>
          </cell>
          <cell r="L230">
            <v>23810.434829279999</v>
          </cell>
          <cell r="M230">
            <v>0</v>
          </cell>
          <cell r="N230">
            <v>1071469.5673175999</v>
          </cell>
          <cell r="O230">
            <v>0</v>
          </cell>
          <cell r="P230">
            <v>349941.23915759986</v>
          </cell>
          <cell r="Q230">
            <v>0</v>
          </cell>
        </row>
        <row r="231">
          <cell r="A231">
            <v>2002</v>
          </cell>
          <cell r="B231">
            <v>0</v>
          </cell>
          <cell r="C231" t="str">
            <v xml:space="preserve">М. Горького, 21/1                                                                                                                                                                                                                             </v>
          </cell>
          <cell r="F231">
            <v>1970</v>
          </cell>
          <cell r="G231">
            <v>10100</v>
          </cell>
          <cell r="H231">
            <v>0.7</v>
          </cell>
          <cell r="I231">
            <v>601079700</v>
          </cell>
          <cell r="J231">
            <v>2.0299999999999998</v>
          </cell>
          <cell r="K231">
            <v>1219887.45044</v>
          </cell>
          <cell r="L231">
            <v>8539.2121530799996</v>
          </cell>
          <cell r="M231">
            <v>711.60101275666659</v>
          </cell>
          <cell r="N231">
            <v>273254.78889855999</v>
          </cell>
          <cell r="O231">
            <v>946632.66154144006</v>
          </cell>
          <cell r="P231">
            <v>0</v>
          </cell>
          <cell r="Q231">
            <v>711.60101275666659</v>
          </cell>
        </row>
        <row r="232">
          <cell r="A232">
            <v>2002</v>
          </cell>
          <cell r="B232">
            <v>0</v>
          </cell>
          <cell r="C232" t="str">
            <v xml:space="preserve">М. Горького, 36                                                                                                                                                                                                                               </v>
          </cell>
          <cell r="F232">
            <v>1954</v>
          </cell>
          <cell r="G232">
            <v>10101</v>
          </cell>
          <cell r="H232">
            <v>0.8</v>
          </cell>
          <cell r="I232">
            <v>265422300</v>
          </cell>
          <cell r="J232">
            <v>0.95</v>
          </cell>
          <cell r="K232">
            <v>253395.96911999999</v>
          </cell>
          <cell r="L232">
            <v>2027.1677529600001</v>
          </cell>
          <cell r="M232">
            <v>168.93064608</v>
          </cell>
          <cell r="N232">
            <v>97304.052142080007</v>
          </cell>
          <cell r="O232">
            <v>156091.91697791999</v>
          </cell>
          <cell r="P232">
            <v>0</v>
          </cell>
          <cell r="Q232">
            <v>168.93064608</v>
          </cell>
        </row>
        <row r="233">
          <cell r="A233">
            <v>2002</v>
          </cell>
          <cell r="B233">
            <v>0</v>
          </cell>
          <cell r="C233" t="str">
            <v xml:space="preserve">М. Горького, 82                                                                                                                                                                                                                               </v>
          </cell>
          <cell r="F233">
            <v>1959</v>
          </cell>
          <cell r="G233">
            <v>10101</v>
          </cell>
          <cell r="H233">
            <v>0.8</v>
          </cell>
          <cell r="I233">
            <v>311259000</v>
          </cell>
          <cell r="J233">
            <v>1.22</v>
          </cell>
          <cell r="K233">
            <v>381051.65688999998</v>
          </cell>
          <cell r="L233">
            <v>3048.41325512</v>
          </cell>
          <cell r="M233">
            <v>254.03443792666667</v>
          </cell>
          <cell r="N233">
            <v>131081.76997016001</v>
          </cell>
          <cell r="O233">
            <v>249969.88691983998</v>
          </cell>
          <cell r="P233">
            <v>0</v>
          </cell>
          <cell r="Q233">
            <v>254.03443792666667</v>
          </cell>
        </row>
        <row r="234">
          <cell r="A234">
            <v>2002</v>
          </cell>
          <cell r="B234">
            <v>0</v>
          </cell>
          <cell r="C234" t="str">
            <v xml:space="preserve">М. Горького, 82/1                                                                                                                                                                                                                             </v>
          </cell>
          <cell r="F234">
            <v>1959</v>
          </cell>
          <cell r="G234">
            <v>10101</v>
          </cell>
          <cell r="H234">
            <v>0.8</v>
          </cell>
          <cell r="I234">
            <v>397998900</v>
          </cell>
          <cell r="J234">
            <v>1.1000000000000001</v>
          </cell>
          <cell r="K234">
            <v>439137.67463999998</v>
          </cell>
          <cell r="L234">
            <v>3513.1013971200005</v>
          </cell>
          <cell r="M234">
            <v>292.75844976000002</v>
          </cell>
          <cell r="N234">
            <v>151063.36007616002</v>
          </cell>
          <cell r="O234">
            <v>288074.31456383993</v>
          </cell>
          <cell r="P234">
            <v>0</v>
          </cell>
          <cell r="Q234">
            <v>292.75844976000002</v>
          </cell>
        </row>
        <row r="235">
          <cell r="A235">
            <v>2002</v>
          </cell>
          <cell r="B235">
            <v>0</v>
          </cell>
          <cell r="C235" t="str">
            <v xml:space="preserve">М. Горького, 86                                                                                                                                                                                                                               </v>
          </cell>
          <cell r="F235">
            <v>1965</v>
          </cell>
          <cell r="G235">
            <v>10101</v>
          </cell>
          <cell r="H235">
            <v>0.8</v>
          </cell>
          <cell r="I235">
            <v>361849800</v>
          </cell>
          <cell r="J235">
            <v>0.96</v>
          </cell>
          <cell r="K235">
            <v>346003.23384</v>
          </cell>
          <cell r="L235">
            <v>2768.0258707200001</v>
          </cell>
          <cell r="M235">
            <v>230.66882256</v>
          </cell>
          <cell r="N235">
            <v>102416.95721664</v>
          </cell>
          <cell r="O235">
            <v>243586.27662336</v>
          </cell>
          <cell r="P235">
            <v>0</v>
          </cell>
          <cell r="Q235">
            <v>230.66882256</v>
          </cell>
        </row>
        <row r="236">
          <cell r="A236">
            <v>2002</v>
          </cell>
          <cell r="B236">
            <v>0</v>
          </cell>
          <cell r="C236" t="str">
            <v xml:space="preserve">Набережная, 21/1                                                                                                                                                                                                                              </v>
          </cell>
          <cell r="F236">
            <v>1989</v>
          </cell>
          <cell r="G236">
            <v>10101</v>
          </cell>
          <cell r="H236">
            <v>0.8</v>
          </cell>
          <cell r="I236">
            <v>3782559300</v>
          </cell>
          <cell r="J236">
            <v>0.39</v>
          </cell>
          <cell r="K236">
            <v>1470459.3316599999</v>
          </cell>
          <cell r="L236">
            <v>11763.674653280001</v>
          </cell>
          <cell r="M236">
            <v>980.30622110666673</v>
          </cell>
          <cell r="N236">
            <v>152927.77049264</v>
          </cell>
          <cell r="O236">
            <v>1317531.5611673598</v>
          </cell>
          <cell r="P236">
            <v>0</v>
          </cell>
          <cell r="Q236">
            <v>980.30622110666673</v>
          </cell>
        </row>
        <row r="237">
          <cell r="A237">
            <v>2002</v>
          </cell>
          <cell r="B237">
            <v>0</v>
          </cell>
          <cell r="C237" t="str">
            <v xml:space="preserve">Набережная, 21/2                                                                                                                                                                                                                              </v>
          </cell>
          <cell r="F237">
            <v>1989</v>
          </cell>
          <cell r="G237">
            <v>10101</v>
          </cell>
          <cell r="H237">
            <v>0.8</v>
          </cell>
          <cell r="I237">
            <v>2960100000</v>
          </cell>
          <cell r="J237">
            <v>0.52</v>
          </cell>
          <cell r="K237">
            <v>1551110.41866</v>
          </cell>
          <cell r="L237">
            <v>12408.88334928</v>
          </cell>
          <cell r="M237">
            <v>1034.07361244</v>
          </cell>
          <cell r="N237">
            <v>161315.48354064001</v>
          </cell>
          <cell r="O237">
            <v>1389794.93511936</v>
          </cell>
          <cell r="P237">
            <v>0</v>
          </cell>
          <cell r="Q237">
            <v>1034.07361244</v>
          </cell>
        </row>
        <row r="238">
          <cell r="A238">
            <v>2002</v>
          </cell>
          <cell r="B238">
            <v>0</v>
          </cell>
          <cell r="C238" t="str">
            <v xml:space="preserve">Набережная, 21/3                                                                                                                                                                                                                              </v>
          </cell>
          <cell r="F238">
            <v>1989</v>
          </cell>
          <cell r="G238">
            <v>10101</v>
          </cell>
          <cell r="H238">
            <v>0.8</v>
          </cell>
          <cell r="I238">
            <v>3340607400</v>
          </cell>
          <cell r="J238">
            <v>0.45</v>
          </cell>
          <cell r="K238">
            <v>1509315.4208</v>
          </cell>
          <cell r="L238">
            <v>12074.523366400001</v>
          </cell>
          <cell r="M238">
            <v>1006.2102805333334</v>
          </cell>
          <cell r="N238">
            <v>156968.80376320001</v>
          </cell>
          <cell r="O238">
            <v>1352346.6170367999</v>
          </cell>
          <cell r="P238">
            <v>0</v>
          </cell>
          <cell r="Q238">
            <v>1006.2102805333334</v>
          </cell>
        </row>
        <row r="239">
          <cell r="A239">
            <v>2002</v>
          </cell>
          <cell r="B239">
            <v>0</v>
          </cell>
          <cell r="C239" t="str">
            <v xml:space="preserve">Набережная, 21/4                                                                                                                                                                                                                              </v>
          </cell>
          <cell r="F239">
            <v>1990</v>
          </cell>
          <cell r="G239">
            <v>10101</v>
          </cell>
          <cell r="H239">
            <v>0.8</v>
          </cell>
          <cell r="I239">
            <v>8750145300</v>
          </cell>
          <cell r="J239">
            <v>0.13</v>
          </cell>
          <cell r="K239">
            <v>1178451.72588</v>
          </cell>
          <cell r="L239">
            <v>9427.6138070400011</v>
          </cell>
          <cell r="M239">
            <v>785.63448392000009</v>
          </cell>
          <cell r="N239">
            <v>113131.36568448001</v>
          </cell>
          <cell r="O239">
            <v>1065320.3601955201</v>
          </cell>
          <cell r="P239">
            <v>0</v>
          </cell>
          <cell r="Q239">
            <v>785.63448392000009</v>
          </cell>
        </row>
        <row r="240">
          <cell r="A240">
            <v>2002</v>
          </cell>
          <cell r="B240">
            <v>0</v>
          </cell>
          <cell r="C240" t="str">
            <v xml:space="preserve">Октябрьская, 101                                                                                                                                                                                                                              </v>
          </cell>
          <cell r="F240">
            <v>1984</v>
          </cell>
          <cell r="G240">
            <v>10101</v>
          </cell>
          <cell r="H240">
            <v>0.8</v>
          </cell>
          <cell r="I240">
            <v>6508339769</v>
          </cell>
          <cell r="J240">
            <v>0.6</v>
          </cell>
          <cell r="K240">
            <v>3884913.76</v>
          </cell>
          <cell r="L240">
            <v>31079.310079999999</v>
          </cell>
          <cell r="M240">
            <v>2589.9425066666668</v>
          </cell>
          <cell r="N240">
            <v>559427.58143999998</v>
          </cell>
          <cell r="O240">
            <v>3325486.1785599999</v>
          </cell>
          <cell r="P240">
            <v>0</v>
          </cell>
          <cell r="Q240">
            <v>2589.9425066666668</v>
          </cell>
        </row>
        <row r="241">
          <cell r="A241">
            <v>2002</v>
          </cell>
          <cell r="B241">
            <v>0</v>
          </cell>
          <cell r="C241" t="str">
            <v xml:space="preserve">Октябрьская, 103                                                                                                                                                                                                                              </v>
          </cell>
          <cell r="F241">
            <v>1985</v>
          </cell>
          <cell r="G241">
            <v>10101</v>
          </cell>
          <cell r="H241">
            <v>0.8</v>
          </cell>
          <cell r="I241">
            <v>5339240010</v>
          </cell>
          <cell r="J241">
            <v>0.65</v>
          </cell>
          <cell r="K241">
            <v>3460818.372</v>
          </cell>
          <cell r="L241">
            <v>27686.546976000001</v>
          </cell>
          <cell r="M241">
            <v>2307.2122480000003</v>
          </cell>
          <cell r="N241">
            <v>470671.29859200004</v>
          </cell>
          <cell r="O241">
            <v>2990147.0734080002</v>
          </cell>
          <cell r="P241">
            <v>0</v>
          </cell>
          <cell r="Q241">
            <v>2307.2122480000003</v>
          </cell>
        </row>
        <row r="242">
          <cell r="A242">
            <v>2002</v>
          </cell>
          <cell r="B242">
            <v>0</v>
          </cell>
          <cell r="C242" t="str">
            <v xml:space="preserve">Октябрьская, 105                                                                                                                                                                                                                              </v>
          </cell>
          <cell r="F242">
            <v>1985</v>
          </cell>
          <cell r="G242">
            <v>10101</v>
          </cell>
          <cell r="H242">
            <v>0.8</v>
          </cell>
          <cell r="I242">
            <v>5562279060</v>
          </cell>
          <cell r="J242">
            <v>0.68</v>
          </cell>
          <cell r="K242">
            <v>3780382.4696</v>
          </cell>
          <cell r="L242">
            <v>30243.059756800001</v>
          </cell>
          <cell r="M242">
            <v>2520.2549797333336</v>
          </cell>
          <cell r="N242">
            <v>514132.01586560003</v>
          </cell>
          <cell r="O242">
            <v>3266250.4537343998</v>
          </cell>
          <cell r="P242">
            <v>0</v>
          </cell>
          <cell r="Q242">
            <v>2520.2549797333336</v>
          </cell>
        </row>
        <row r="243">
          <cell r="A243">
            <v>2002</v>
          </cell>
          <cell r="B243">
            <v>0</v>
          </cell>
          <cell r="C243" t="str">
            <v xml:space="preserve">Октябрьская, 107                                                                                                                                                                                                                              </v>
          </cell>
          <cell r="F243">
            <v>1985</v>
          </cell>
          <cell r="G243">
            <v>10101</v>
          </cell>
          <cell r="H243">
            <v>0.8</v>
          </cell>
          <cell r="I243">
            <v>5316568246</v>
          </cell>
          <cell r="J243">
            <v>0.7</v>
          </cell>
          <cell r="K243">
            <v>3746230.3234399999</v>
          </cell>
          <cell r="L243">
            <v>29969.842587520001</v>
          </cell>
          <cell r="M243">
            <v>2497.4868822933336</v>
          </cell>
          <cell r="N243">
            <v>509487.32398784003</v>
          </cell>
          <cell r="O243">
            <v>3236742.9994521597</v>
          </cell>
          <cell r="P243">
            <v>0</v>
          </cell>
          <cell r="Q243">
            <v>2497.4868822933336</v>
          </cell>
        </row>
        <row r="244">
          <cell r="A244">
            <v>2002</v>
          </cell>
          <cell r="B244">
            <v>0</v>
          </cell>
          <cell r="C244" t="str">
            <v xml:space="preserve">Октябрьская, 107/1                                                                                                                                                                                                                            </v>
          </cell>
          <cell r="F244">
            <v>1986</v>
          </cell>
          <cell r="G244">
            <v>10101</v>
          </cell>
          <cell r="H244">
            <v>0.8</v>
          </cell>
          <cell r="I244">
            <v>7450589640</v>
          </cell>
          <cell r="J244">
            <v>0.31</v>
          </cell>
          <cell r="K244">
            <v>2504805.38</v>
          </cell>
          <cell r="L244">
            <v>20038.443039999998</v>
          </cell>
          <cell r="M244">
            <v>1669.8702533333333</v>
          </cell>
          <cell r="N244">
            <v>320615.08863999997</v>
          </cell>
          <cell r="O244">
            <v>2184190.2913600001</v>
          </cell>
          <cell r="P244">
            <v>0</v>
          </cell>
          <cell r="Q244">
            <v>1669.8702533333333</v>
          </cell>
        </row>
        <row r="245">
          <cell r="A245">
            <v>2002</v>
          </cell>
          <cell r="B245">
            <v>0</v>
          </cell>
          <cell r="C245" t="str">
            <v xml:space="preserve">Октябрьская, 107/2                                                                                                                                                                                                                            </v>
          </cell>
          <cell r="F245">
            <v>1986</v>
          </cell>
          <cell r="G245">
            <v>10101</v>
          </cell>
          <cell r="H245">
            <v>0.8</v>
          </cell>
          <cell r="I245">
            <v>5536373700</v>
          </cell>
          <cell r="J245">
            <v>0.46</v>
          </cell>
          <cell r="K245">
            <v>2568082.6225999999</v>
          </cell>
          <cell r="L245">
            <v>20544.660980799999</v>
          </cell>
          <cell r="M245">
            <v>1712.0550817333333</v>
          </cell>
          <cell r="N245">
            <v>328714.57569279999</v>
          </cell>
          <cell r="O245">
            <v>2239368.0469072</v>
          </cell>
          <cell r="P245">
            <v>0</v>
          </cell>
          <cell r="Q245">
            <v>1712.0550817333333</v>
          </cell>
        </row>
        <row r="246">
          <cell r="A246">
            <v>2002</v>
          </cell>
          <cell r="B246">
            <v>0</v>
          </cell>
          <cell r="C246" t="str">
            <v xml:space="preserve">Октябрьская, 109                                                                                                                                                                                                                              </v>
          </cell>
          <cell r="F246">
            <v>1989</v>
          </cell>
          <cell r="G246">
            <v>10101</v>
          </cell>
          <cell r="H246">
            <v>0.8</v>
          </cell>
          <cell r="I246">
            <v>7980886247</v>
          </cell>
          <cell r="J246">
            <v>0.49</v>
          </cell>
          <cell r="K246">
            <v>3883244.2747999998</v>
          </cell>
          <cell r="L246">
            <v>31065.954198400002</v>
          </cell>
          <cell r="M246">
            <v>2588.8295165333334</v>
          </cell>
          <cell r="N246">
            <v>403857.40457920003</v>
          </cell>
          <cell r="O246">
            <v>3479386.8702207999</v>
          </cell>
          <cell r="P246">
            <v>0</v>
          </cell>
          <cell r="Q246">
            <v>2588.8295165333334</v>
          </cell>
        </row>
        <row r="247">
          <cell r="A247">
            <v>2002</v>
          </cell>
          <cell r="B247">
            <v>0</v>
          </cell>
          <cell r="C247" t="str">
            <v xml:space="preserve">Октябрьская, 109/1                                                                                                                                                                                                                            </v>
          </cell>
          <cell r="F247">
            <v>1989</v>
          </cell>
          <cell r="G247">
            <v>10101</v>
          </cell>
          <cell r="H247">
            <v>0.8</v>
          </cell>
          <cell r="I247">
            <v>5658186300</v>
          </cell>
          <cell r="J247">
            <v>0.42</v>
          </cell>
          <cell r="K247">
            <v>2550890.5099999998</v>
          </cell>
          <cell r="L247">
            <v>20407.124079999998</v>
          </cell>
          <cell r="M247">
            <v>1700.5936733333331</v>
          </cell>
          <cell r="N247">
            <v>265292.61303999997</v>
          </cell>
          <cell r="O247">
            <v>2285597.8969599996</v>
          </cell>
          <cell r="P247">
            <v>0</v>
          </cell>
          <cell r="Q247">
            <v>1700.5936733333331</v>
          </cell>
        </row>
        <row r="248">
          <cell r="A248">
            <v>2002</v>
          </cell>
          <cell r="B248">
            <v>0</v>
          </cell>
          <cell r="C248" t="str">
            <v xml:space="preserve">Октябрьская, 113                                                                                                                                                                                                                              </v>
          </cell>
          <cell r="F248">
            <v>1989</v>
          </cell>
          <cell r="G248">
            <v>10101</v>
          </cell>
          <cell r="H248">
            <v>0.8</v>
          </cell>
          <cell r="I248">
            <v>9538698000</v>
          </cell>
          <cell r="J248">
            <v>0.4</v>
          </cell>
          <cell r="K248">
            <v>3782831.5602000002</v>
          </cell>
          <cell r="L248">
            <v>30262.652481600006</v>
          </cell>
          <cell r="M248">
            <v>2521.8877068000006</v>
          </cell>
          <cell r="N248">
            <v>393414.48226080008</v>
          </cell>
          <cell r="O248">
            <v>3389417.0779392002</v>
          </cell>
          <cell r="P248">
            <v>0</v>
          </cell>
          <cell r="Q248">
            <v>2521.8877068000006</v>
          </cell>
        </row>
        <row r="249">
          <cell r="A249">
            <v>2002</v>
          </cell>
          <cell r="B249">
            <v>0</v>
          </cell>
          <cell r="C249" t="str">
            <v xml:space="preserve">пос. Нефтянников, 1                                                                                                                                                                                                                           </v>
          </cell>
          <cell r="F249">
            <v>1975</v>
          </cell>
          <cell r="G249">
            <v>10104</v>
          </cell>
          <cell r="H249">
            <v>3.3</v>
          </cell>
          <cell r="I249">
            <v>304962060</v>
          </cell>
          <cell r="J249">
            <v>1.48</v>
          </cell>
          <cell r="K249">
            <v>451141.79519999999</v>
          </cell>
          <cell r="L249">
            <v>14887.679241599999</v>
          </cell>
          <cell r="M249">
            <v>1240.6399368</v>
          </cell>
          <cell r="N249">
            <v>401967.33952319995</v>
          </cell>
          <cell r="O249">
            <v>49174.455676800048</v>
          </cell>
          <cell r="P249">
            <v>0</v>
          </cell>
          <cell r="Q249">
            <v>1240.6399368</v>
          </cell>
        </row>
        <row r="250">
          <cell r="A250">
            <v>2002</v>
          </cell>
          <cell r="B250">
            <v>0</v>
          </cell>
          <cell r="C250" t="str">
            <v xml:space="preserve">пос. Нефтянников, 2                                                                                                                                                                                                                           </v>
          </cell>
          <cell r="F250">
            <v>1975</v>
          </cell>
          <cell r="G250">
            <v>10104</v>
          </cell>
          <cell r="H250">
            <v>3.3</v>
          </cell>
          <cell r="I250">
            <v>304962060</v>
          </cell>
          <cell r="J250">
            <v>1.49</v>
          </cell>
          <cell r="K250">
            <v>455215.83650999999</v>
          </cell>
          <cell r="L250">
            <v>15022.12260483</v>
          </cell>
          <cell r="M250">
            <v>1251.8435504024999</v>
          </cell>
          <cell r="N250">
            <v>405597.31033040996</v>
          </cell>
          <cell r="O250">
            <v>49618.52617959003</v>
          </cell>
          <cell r="P250">
            <v>0</v>
          </cell>
          <cell r="Q250">
            <v>1251.8435504024999</v>
          </cell>
        </row>
        <row r="251">
          <cell r="A251">
            <v>2002</v>
          </cell>
          <cell r="B251">
            <v>0</v>
          </cell>
          <cell r="C251" t="str">
            <v xml:space="preserve">Пушкинская, 232                                                                                                                                                                                                                               </v>
          </cell>
          <cell r="F251">
            <v>1975</v>
          </cell>
          <cell r="G251">
            <v>10101</v>
          </cell>
          <cell r="H251">
            <v>0.8</v>
          </cell>
          <cell r="I251">
            <v>276993600</v>
          </cell>
          <cell r="J251">
            <v>1.24</v>
          </cell>
          <cell r="K251">
            <v>343095.93018999998</v>
          </cell>
          <cell r="L251">
            <v>2744.7674415199999</v>
          </cell>
          <cell r="M251">
            <v>228.73062012666665</v>
          </cell>
          <cell r="N251">
            <v>74108.720921040003</v>
          </cell>
          <cell r="O251">
            <v>268987.20926896</v>
          </cell>
          <cell r="P251">
            <v>0</v>
          </cell>
          <cell r="Q251">
            <v>228.73062012666665</v>
          </cell>
        </row>
        <row r="252">
          <cell r="A252">
            <v>2002</v>
          </cell>
          <cell r="B252">
            <v>0</v>
          </cell>
          <cell r="C252" t="str">
            <v xml:space="preserve">Рев. проспект, 169                                                                                                                                                                                                                            </v>
          </cell>
          <cell r="F252">
            <v>1916</v>
          </cell>
          <cell r="G252">
            <v>10103</v>
          </cell>
          <cell r="H252">
            <v>2</v>
          </cell>
          <cell r="I252">
            <v>208916503</v>
          </cell>
          <cell r="J252">
            <v>0.77</v>
          </cell>
          <cell r="K252">
            <v>160495.82879999999</v>
          </cell>
          <cell r="L252">
            <v>3209.9165759999996</v>
          </cell>
          <cell r="M252">
            <v>0</v>
          </cell>
          <cell r="N252">
            <v>276052.82553599996</v>
          </cell>
          <cell r="O252">
            <v>0</v>
          </cell>
          <cell r="P252">
            <v>115556.99673599997</v>
          </cell>
          <cell r="Q252">
            <v>0</v>
          </cell>
        </row>
        <row r="253">
          <cell r="A253">
            <v>2002</v>
          </cell>
          <cell r="B253">
            <v>0</v>
          </cell>
          <cell r="C253" t="str">
            <v xml:space="preserve">Рев. проспект, 188                                                                                                                                                                                                                            </v>
          </cell>
          <cell r="F253">
            <v>1973</v>
          </cell>
          <cell r="G253">
            <v>10101</v>
          </cell>
          <cell r="H253">
            <v>0.8</v>
          </cell>
          <cell r="I253">
            <v>2940531720</v>
          </cell>
          <cell r="J253">
            <v>0.63</v>
          </cell>
          <cell r="K253">
            <v>1862397.5149999999</v>
          </cell>
          <cell r="L253">
            <v>14899.180120000001</v>
          </cell>
          <cell r="M253">
            <v>1241.5983433333333</v>
          </cell>
          <cell r="N253">
            <v>432076.22348000004</v>
          </cell>
          <cell r="O253">
            <v>1430321.29152</v>
          </cell>
          <cell r="P253">
            <v>0</v>
          </cell>
          <cell r="Q253">
            <v>1241.5983433333333</v>
          </cell>
        </row>
        <row r="254">
          <cell r="A254">
            <v>2002</v>
          </cell>
          <cell r="B254">
            <v>0</v>
          </cell>
          <cell r="C254" t="str">
            <v xml:space="preserve">Рев. проспект, 204                                                                                                                                                                                                                            </v>
          </cell>
          <cell r="F254">
            <v>1957</v>
          </cell>
          <cell r="G254">
            <v>10101</v>
          </cell>
          <cell r="H254">
            <v>0.8</v>
          </cell>
          <cell r="I254">
            <v>374497500</v>
          </cell>
          <cell r="J254">
            <v>1.17</v>
          </cell>
          <cell r="K254">
            <v>438267.83411</v>
          </cell>
          <cell r="L254">
            <v>3506.1426728800002</v>
          </cell>
          <cell r="M254">
            <v>292.17855607333337</v>
          </cell>
          <cell r="N254">
            <v>157776.42027960002</v>
          </cell>
          <cell r="O254">
            <v>280491.41383039998</v>
          </cell>
          <cell r="P254">
            <v>0</v>
          </cell>
          <cell r="Q254">
            <v>292.17855607333337</v>
          </cell>
        </row>
        <row r="255">
          <cell r="A255">
            <v>2002</v>
          </cell>
          <cell r="B255">
            <v>0</v>
          </cell>
          <cell r="C255" t="str">
            <v xml:space="preserve">Свободы, 120/132                                                                                                                                                                                                                              </v>
          </cell>
          <cell r="F255">
            <v>1978</v>
          </cell>
          <cell r="G255">
            <v>10101</v>
          </cell>
          <cell r="H255">
            <v>0.8</v>
          </cell>
          <cell r="I255">
            <v>4404467340</v>
          </cell>
          <cell r="J255">
            <v>0.76</v>
          </cell>
          <cell r="K255">
            <v>3363868.3672000002</v>
          </cell>
          <cell r="L255">
            <v>26910.946937600002</v>
          </cell>
          <cell r="M255">
            <v>2242.5789114666668</v>
          </cell>
          <cell r="N255">
            <v>645862.72650240001</v>
          </cell>
          <cell r="O255">
            <v>2718005.6406976003</v>
          </cell>
          <cell r="P255">
            <v>0</v>
          </cell>
          <cell r="Q255">
            <v>2242.5789114666668</v>
          </cell>
        </row>
        <row r="256">
          <cell r="A256">
            <v>2002</v>
          </cell>
          <cell r="B256">
            <v>0</v>
          </cell>
          <cell r="C256" t="str">
            <v xml:space="preserve">Советская, 133                                                                                                                                                                                                                                </v>
          </cell>
          <cell r="F256">
            <v>1960</v>
          </cell>
          <cell r="G256">
            <v>10101</v>
          </cell>
          <cell r="H256">
            <v>0.8</v>
          </cell>
          <cell r="I256">
            <v>393513900</v>
          </cell>
          <cell r="J256">
            <v>1.1499999999999999</v>
          </cell>
          <cell r="K256">
            <v>452580.66467999999</v>
          </cell>
          <cell r="L256">
            <v>3620.6453174400003</v>
          </cell>
          <cell r="M256">
            <v>301.72044312000003</v>
          </cell>
          <cell r="N256">
            <v>152067.10333248001</v>
          </cell>
          <cell r="O256">
            <v>300513.56134751998</v>
          </cell>
          <cell r="P256">
            <v>0</v>
          </cell>
          <cell r="Q256">
            <v>301.72044312000003</v>
          </cell>
        </row>
        <row r="257">
          <cell r="A257">
            <v>2002</v>
          </cell>
          <cell r="B257">
            <v>0</v>
          </cell>
          <cell r="C257" t="str">
            <v xml:space="preserve">Советская, 147/1                                                                                                                                                                                                                              </v>
          </cell>
          <cell r="F257">
            <v>1995</v>
          </cell>
          <cell r="G257">
            <v>10101</v>
          </cell>
          <cell r="H257">
            <v>0.8</v>
          </cell>
          <cell r="I257">
            <v>503239083</v>
          </cell>
          <cell r="J257">
            <v>0.33</v>
          </cell>
          <cell r="K257">
            <v>168147.56</v>
          </cell>
          <cell r="L257">
            <v>1345.18048</v>
          </cell>
          <cell r="M257">
            <v>112.09837333333333</v>
          </cell>
          <cell r="N257">
            <v>9416.2633600000008</v>
          </cell>
          <cell r="O257">
            <v>158731.29663999999</v>
          </cell>
          <cell r="P257">
            <v>0</v>
          </cell>
          <cell r="Q257">
            <v>112.09837333333333</v>
          </cell>
        </row>
        <row r="258">
          <cell r="A258">
            <v>2002</v>
          </cell>
          <cell r="B258">
            <v>0</v>
          </cell>
          <cell r="C258" t="str">
            <v xml:space="preserve">Топорковская, 27                                                                                                                                                                                                                              </v>
          </cell>
          <cell r="F258">
            <v>1957</v>
          </cell>
          <cell r="G258">
            <v>10103</v>
          </cell>
          <cell r="H258">
            <v>2</v>
          </cell>
          <cell r="I258">
            <v>227389500</v>
          </cell>
          <cell r="J258">
            <v>0.98</v>
          </cell>
          <cell r="K258">
            <v>222819.75648000001</v>
          </cell>
          <cell r="L258">
            <v>4456.3951296000005</v>
          </cell>
          <cell r="M258">
            <v>371.36626080000002</v>
          </cell>
          <cell r="N258">
            <v>200537.78083200002</v>
          </cell>
          <cell r="O258">
            <v>22281.975647999992</v>
          </cell>
          <cell r="P258">
            <v>0</v>
          </cell>
          <cell r="Q258">
            <v>371.36626080000002</v>
          </cell>
        </row>
        <row r="259">
          <cell r="A259">
            <v>2002</v>
          </cell>
          <cell r="B259">
            <v>0</v>
          </cell>
          <cell r="C259" t="str">
            <v xml:space="preserve">Топорковская, 31                                                                                                                                                                                                                              </v>
          </cell>
          <cell r="F259">
            <v>1897</v>
          </cell>
          <cell r="G259">
            <v>10103</v>
          </cell>
          <cell r="H259">
            <v>2</v>
          </cell>
          <cell r="I259">
            <v>250711500</v>
          </cell>
          <cell r="J259">
            <v>1.06</v>
          </cell>
          <cell r="K259">
            <v>265652.81297999999</v>
          </cell>
          <cell r="L259">
            <v>5313.0562596</v>
          </cell>
          <cell r="M259">
            <v>0</v>
          </cell>
          <cell r="N259">
            <v>557870.90725799999</v>
          </cell>
          <cell r="O259">
            <v>0</v>
          </cell>
          <cell r="P259">
            <v>292218.094278</v>
          </cell>
          <cell r="Q259">
            <v>0</v>
          </cell>
        </row>
        <row r="260">
          <cell r="A260">
            <v>2002</v>
          </cell>
          <cell r="B260">
            <v>0</v>
          </cell>
          <cell r="C260" t="str">
            <v xml:space="preserve">Топорковская, 55                                                                                                                                                                                                                              </v>
          </cell>
          <cell r="F260">
            <v>1905</v>
          </cell>
          <cell r="G260">
            <v>10103</v>
          </cell>
          <cell r="H260">
            <v>2</v>
          </cell>
          <cell r="I260">
            <v>77500800</v>
          </cell>
          <cell r="J260">
            <v>0.72</v>
          </cell>
          <cell r="K260">
            <v>55915.620600000002</v>
          </cell>
          <cell r="L260">
            <v>1118.312412</v>
          </cell>
          <cell r="M260">
            <v>0</v>
          </cell>
          <cell r="N260">
            <v>108476.30396400001</v>
          </cell>
          <cell r="O260">
            <v>0</v>
          </cell>
          <cell r="P260">
            <v>52560.683364000004</v>
          </cell>
          <cell r="Q260">
            <v>0</v>
          </cell>
        </row>
        <row r="261">
          <cell r="A261">
            <v>2002</v>
          </cell>
          <cell r="B261">
            <v>0</v>
          </cell>
          <cell r="C261" t="str">
            <v xml:space="preserve">ул. Строителей, 2                                                                                                                                                                                                                             </v>
          </cell>
          <cell r="F261">
            <v>1992</v>
          </cell>
          <cell r="G261">
            <v>10101</v>
          </cell>
          <cell r="H261">
            <v>0.8</v>
          </cell>
          <cell r="I261">
            <v>389103000</v>
          </cell>
          <cell r="J261">
            <v>3.26</v>
          </cell>
          <cell r="K261">
            <v>1268847.4842999999</v>
          </cell>
          <cell r="L261">
            <v>10150.779874399999</v>
          </cell>
          <cell r="M261">
            <v>845.8983228666666</v>
          </cell>
          <cell r="N261">
            <v>101507.798744</v>
          </cell>
          <cell r="O261">
            <v>1167339.6855559999</v>
          </cell>
          <cell r="P261">
            <v>0</v>
          </cell>
          <cell r="Q261">
            <v>845.8983228666666</v>
          </cell>
        </row>
        <row r="262">
          <cell r="A262">
            <v>2002</v>
          </cell>
          <cell r="B262">
            <v>0</v>
          </cell>
          <cell r="C262" t="str">
            <v xml:space="preserve">ул. Строителей, 4                                                                                                                                                                                                                             </v>
          </cell>
          <cell r="F262">
            <v>1997</v>
          </cell>
          <cell r="G262">
            <v>10101</v>
          </cell>
          <cell r="H262">
            <v>0.8</v>
          </cell>
          <cell r="I262">
            <v>516030029</v>
          </cell>
          <cell r="J262">
            <v>2.35</v>
          </cell>
          <cell r="K262">
            <v>1213807.6764</v>
          </cell>
          <cell r="L262">
            <v>9710.4614111999999</v>
          </cell>
          <cell r="M262">
            <v>809.20511759999999</v>
          </cell>
          <cell r="N262">
            <v>48552.307055999998</v>
          </cell>
          <cell r="O262">
            <v>1165255.369344</v>
          </cell>
          <cell r="P262">
            <v>0</v>
          </cell>
          <cell r="Q262">
            <v>809.20511759999999</v>
          </cell>
        </row>
        <row r="263">
          <cell r="A263">
            <v>2002</v>
          </cell>
          <cell r="B263">
            <v>0</v>
          </cell>
          <cell r="C263" t="str">
            <v xml:space="preserve">Урицкого, 156                                                                                                                                                                                                                                 </v>
          </cell>
          <cell r="F263">
            <v>1987</v>
          </cell>
          <cell r="G263">
            <v>10100</v>
          </cell>
          <cell r="H263">
            <v>0.7</v>
          </cell>
          <cell r="I263">
            <v>2928992040</v>
          </cell>
          <cell r="J263">
            <v>0.41</v>
          </cell>
          <cell r="K263">
            <v>1208921.791</v>
          </cell>
          <cell r="L263">
            <v>8462.4525369999992</v>
          </cell>
          <cell r="M263">
            <v>705.20437808333327</v>
          </cell>
          <cell r="N263">
            <v>126936.78805499998</v>
          </cell>
          <cell r="O263">
            <v>1081985.0029450001</v>
          </cell>
          <cell r="P263">
            <v>0</v>
          </cell>
          <cell r="Q263">
            <v>705.20437808333327</v>
          </cell>
        </row>
        <row r="264">
          <cell r="A264">
            <v>2002</v>
          </cell>
          <cell r="B264">
            <v>0</v>
          </cell>
          <cell r="C264" t="str">
            <v xml:space="preserve">Целинная, 10                                                                                                                                                                                                                                  </v>
          </cell>
          <cell r="F264">
            <v>1990</v>
          </cell>
          <cell r="G264">
            <v>10101</v>
          </cell>
          <cell r="H264">
            <v>0.8</v>
          </cell>
          <cell r="I264">
            <v>1510099500</v>
          </cell>
          <cell r="J264">
            <v>0.14000000000000001</v>
          </cell>
          <cell r="K264">
            <v>217426.72185</v>
          </cell>
          <cell r="L264">
            <v>1739.4137748000003</v>
          </cell>
          <cell r="M264">
            <v>144.95114790000002</v>
          </cell>
          <cell r="N264">
            <v>20872.965297600003</v>
          </cell>
          <cell r="O264">
            <v>196553.75655240001</v>
          </cell>
          <cell r="P264">
            <v>0</v>
          </cell>
          <cell r="Q264">
            <v>144.95114790000002</v>
          </cell>
        </row>
        <row r="265">
          <cell r="A265">
            <v>2002</v>
          </cell>
          <cell r="B265">
            <v>0</v>
          </cell>
          <cell r="C265" t="str">
            <v xml:space="preserve">Целинная, 8                                                                                                                                                                                                                                   </v>
          </cell>
          <cell r="F265">
            <v>1990</v>
          </cell>
          <cell r="G265">
            <v>10101</v>
          </cell>
          <cell r="H265">
            <v>0.8</v>
          </cell>
          <cell r="I265">
            <v>1510099500</v>
          </cell>
          <cell r="J265">
            <v>0.15</v>
          </cell>
          <cell r="K265">
            <v>229906.24376000001</v>
          </cell>
          <cell r="L265">
            <v>1839.2499500800002</v>
          </cell>
          <cell r="M265">
            <v>153.27082917333334</v>
          </cell>
          <cell r="N265">
            <v>22070.999400960001</v>
          </cell>
          <cell r="O265">
            <v>207835.24435904002</v>
          </cell>
          <cell r="P265">
            <v>0</v>
          </cell>
          <cell r="Q265">
            <v>153.27082917333334</v>
          </cell>
        </row>
        <row r="266">
          <cell r="A266">
            <v>2002</v>
          </cell>
          <cell r="B266">
            <v>0</v>
          </cell>
          <cell r="C266" t="str">
            <v xml:space="preserve">Целинный пер, 10/1                                                                                                                                                                                                                            </v>
          </cell>
          <cell r="F266">
            <v>1995</v>
          </cell>
          <cell r="G266">
            <v>10101</v>
          </cell>
          <cell r="H266">
            <v>0.8</v>
          </cell>
          <cell r="I266">
            <v>116356221</v>
          </cell>
          <cell r="J266">
            <v>3.91</v>
          </cell>
          <cell r="K266">
            <v>454992.08</v>
          </cell>
          <cell r="L266">
            <v>3639.9366400000004</v>
          </cell>
          <cell r="M266">
            <v>303.32805333333334</v>
          </cell>
          <cell r="N266">
            <v>25479.556480000003</v>
          </cell>
          <cell r="O266">
            <v>429512.52351999999</v>
          </cell>
          <cell r="P266">
            <v>0</v>
          </cell>
          <cell r="Q266">
            <v>303.32805333333334</v>
          </cell>
        </row>
        <row r="267">
          <cell r="A267">
            <v>2002</v>
          </cell>
          <cell r="B267">
            <v>0</v>
          </cell>
          <cell r="C267" t="str">
            <v xml:space="preserve">Чапаевская, 97                                                                                                                                                                                                                                </v>
          </cell>
          <cell r="F267">
            <v>1960</v>
          </cell>
          <cell r="G267">
            <v>10101</v>
          </cell>
          <cell r="H267">
            <v>2</v>
          </cell>
          <cell r="I267">
            <v>503127300</v>
          </cell>
          <cell r="J267">
            <v>1.1000000000000001</v>
          </cell>
          <cell r="K267">
            <v>553244.93715999997</v>
          </cell>
          <cell r="L267">
            <v>11064.898743199999</v>
          </cell>
          <cell r="M267">
            <v>922.07489526666666</v>
          </cell>
          <cell r="N267">
            <v>464725.74721439998</v>
          </cell>
          <cell r="O267">
            <v>88519.189945599996</v>
          </cell>
          <cell r="P267">
            <v>0</v>
          </cell>
          <cell r="Q267">
            <v>922.07489526666666</v>
          </cell>
        </row>
        <row r="268">
          <cell r="A268">
            <v>2002</v>
          </cell>
          <cell r="B268">
            <v>0</v>
          </cell>
          <cell r="C268" t="str">
            <v>Октябрьская 111  Ic-IIIc</v>
          </cell>
          <cell r="E268">
            <v>5</v>
          </cell>
          <cell r="F268">
            <v>1999</v>
          </cell>
          <cell r="G268">
            <v>10101</v>
          </cell>
          <cell r="H268">
            <v>0.8</v>
          </cell>
          <cell r="K268">
            <v>6424500</v>
          </cell>
          <cell r="L268">
            <v>51396</v>
          </cell>
          <cell r="M268">
            <v>4283</v>
          </cell>
          <cell r="N268">
            <v>154188</v>
          </cell>
          <cell r="O268">
            <v>6270312</v>
          </cell>
          <cell r="P268">
            <v>0</v>
          </cell>
          <cell r="Q268">
            <v>4283</v>
          </cell>
          <cell r="R268">
            <v>6424500</v>
          </cell>
        </row>
        <row r="269">
          <cell r="A269">
            <v>2002</v>
          </cell>
          <cell r="B269">
            <v>0</v>
          </cell>
          <cell r="C269" t="str">
            <v>Кутякова 64</v>
          </cell>
          <cell r="F269">
            <v>1975</v>
          </cell>
          <cell r="G269">
            <v>10101</v>
          </cell>
          <cell r="H269">
            <v>0.8</v>
          </cell>
          <cell r="I269">
            <v>1898975910</v>
          </cell>
          <cell r="J269">
            <v>0.78</v>
          </cell>
          <cell r="K269">
            <v>1488423.2439999999</v>
          </cell>
          <cell r="L269">
            <v>11907.385952000001</v>
          </cell>
          <cell r="M269">
            <v>992.28216266666675</v>
          </cell>
          <cell r="N269">
            <v>321499.42070399999</v>
          </cell>
          <cell r="O269">
            <v>1166923.823296</v>
          </cell>
          <cell r="P269">
            <v>0</v>
          </cell>
          <cell r="Q269">
            <v>992.28216266666675</v>
          </cell>
        </row>
        <row r="270">
          <cell r="A270">
            <v>2002</v>
          </cell>
          <cell r="B270">
            <v>0</v>
          </cell>
          <cell r="C270" t="str">
            <v>Кутякова49</v>
          </cell>
          <cell r="F270">
            <v>1966</v>
          </cell>
          <cell r="G270">
            <v>10101</v>
          </cell>
          <cell r="H270">
            <v>0.8</v>
          </cell>
          <cell r="I270">
            <v>690367080</v>
          </cell>
          <cell r="J270">
            <v>1.1100000000000001</v>
          </cell>
          <cell r="K270">
            <v>764979.73</v>
          </cell>
          <cell r="L270">
            <v>6119.8378400000001</v>
          </cell>
          <cell r="M270">
            <v>509.98648666666668</v>
          </cell>
          <cell r="N270">
            <v>220314.16224000001</v>
          </cell>
          <cell r="O270">
            <v>544665.56776000001</v>
          </cell>
          <cell r="P270">
            <v>0</v>
          </cell>
          <cell r="Q270">
            <v>509.98648666666668</v>
          </cell>
        </row>
        <row r="271">
          <cell r="A271">
            <v>2002</v>
          </cell>
          <cell r="B271">
            <v>0</v>
          </cell>
          <cell r="C271" t="str">
            <v>Кутякова 51</v>
          </cell>
          <cell r="F271">
            <v>1967</v>
          </cell>
          <cell r="G271">
            <v>10101</v>
          </cell>
          <cell r="H271">
            <v>0.8</v>
          </cell>
          <cell r="I271">
            <v>682608030</v>
          </cell>
          <cell r="J271">
            <v>1.1399999999999999</v>
          </cell>
          <cell r="K271">
            <v>775926.19200000004</v>
          </cell>
          <cell r="L271">
            <v>6207.4095360000001</v>
          </cell>
          <cell r="M271">
            <v>517.28412800000001</v>
          </cell>
          <cell r="N271">
            <v>217259.33376000001</v>
          </cell>
          <cell r="O271">
            <v>558666.85823999997</v>
          </cell>
          <cell r="P271">
            <v>0</v>
          </cell>
          <cell r="Q271">
            <v>517.28412800000001</v>
          </cell>
        </row>
        <row r="272">
          <cell r="A272">
            <v>2002</v>
          </cell>
          <cell r="B272">
            <v>0</v>
          </cell>
          <cell r="C272" t="str">
            <v>Кутякова 53</v>
          </cell>
          <cell r="F272">
            <v>1969</v>
          </cell>
          <cell r="G272">
            <v>10101</v>
          </cell>
          <cell r="H272">
            <v>0.8</v>
          </cell>
          <cell r="I272">
            <v>572847990</v>
          </cell>
          <cell r="J272">
            <v>0.79</v>
          </cell>
          <cell r="K272">
            <v>450272.61599999998</v>
          </cell>
          <cell r="L272">
            <v>3602.1809279999998</v>
          </cell>
          <cell r="M272">
            <v>300.18174399999998</v>
          </cell>
          <cell r="N272">
            <v>118871.97062399999</v>
          </cell>
          <cell r="O272">
            <v>331400.64537599997</v>
          </cell>
          <cell r="P272">
            <v>0</v>
          </cell>
          <cell r="Q272">
            <v>300.18174399999998</v>
          </cell>
        </row>
        <row r="273">
          <cell r="A273">
            <v>2002</v>
          </cell>
          <cell r="B273">
            <v>0</v>
          </cell>
          <cell r="C273" t="str">
            <v>Вокзальная 2/1</v>
          </cell>
          <cell r="F273">
            <v>1968</v>
          </cell>
          <cell r="G273">
            <v>10101</v>
          </cell>
          <cell r="H273">
            <v>0.8</v>
          </cell>
          <cell r="I273">
            <v>2142520380</v>
          </cell>
          <cell r="J273">
            <v>0.7</v>
          </cell>
          <cell r="K273">
            <v>1498347.6329999999</v>
          </cell>
          <cell r="L273">
            <v>11986.781063999999</v>
          </cell>
          <cell r="M273">
            <v>998.89842199999987</v>
          </cell>
          <cell r="N273">
            <v>407550.55617599998</v>
          </cell>
          <cell r="O273">
            <v>1090797.0768239999</v>
          </cell>
          <cell r="P273">
            <v>0</v>
          </cell>
          <cell r="Q273">
            <v>998.89842199999987</v>
          </cell>
        </row>
        <row r="274">
          <cell r="A274">
            <v>2002</v>
          </cell>
          <cell r="B274">
            <v>0</v>
          </cell>
          <cell r="C274" t="str">
            <v>Вокзальная 2/2</v>
          </cell>
          <cell r="F274">
            <v>1958</v>
          </cell>
          <cell r="G274">
            <v>10101</v>
          </cell>
          <cell r="H274">
            <v>0.8</v>
          </cell>
          <cell r="I274">
            <v>688707630</v>
          </cell>
          <cell r="J274">
            <v>0.9</v>
          </cell>
          <cell r="K274">
            <v>618869.60400000005</v>
          </cell>
          <cell r="L274">
            <v>4950.9568320000008</v>
          </cell>
          <cell r="M274">
            <v>412.57973600000008</v>
          </cell>
          <cell r="N274">
            <v>217842.10060800004</v>
          </cell>
          <cell r="O274">
            <v>401027.50339199998</v>
          </cell>
          <cell r="P274">
            <v>0</v>
          </cell>
          <cell r="Q274">
            <v>412.57973600000008</v>
          </cell>
        </row>
        <row r="275">
          <cell r="A275">
            <v>2002</v>
          </cell>
          <cell r="B275">
            <v>0</v>
          </cell>
          <cell r="C275" t="str">
            <v>Вокзальная 4</v>
          </cell>
          <cell r="F275">
            <v>1958</v>
          </cell>
          <cell r="G275">
            <v>10101</v>
          </cell>
          <cell r="H275">
            <v>0.8</v>
          </cell>
          <cell r="I275">
            <v>729422460</v>
          </cell>
          <cell r="J275">
            <v>0.99</v>
          </cell>
          <cell r="K275">
            <v>725693.38100000005</v>
          </cell>
          <cell r="L275">
            <v>5805.5470480000004</v>
          </cell>
          <cell r="M275">
            <v>483.79558733333334</v>
          </cell>
          <cell r="N275">
            <v>255444.07011200002</v>
          </cell>
          <cell r="O275">
            <v>470249.31088800007</v>
          </cell>
          <cell r="P275">
            <v>0</v>
          </cell>
          <cell r="Q275">
            <v>483.79558733333334</v>
          </cell>
        </row>
        <row r="276">
          <cell r="A276">
            <v>2002</v>
          </cell>
          <cell r="B276">
            <v>0</v>
          </cell>
          <cell r="C276" t="str">
            <v>Вокзальная 6</v>
          </cell>
          <cell r="F276">
            <v>1962</v>
          </cell>
          <cell r="G276">
            <v>10101</v>
          </cell>
          <cell r="H276">
            <v>0.8</v>
          </cell>
          <cell r="I276">
            <v>662775360</v>
          </cell>
          <cell r="J276">
            <v>1.0900000000000001</v>
          </cell>
          <cell r="K276">
            <v>719127.61399999994</v>
          </cell>
          <cell r="L276">
            <v>5753.020912</v>
          </cell>
          <cell r="M276">
            <v>479.41840933333333</v>
          </cell>
          <cell r="N276">
            <v>230120.83648</v>
          </cell>
          <cell r="O276">
            <v>489006.77751999995</v>
          </cell>
          <cell r="P276">
            <v>0</v>
          </cell>
          <cell r="Q276">
            <v>479.41840933333333</v>
          </cell>
        </row>
        <row r="277">
          <cell r="A277">
            <v>2002</v>
          </cell>
          <cell r="B277">
            <v>0</v>
          </cell>
          <cell r="C277" t="str">
            <v>Вокзальная 10</v>
          </cell>
          <cell r="F277">
            <v>1967</v>
          </cell>
          <cell r="G277">
            <v>10101</v>
          </cell>
          <cell r="H277">
            <v>0.8</v>
          </cell>
          <cell r="I277">
            <v>620006400</v>
          </cell>
          <cell r="J277">
            <v>1.1000000000000001</v>
          </cell>
          <cell r="K277">
            <v>682534.69799999997</v>
          </cell>
          <cell r="L277">
            <v>5460.2775840000004</v>
          </cell>
          <cell r="M277">
            <v>455.02313200000003</v>
          </cell>
          <cell r="N277">
            <v>191109.71544</v>
          </cell>
          <cell r="O277">
            <v>491424.98255999997</v>
          </cell>
          <cell r="P277">
            <v>0</v>
          </cell>
          <cell r="Q277">
            <v>455.02313200000003</v>
          </cell>
        </row>
        <row r="278">
          <cell r="A278">
            <v>2002</v>
          </cell>
          <cell r="B278">
            <v>0</v>
          </cell>
          <cell r="C278" t="str">
            <v>Сенница 77/89</v>
          </cell>
          <cell r="F278">
            <v>1983</v>
          </cell>
          <cell r="G278">
            <v>10100</v>
          </cell>
          <cell r="H278">
            <v>0.7</v>
          </cell>
          <cell r="I278">
            <v>2422348500</v>
          </cell>
          <cell r="J278">
            <v>1.1599999999999999</v>
          </cell>
          <cell r="K278">
            <v>2801843.764</v>
          </cell>
          <cell r="L278">
            <v>19612.906348</v>
          </cell>
          <cell r="M278">
            <v>1634.4088623333334</v>
          </cell>
          <cell r="N278">
            <v>372645.22061200003</v>
          </cell>
          <cell r="O278">
            <v>2429198.5433879998</v>
          </cell>
          <cell r="P278">
            <v>0</v>
          </cell>
          <cell r="Q278">
            <v>1634.4088623333334</v>
          </cell>
        </row>
        <row r="279">
          <cell r="A279">
            <v>2002</v>
          </cell>
          <cell r="B279">
            <v>0</v>
          </cell>
          <cell r="C279" t="str">
            <v>Сенница 57/75</v>
          </cell>
          <cell r="F279">
            <v>1984</v>
          </cell>
          <cell r="G279">
            <v>10100</v>
          </cell>
          <cell r="H279">
            <v>0.7</v>
          </cell>
          <cell r="I279">
            <v>3614317980</v>
          </cell>
          <cell r="J279">
            <v>0.67</v>
          </cell>
          <cell r="K279">
            <v>2431274.86</v>
          </cell>
          <cell r="L279">
            <v>17018.924019999999</v>
          </cell>
          <cell r="M279">
            <v>1418.2436683333333</v>
          </cell>
          <cell r="N279">
            <v>306340.63235999999</v>
          </cell>
          <cell r="O279">
            <v>2124934.2276399997</v>
          </cell>
          <cell r="P279">
            <v>0</v>
          </cell>
          <cell r="Q279">
            <v>1418.2436683333333</v>
          </cell>
        </row>
        <row r="280">
          <cell r="A280">
            <v>2002</v>
          </cell>
          <cell r="B280">
            <v>0</v>
          </cell>
          <cell r="C280" t="str">
            <v>Сенница 31/57</v>
          </cell>
          <cell r="F280">
            <v>1991</v>
          </cell>
          <cell r="G280">
            <v>10100</v>
          </cell>
          <cell r="H280">
            <v>0.7</v>
          </cell>
          <cell r="I280">
            <v>7338126510</v>
          </cell>
          <cell r="J280">
            <v>0.71</v>
          </cell>
          <cell r="K280">
            <v>2502970.557</v>
          </cell>
          <cell r="L280">
            <v>17520.793898999997</v>
          </cell>
          <cell r="M280">
            <v>1460.0661582499997</v>
          </cell>
          <cell r="N280">
            <v>192728.73288899998</v>
          </cell>
          <cell r="O280">
            <v>2310241.8241110002</v>
          </cell>
          <cell r="P280">
            <v>0</v>
          </cell>
          <cell r="Q280">
            <v>1460.0661582499997</v>
          </cell>
        </row>
        <row r="281">
          <cell r="A281">
            <v>2002</v>
          </cell>
          <cell r="B281">
            <v>0</v>
          </cell>
          <cell r="C281" t="str">
            <v>Сенница 31</v>
          </cell>
          <cell r="F281">
            <v>1990</v>
          </cell>
          <cell r="G281">
            <v>10101</v>
          </cell>
          <cell r="H281">
            <v>0.8</v>
          </cell>
          <cell r="I281">
            <v>4351912110</v>
          </cell>
          <cell r="J281">
            <v>0.67</v>
          </cell>
          <cell r="K281">
            <v>2903016.875</v>
          </cell>
          <cell r="L281">
            <v>23224.134999999998</v>
          </cell>
          <cell r="M281">
            <v>1935.3445833333333</v>
          </cell>
          <cell r="N281">
            <v>278689.62</v>
          </cell>
          <cell r="O281">
            <v>2624327.2549999999</v>
          </cell>
          <cell r="P281">
            <v>0</v>
          </cell>
          <cell r="Q281">
            <v>1935.3445833333333</v>
          </cell>
        </row>
        <row r="282">
          <cell r="A282">
            <v>2002</v>
          </cell>
          <cell r="B282">
            <v>0</v>
          </cell>
          <cell r="C282" t="str">
            <v>Урицкого 29/37</v>
          </cell>
          <cell r="F282">
            <v>1984</v>
          </cell>
          <cell r="G282">
            <v>10100</v>
          </cell>
          <cell r="H282">
            <v>0.7</v>
          </cell>
          <cell r="I282">
            <v>4099146480</v>
          </cell>
          <cell r="J282">
            <v>0.61</v>
          </cell>
          <cell r="K282">
            <v>2490107.9440000001</v>
          </cell>
          <cell r="L282">
            <v>17430.755607999999</v>
          </cell>
          <cell r="M282">
            <v>1452.5629673333333</v>
          </cell>
          <cell r="N282">
            <v>313753.60094400001</v>
          </cell>
          <cell r="O282">
            <v>2176354.3430560003</v>
          </cell>
          <cell r="P282">
            <v>0</v>
          </cell>
          <cell r="Q282">
            <v>1452.5629673333333</v>
          </cell>
        </row>
        <row r="283">
          <cell r="A283">
            <v>2002</v>
          </cell>
          <cell r="B283">
            <v>0</v>
          </cell>
          <cell r="C283" t="str">
            <v>Урицкого  42/54</v>
          </cell>
          <cell r="F283">
            <v>1990</v>
          </cell>
          <cell r="G283">
            <v>10101</v>
          </cell>
          <cell r="H283">
            <v>0.8</v>
          </cell>
          <cell r="I283">
            <v>5484177270</v>
          </cell>
          <cell r="J283">
            <v>0.56999999999999995</v>
          </cell>
          <cell r="K283">
            <v>3147209.2659999998</v>
          </cell>
          <cell r="L283">
            <v>25177.674127999999</v>
          </cell>
          <cell r="M283">
            <v>2098.1395106666664</v>
          </cell>
          <cell r="N283">
            <v>302132.08953599998</v>
          </cell>
          <cell r="O283">
            <v>2845077.1764639998</v>
          </cell>
          <cell r="P283">
            <v>0</v>
          </cell>
          <cell r="Q283">
            <v>2098.1395106666664</v>
          </cell>
        </row>
        <row r="284">
          <cell r="A284">
            <v>2002</v>
          </cell>
          <cell r="B284">
            <v>0</v>
          </cell>
          <cell r="C284" t="str">
            <v>Урицкого 70/78</v>
          </cell>
          <cell r="F284">
            <v>1990</v>
          </cell>
          <cell r="G284">
            <v>10101</v>
          </cell>
          <cell r="H284">
            <v>0.8</v>
          </cell>
          <cell r="I284">
            <v>6663409350</v>
          </cell>
          <cell r="J284">
            <v>0.42</v>
          </cell>
          <cell r="K284">
            <v>2791456.5759999999</v>
          </cell>
          <cell r="L284">
            <v>22331.652607999997</v>
          </cell>
          <cell r="M284">
            <v>1860.9710506666663</v>
          </cell>
          <cell r="N284">
            <v>267979.83129599993</v>
          </cell>
          <cell r="O284">
            <v>2523476.7447039997</v>
          </cell>
          <cell r="P284">
            <v>0</v>
          </cell>
          <cell r="Q284">
            <v>1860.9710506666663</v>
          </cell>
        </row>
        <row r="285">
          <cell r="A285">
            <v>2002</v>
          </cell>
          <cell r="B285">
            <v>0</v>
          </cell>
          <cell r="C285" t="str">
            <v>Рев.Проспект.252/260</v>
          </cell>
          <cell r="F285">
            <v>1988</v>
          </cell>
          <cell r="G285">
            <v>10100</v>
          </cell>
          <cell r="H285">
            <v>0.7</v>
          </cell>
          <cell r="I285">
            <v>3932241690</v>
          </cell>
          <cell r="J285">
            <v>0.66</v>
          </cell>
          <cell r="K285">
            <v>2593812.094</v>
          </cell>
          <cell r="L285">
            <v>18156.684657999998</v>
          </cell>
          <cell r="M285">
            <v>1513.0570548333333</v>
          </cell>
          <cell r="N285">
            <v>254193.58521199998</v>
          </cell>
          <cell r="O285">
            <v>2339618.5087879999</v>
          </cell>
          <cell r="P285">
            <v>0</v>
          </cell>
          <cell r="Q285">
            <v>1513.0570548333333</v>
          </cell>
        </row>
        <row r="286">
          <cell r="A286">
            <v>2002</v>
          </cell>
          <cell r="B286">
            <v>0</v>
          </cell>
          <cell r="C286" t="str">
            <v>Рев.Проспект.226/240</v>
          </cell>
          <cell r="F286">
            <v>1990</v>
          </cell>
          <cell r="G286">
            <v>10100</v>
          </cell>
          <cell r="H286">
            <v>0.7</v>
          </cell>
          <cell r="I286">
            <v>5144411610</v>
          </cell>
          <cell r="J286">
            <v>0.48</v>
          </cell>
          <cell r="K286">
            <v>2444896.8199999998</v>
          </cell>
          <cell r="L286">
            <v>17114.277739999998</v>
          </cell>
          <cell r="M286">
            <v>1426.1898116666664</v>
          </cell>
          <cell r="N286">
            <v>205371.33287999997</v>
          </cell>
          <cell r="O286">
            <v>2239525.4871199997</v>
          </cell>
          <cell r="P286">
            <v>0</v>
          </cell>
          <cell r="Q286">
            <v>1426.1898116666664</v>
          </cell>
        </row>
        <row r="287">
          <cell r="A287">
            <v>2002</v>
          </cell>
          <cell r="B287">
            <v>0</v>
          </cell>
          <cell r="C287" t="str">
            <v>Рев.Проспект.262/272</v>
          </cell>
          <cell r="F287">
            <v>1987</v>
          </cell>
          <cell r="G287">
            <v>10100</v>
          </cell>
          <cell r="H287">
            <v>0.7</v>
          </cell>
          <cell r="I287">
            <v>7544218500</v>
          </cell>
          <cell r="J287">
            <v>0.53</v>
          </cell>
          <cell r="K287">
            <v>3986912.2069999999</v>
          </cell>
          <cell r="L287">
            <v>27908.385448999998</v>
          </cell>
          <cell r="M287">
            <v>2325.6987874166666</v>
          </cell>
          <cell r="N287">
            <v>418625.78173499997</v>
          </cell>
          <cell r="O287">
            <v>3568286.4252650002</v>
          </cell>
          <cell r="P287">
            <v>0</v>
          </cell>
          <cell r="Q287">
            <v>2325.6987874166666</v>
          </cell>
        </row>
        <row r="288">
          <cell r="A288">
            <v>2002</v>
          </cell>
          <cell r="B288">
            <v>0</v>
          </cell>
          <cell r="C288" t="str">
            <v>Интернацион.44/60</v>
          </cell>
          <cell r="F288">
            <v>1985</v>
          </cell>
          <cell r="G288">
            <v>10100</v>
          </cell>
          <cell r="H288">
            <v>0.7</v>
          </cell>
          <cell r="I288">
            <v>7331844780</v>
          </cell>
          <cell r="J288">
            <v>0.55000000000000004</v>
          </cell>
          <cell r="K288">
            <v>4031783.2719999999</v>
          </cell>
          <cell r="L288">
            <v>28222.482903999997</v>
          </cell>
          <cell r="M288">
            <v>2351.8735753333331</v>
          </cell>
          <cell r="N288">
            <v>479782.20936799992</v>
          </cell>
          <cell r="O288">
            <v>3552001.0626320001</v>
          </cell>
          <cell r="P288">
            <v>0</v>
          </cell>
          <cell r="Q288">
            <v>2351.8735753333331</v>
          </cell>
        </row>
        <row r="289">
          <cell r="A289">
            <v>2002</v>
          </cell>
          <cell r="B289">
            <v>0</v>
          </cell>
          <cell r="C289" t="str">
            <v>Топорковская.48/58</v>
          </cell>
          <cell r="F289">
            <v>1981</v>
          </cell>
          <cell r="G289">
            <v>10100</v>
          </cell>
          <cell r="H289">
            <v>0.7</v>
          </cell>
          <cell r="I289">
            <v>9618531000</v>
          </cell>
          <cell r="J289">
            <v>0.56000000000000005</v>
          </cell>
          <cell r="K289">
            <v>5433149.108</v>
          </cell>
          <cell r="L289">
            <v>38032.043755999999</v>
          </cell>
          <cell r="M289">
            <v>3169.3369796666666</v>
          </cell>
          <cell r="N289">
            <v>798672.91887599998</v>
          </cell>
          <cell r="O289">
            <v>4634476.1891240003</v>
          </cell>
          <cell r="P289">
            <v>0</v>
          </cell>
          <cell r="Q289">
            <v>3169.3369796666666</v>
          </cell>
        </row>
        <row r="290">
          <cell r="A290">
            <v>2002</v>
          </cell>
          <cell r="B290">
            <v>0</v>
          </cell>
          <cell r="C290" t="str">
            <v>Рев.Проспект.212/218</v>
          </cell>
          <cell r="F290">
            <v>1996</v>
          </cell>
          <cell r="G290">
            <v>10101</v>
          </cell>
          <cell r="H290">
            <v>0.8</v>
          </cell>
          <cell r="I290">
            <v>8322694873</v>
          </cell>
          <cell r="J290">
            <v>0.54</v>
          </cell>
          <cell r="K290">
            <v>4470270.7630000003</v>
          </cell>
          <cell r="L290">
            <v>35762.166104000004</v>
          </cell>
          <cell r="M290">
            <v>2980.1805086666668</v>
          </cell>
          <cell r="N290">
            <v>214572.99662400002</v>
          </cell>
          <cell r="O290">
            <v>4255697.7663759999</v>
          </cell>
          <cell r="P290">
            <v>0</v>
          </cell>
          <cell r="Q290">
            <v>2980.1805086666668</v>
          </cell>
        </row>
        <row r="291">
          <cell r="A291">
            <v>2002</v>
          </cell>
          <cell r="B291">
            <v>0</v>
          </cell>
          <cell r="C291" t="str">
            <v>Бубенца.72/1</v>
          </cell>
          <cell r="F291">
            <v>1933</v>
          </cell>
          <cell r="G291">
            <v>10101</v>
          </cell>
          <cell r="H291">
            <v>0.8</v>
          </cell>
          <cell r="I291">
            <v>639492945</v>
          </cell>
          <cell r="J291">
            <v>0.44</v>
          </cell>
          <cell r="K291">
            <v>281106</v>
          </cell>
          <cell r="L291">
            <v>2248.848</v>
          </cell>
          <cell r="M291">
            <v>187.404</v>
          </cell>
          <cell r="N291">
            <v>155170.51199999999</v>
          </cell>
          <cell r="O291">
            <v>125935.48800000001</v>
          </cell>
          <cell r="P291">
            <v>0</v>
          </cell>
          <cell r="Q291">
            <v>187.404</v>
          </cell>
        </row>
        <row r="292">
          <cell r="A292">
            <v>2002</v>
          </cell>
          <cell r="B292">
            <v>0</v>
          </cell>
          <cell r="C292" t="str">
            <v>Лесозащитная.3</v>
          </cell>
          <cell r="F292">
            <v>1956</v>
          </cell>
          <cell r="G292">
            <v>10102</v>
          </cell>
          <cell r="H292">
            <v>1</v>
          </cell>
          <cell r="I292">
            <v>300495000</v>
          </cell>
          <cell r="J292">
            <v>1.64</v>
          </cell>
          <cell r="K292">
            <v>491662</v>
          </cell>
          <cell r="L292">
            <v>4916.62</v>
          </cell>
          <cell r="M292">
            <v>409.71833333333331</v>
          </cell>
          <cell r="N292">
            <v>226164.52</v>
          </cell>
          <cell r="O292">
            <v>265497.48</v>
          </cell>
          <cell r="P292">
            <v>0</v>
          </cell>
          <cell r="Q292">
            <v>409.71833333333331</v>
          </cell>
        </row>
        <row r="293">
          <cell r="A293">
            <v>2002</v>
          </cell>
          <cell r="B293">
            <v>0</v>
          </cell>
          <cell r="C293" t="str">
            <v>Лесозащитная.5</v>
          </cell>
          <cell r="F293">
            <v>1956</v>
          </cell>
          <cell r="G293">
            <v>10102</v>
          </cell>
          <cell r="H293">
            <v>1</v>
          </cell>
          <cell r="I293">
            <v>300495000</v>
          </cell>
          <cell r="J293">
            <v>1.61</v>
          </cell>
          <cell r="K293">
            <v>484158.48</v>
          </cell>
          <cell r="L293">
            <v>4841.5847999999996</v>
          </cell>
          <cell r="M293">
            <v>403.46539999999999</v>
          </cell>
          <cell r="N293">
            <v>222712.90079999997</v>
          </cell>
          <cell r="O293">
            <v>261445.57920000001</v>
          </cell>
          <cell r="P293">
            <v>0</v>
          </cell>
          <cell r="Q293">
            <v>403.46539999999999</v>
          </cell>
        </row>
        <row r="294">
          <cell r="A294">
            <v>2002</v>
          </cell>
          <cell r="B294">
            <v>0</v>
          </cell>
          <cell r="C294" t="str">
            <v>Кутякова.15/2</v>
          </cell>
          <cell r="F294">
            <v>1984</v>
          </cell>
          <cell r="G294">
            <v>10102</v>
          </cell>
          <cell r="H294">
            <v>1</v>
          </cell>
          <cell r="I294">
            <v>889855000</v>
          </cell>
          <cell r="J294">
            <v>1.1399999999999999</v>
          </cell>
          <cell r="K294">
            <v>1012365.33</v>
          </cell>
          <cell r="L294">
            <v>10123.6533</v>
          </cell>
          <cell r="M294">
            <v>843.63777500000003</v>
          </cell>
          <cell r="N294">
            <v>182225.75940000001</v>
          </cell>
          <cell r="O294">
            <v>830139.57059999998</v>
          </cell>
          <cell r="P294">
            <v>0</v>
          </cell>
          <cell r="Q294">
            <v>843.63777500000003</v>
          </cell>
        </row>
        <row r="295">
          <cell r="A295">
            <v>2002</v>
          </cell>
          <cell r="B295">
            <v>0</v>
          </cell>
          <cell r="C295" t="str">
            <v>Кутякова.15/1</v>
          </cell>
          <cell r="F295">
            <v>1974</v>
          </cell>
          <cell r="G295">
            <v>10102</v>
          </cell>
          <cell r="H295">
            <v>1</v>
          </cell>
          <cell r="I295">
            <v>864306000</v>
          </cell>
          <cell r="J295">
            <v>1.2</v>
          </cell>
          <cell r="K295">
            <v>1036165.53</v>
          </cell>
          <cell r="L295">
            <v>10361.6553</v>
          </cell>
          <cell r="M295">
            <v>863.47127499999999</v>
          </cell>
          <cell r="N295">
            <v>290126.34840000002</v>
          </cell>
          <cell r="O295">
            <v>746039.18160000001</v>
          </cell>
          <cell r="P295">
            <v>0</v>
          </cell>
          <cell r="Q295">
            <v>863.47127499999999</v>
          </cell>
        </row>
        <row r="296">
          <cell r="A296">
            <v>2002</v>
          </cell>
          <cell r="B296">
            <v>0</v>
          </cell>
          <cell r="C296" t="str">
            <v>40.Лет.Октября174</v>
          </cell>
          <cell r="F296">
            <v>1974</v>
          </cell>
          <cell r="G296">
            <v>10101</v>
          </cell>
          <cell r="H296">
            <v>0.8</v>
          </cell>
          <cell r="I296">
            <v>16662000</v>
          </cell>
          <cell r="J296">
            <v>1.2</v>
          </cell>
          <cell r="K296">
            <v>19994.400000000001</v>
          </cell>
          <cell r="L296">
            <v>159.95520000000002</v>
          </cell>
          <cell r="M296">
            <v>13.329600000000001</v>
          </cell>
          <cell r="N296">
            <v>4478.7456000000002</v>
          </cell>
          <cell r="O296">
            <v>15515.654400000001</v>
          </cell>
          <cell r="P296">
            <v>0</v>
          </cell>
          <cell r="Q296">
            <v>13.329600000000001</v>
          </cell>
        </row>
        <row r="297">
          <cell r="A297">
            <v>2002</v>
          </cell>
          <cell r="B297">
            <v>0</v>
          </cell>
          <cell r="C297" t="str">
            <v>Коммунистич.80/2</v>
          </cell>
          <cell r="F297">
            <v>1994</v>
          </cell>
          <cell r="G297">
            <v>10101</v>
          </cell>
          <cell r="H297">
            <v>0.8</v>
          </cell>
          <cell r="I297">
            <v>304331000</v>
          </cell>
          <cell r="J297">
            <v>2.77</v>
          </cell>
          <cell r="K297">
            <v>842388.93400000001</v>
          </cell>
          <cell r="L297">
            <v>6739.1114720000005</v>
          </cell>
          <cell r="M297">
            <v>561.59262266666667</v>
          </cell>
          <cell r="N297">
            <v>53912.891776000004</v>
          </cell>
          <cell r="O297">
            <v>788476.04222399998</v>
          </cell>
          <cell r="P297">
            <v>0</v>
          </cell>
          <cell r="Q297">
            <v>561.59262266666667</v>
          </cell>
        </row>
        <row r="298">
          <cell r="A298">
            <v>2002</v>
          </cell>
          <cell r="B298">
            <v>0</v>
          </cell>
          <cell r="C298" t="str">
            <v>40.Лет.Октября.174/1</v>
          </cell>
          <cell r="F298">
            <v>1971</v>
          </cell>
          <cell r="G298">
            <v>10101</v>
          </cell>
          <cell r="H298">
            <v>0.8</v>
          </cell>
          <cell r="I298">
            <v>418264000</v>
          </cell>
          <cell r="J298">
            <v>1.6</v>
          </cell>
          <cell r="K298">
            <v>670203.61100000003</v>
          </cell>
          <cell r="L298">
            <v>5361.6288880000011</v>
          </cell>
          <cell r="M298">
            <v>446.80240733333341</v>
          </cell>
          <cell r="N298">
            <v>166210.49552800003</v>
          </cell>
          <cell r="O298">
            <v>503993.11547199998</v>
          </cell>
          <cell r="P298">
            <v>0</v>
          </cell>
          <cell r="Q298">
            <v>446.80240733333341</v>
          </cell>
        </row>
        <row r="299">
          <cell r="A299">
            <v>2002</v>
          </cell>
          <cell r="B299">
            <v>0</v>
          </cell>
          <cell r="C299" t="str">
            <v>Кутякова.53/1</v>
          </cell>
          <cell r="F299">
            <v>1975</v>
          </cell>
          <cell r="G299">
            <v>10101</v>
          </cell>
          <cell r="H299">
            <v>0.8</v>
          </cell>
          <cell r="I299">
            <v>1103700000</v>
          </cell>
          <cell r="J299">
            <v>0.97</v>
          </cell>
          <cell r="K299">
            <v>1072520.5249999999</v>
          </cell>
          <cell r="L299">
            <v>8580.1641999999993</v>
          </cell>
          <cell r="M299">
            <v>715.01368333333323</v>
          </cell>
          <cell r="N299">
            <v>231664.43339999998</v>
          </cell>
          <cell r="O299">
            <v>840856.09159999993</v>
          </cell>
          <cell r="P299">
            <v>0</v>
          </cell>
          <cell r="Q299">
            <v>715.01368333333323</v>
          </cell>
        </row>
        <row r="300">
          <cell r="A300">
            <v>2002</v>
          </cell>
          <cell r="B300">
            <v>0</v>
          </cell>
          <cell r="C300" t="str">
            <v>Сеницы 3/23</v>
          </cell>
          <cell r="F300">
            <v>1990</v>
          </cell>
          <cell r="G300">
            <v>10101</v>
          </cell>
          <cell r="H300">
            <v>0.8</v>
          </cell>
          <cell r="K300">
            <v>5197085.4399999995</v>
          </cell>
          <cell r="L300">
            <v>41576.683519999999</v>
          </cell>
          <cell r="M300">
            <v>3464.7236266666664</v>
          </cell>
          <cell r="N300">
            <v>498920.20224000001</v>
          </cell>
          <cell r="O300">
            <v>4698165.2377599999</v>
          </cell>
          <cell r="P300">
            <v>0</v>
          </cell>
          <cell r="Q300">
            <v>3464.7236266666664</v>
          </cell>
          <cell r="R300">
            <v>116976.27</v>
          </cell>
        </row>
        <row r="301">
          <cell r="A301">
            <v>2002</v>
          </cell>
          <cell r="B301">
            <v>0</v>
          </cell>
          <cell r="C301" t="str">
            <v>Рев.проспект 202</v>
          </cell>
          <cell r="F301">
            <v>1977</v>
          </cell>
          <cell r="G301">
            <v>10101</v>
          </cell>
          <cell r="H301">
            <v>0.8</v>
          </cell>
          <cell r="K301">
            <v>4911858.4000000004</v>
          </cell>
          <cell r="L301">
            <v>39294.867200000008</v>
          </cell>
          <cell r="M301">
            <v>3274.5722666666675</v>
          </cell>
          <cell r="N301">
            <v>982371.68000000017</v>
          </cell>
          <cell r="O301">
            <v>3929486.72</v>
          </cell>
          <cell r="P301">
            <v>0</v>
          </cell>
          <cell r="Q301">
            <v>3274.5722666666675</v>
          </cell>
        </row>
        <row r="302">
          <cell r="A302">
            <v>2002</v>
          </cell>
          <cell r="B302">
            <v>0</v>
          </cell>
          <cell r="C302" t="str">
            <v>Нефтебаза №1</v>
          </cell>
          <cell r="F302">
            <v>1958</v>
          </cell>
          <cell r="G302">
            <v>10103</v>
          </cell>
          <cell r="H302">
            <v>2</v>
          </cell>
          <cell r="K302">
            <v>235328</v>
          </cell>
          <cell r="L302">
            <v>4706.5600000000004</v>
          </cell>
          <cell r="M302">
            <v>392.21333333333337</v>
          </cell>
          <cell r="N302">
            <v>207088.64000000001</v>
          </cell>
          <cell r="O302">
            <v>28239.359999999986</v>
          </cell>
          <cell r="P302">
            <v>0</v>
          </cell>
          <cell r="Q302">
            <v>392.21333333333337</v>
          </cell>
        </row>
        <row r="303">
          <cell r="A303">
            <v>2002</v>
          </cell>
          <cell r="B303">
            <v>0</v>
          </cell>
          <cell r="C303" t="str">
            <v>Нефтебаза №2</v>
          </cell>
          <cell r="F303">
            <v>1959</v>
          </cell>
          <cell r="G303">
            <v>10103</v>
          </cell>
          <cell r="H303">
            <v>2</v>
          </cell>
          <cell r="K303">
            <v>129312</v>
          </cell>
          <cell r="L303">
            <v>2586.2399999999998</v>
          </cell>
          <cell r="M303">
            <v>215.51999999999998</v>
          </cell>
          <cell r="N303">
            <v>111208.31999999999</v>
          </cell>
          <cell r="O303">
            <v>18103.680000000008</v>
          </cell>
          <cell r="P303">
            <v>0</v>
          </cell>
          <cell r="Q303">
            <v>215.51999999999998</v>
          </cell>
        </row>
        <row r="304">
          <cell r="A304">
            <v>2002</v>
          </cell>
          <cell r="B304">
            <v>0</v>
          </cell>
          <cell r="C304" t="str">
            <v>Нефтебаза №4</v>
          </cell>
          <cell r="F304">
            <v>1964</v>
          </cell>
          <cell r="G304">
            <v>10104</v>
          </cell>
          <cell r="H304">
            <v>3.3</v>
          </cell>
          <cell r="K304">
            <v>248056</v>
          </cell>
          <cell r="L304">
            <v>8185.847999999999</v>
          </cell>
          <cell r="M304">
            <v>0</v>
          </cell>
          <cell r="N304">
            <v>311062.22399999999</v>
          </cell>
          <cell r="O304">
            <v>0</v>
          </cell>
          <cell r="P304">
            <v>63006.223999999987</v>
          </cell>
          <cell r="Q304">
            <v>0</v>
          </cell>
        </row>
        <row r="305">
          <cell r="A305">
            <v>2002</v>
          </cell>
          <cell r="B305">
            <v>0</v>
          </cell>
          <cell r="C305" t="str">
            <v>Нефтебаза №5</v>
          </cell>
          <cell r="F305">
            <v>1967</v>
          </cell>
          <cell r="G305">
            <v>10002</v>
          </cell>
          <cell r="H305">
            <v>1.2</v>
          </cell>
          <cell r="K305">
            <v>314470</v>
          </cell>
          <cell r="L305">
            <v>3773.64</v>
          </cell>
          <cell r="M305">
            <v>314.46999999999997</v>
          </cell>
          <cell r="N305">
            <v>132077.4</v>
          </cell>
          <cell r="O305">
            <v>182392.6</v>
          </cell>
          <cell r="P305">
            <v>0</v>
          </cell>
          <cell r="Q305">
            <v>314.46999999999997</v>
          </cell>
        </row>
        <row r="306">
          <cell r="A306">
            <v>2002</v>
          </cell>
          <cell r="B306">
            <v>0</v>
          </cell>
          <cell r="C306" t="str">
            <v>ИТК-4 д.№1</v>
          </cell>
          <cell r="F306">
            <v>1967</v>
          </cell>
          <cell r="G306">
            <v>10101</v>
          </cell>
          <cell r="H306">
            <v>0.8</v>
          </cell>
          <cell r="K306">
            <v>1305512.04</v>
          </cell>
          <cell r="L306">
            <v>10444.096320000001</v>
          </cell>
          <cell r="M306">
            <v>870.34136000000001</v>
          </cell>
          <cell r="N306">
            <v>365543.37119999999</v>
          </cell>
          <cell r="O306">
            <v>939968.6688000001</v>
          </cell>
          <cell r="P306">
            <v>0</v>
          </cell>
          <cell r="Q306">
            <v>870.34136000000001</v>
          </cell>
        </row>
        <row r="307">
          <cell r="A307">
            <v>2002</v>
          </cell>
          <cell r="B307">
            <v>0</v>
          </cell>
          <cell r="C307" t="str">
            <v>ИТК-4 д.№2</v>
          </cell>
          <cell r="F307">
            <v>1972</v>
          </cell>
          <cell r="G307">
            <v>10101</v>
          </cell>
          <cell r="H307">
            <v>0.8</v>
          </cell>
          <cell r="K307">
            <v>1610563.3</v>
          </cell>
          <cell r="L307">
            <v>12884.506400000002</v>
          </cell>
          <cell r="M307">
            <v>1073.7088666666668</v>
          </cell>
          <cell r="N307">
            <v>386535.19200000004</v>
          </cell>
          <cell r="O307">
            <v>1224028.108</v>
          </cell>
          <cell r="P307">
            <v>0</v>
          </cell>
          <cell r="Q307">
            <v>1073.7088666666668</v>
          </cell>
        </row>
        <row r="308">
          <cell r="A308">
            <v>2002</v>
          </cell>
          <cell r="B308">
            <v>0</v>
          </cell>
          <cell r="C308" t="str">
            <v>ИТК-4 д.№3</v>
          </cell>
          <cell r="F308">
            <v>1977</v>
          </cell>
          <cell r="G308">
            <v>10101</v>
          </cell>
          <cell r="H308">
            <v>0.8</v>
          </cell>
          <cell r="K308">
            <v>1932676</v>
          </cell>
          <cell r="L308">
            <v>15461.408000000001</v>
          </cell>
          <cell r="M308">
            <v>1288.4506666666668</v>
          </cell>
          <cell r="N308">
            <v>386535.2</v>
          </cell>
          <cell r="O308">
            <v>1546140.8</v>
          </cell>
          <cell r="P308">
            <v>0</v>
          </cell>
          <cell r="Q308">
            <v>1288.4506666666668</v>
          </cell>
        </row>
        <row r="309">
          <cell r="A309">
            <v>2002</v>
          </cell>
          <cell r="B309">
            <v>0</v>
          </cell>
          <cell r="C309" t="str">
            <v>ИТК-4 д.№4</v>
          </cell>
          <cell r="F309">
            <v>1981</v>
          </cell>
          <cell r="G309">
            <v>10101</v>
          </cell>
          <cell r="H309">
            <v>0.8</v>
          </cell>
          <cell r="K309">
            <v>3070808</v>
          </cell>
          <cell r="L309">
            <v>24566.464</v>
          </cell>
          <cell r="M309">
            <v>2047.2053333333333</v>
          </cell>
          <cell r="N309">
            <v>515895.74400000001</v>
          </cell>
          <cell r="O309">
            <v>2554912.2560000001</v>
          </cell>
          <cell r="P309">
            <v>0</v>
          </cell>
          <cell r="Q309">
            <v>2047.2053333333333</v>
          </cell>
        </row>
        <row r="310">
          <cell r="A310">
            <v>2002</v>
          </cell>
          <cell r="B310">
            <v>0</v>
          </cell>
          <cell r="C310" t="str">
            <v>ИТК-4 д.№5</v>
          </cell>
          <cell r="F310">
            <v>1985</v>
          </cell>
          <cell r="G310">
            <v>10101</v>
          </cell>
          <cell r="H310">
            <v>0.8</v>
          </cell>
          <cell r="K310">
            <v>3529386</v>
          </cell>
          <cell r="L310">
            <v>28235.088000000003</v>
          </cell>
          <cell r="M310">
            <v>2352.9240000000004</v>
          </cell>
          <cell r="N310">
            <v>479996.49600000004</v>
          </cell>
          <cell r="O310">
            <v>3049389.5039999997</v>
          </cell>
          <cell r="P310">
            <v>0</v>
          </cell>
          <cell r="Q310">
            <v>2352.9240000000004</v>
          </cell>
        </row>
        <row r="311">
          <cell r="A311">
            <v>2002</v>
          </cell>
          <cell r="B311">
            <v>0</v>
          </cell>
          <cell r="C311" t="str">
            <v>МСО Железнодорожная 30/2</v>
          </cell>
          <cell r="F311">
            <v>1992</v>
          </cell>
          <cell r="G311">
            <v>10101</v>
          </cell>
          <cell r="H311">
            <v>0.8</v>
          </cell>
          <cell r="K311">
            <v>1374042</v>
          </cell>
          <cell r="L311">
            <v>10992.336000000001</v>
          </cell>
          <cell r="M311">
            <v>916.02800000000013</v>
          </cell>
          <cell r="N311">
            <v>109923.36000000002</v>
          </cell>
          <cell r="O311">
            <v>1264118.6399999999</v>
          </cell>
          <cell r="P311">
            <v>0</v>
          </cell>
          <cell r="Q311">
            <v>916.02800000000013</v>
          </cell>
        </row>
        <row r="312">
          <cell r="A312">
            <v>2002</v>
          </cell>
          <cell r="B312">
            <v>0</v>
          </cell>
          <cell r="C312" t="str">
            <v>Заводская 2/1</v>
          </cell>
          <cell r="F312">
            <v>1970</v>
          </cell>
          <cell r="G312">
            <v>10101</v>
          </cell>
          <cell r="H312">
            <v>0.8</v>
          </cell>
          <cell r="K312">
            <v>218321</v>
          </cell>
          <cell r="L312">
            <v>1746.5680000000002</v>
          </cell>
          <cell r="M312">
            <v>145.54733333333334</v>
          </cell>
          <cell r="N312">
            <v>55890.176000000007</v>
          </cell>
          <cell r="O312">
            <v>162430.82399999999</v>
          </cell>
          <cell r="P312">
            <v>0</v>
          </cell>
          <cell r="Q312">
            <v>145.54733333333334</v>
          </cell>
        </row>
        <row r="313">
          <cell r="A313">
            <v>2002</v>
          </cell>
          <cell r="B313">
            <v>0</v>
          </cell>
          <cell r="C313" t="str">
            <v>Заводская 2</v>
          </cell>
          <cell r="F313">
            <v>1970</v>
          </cell>
          <cell r="G313">
            <v>10101</v>
          </cell>
          <cell r="H313">
            <v>0.8</v>
          </cell>
          <cell r="K313">
            <v>46550</v>
          </cell>
          <cell r="L313">
            <v>372.4</v>
          </cell>
          <cell r="M313">
            <v>31.033333333333331</v>
          </cell>
          <cell r="N313">
            <v>11916.8</v>
          </cell>
          <cell r="O313">
            <v>34633.199999999997</v>
          </cell>
          <cell r="P313">
            <v>0</v>
          </cell>
          <cell r="Q313">
            <v>31.033333333333331</v>
          </cell>
        </row>
        <row r="314">
          <cell r="A314">
            <v>2002</v>
          </cell>
          <cell r="B314">
            <v>0</v>
          </cell>
          <cell r="C314" t="str">
            <v>Заводская 3</v>
          </cell>
          <cell r="F314">
            <v>1970</v>
          </cell>
          <cell r="G314">
            <v>10101</v>
          </cell>
          <cell r="H314">
            <v>0.8</v>
          </cell>
          <cell r="K314">
            <v>27417</v>
          </cell>
          <cell r="L314">
            <v>219.33600000000001</v>
          </cell>
          <cell r="M314">
            <v>18.278000000000002</v>
          </cell>
          <cell r="N314">
            <v>7018.7520000000004</v>
          </cell>
          <cell r="O314">
            <v>20398.248</v>
          </cell>
          <cell r="P314">
            <v>0</v>
          </cell>
          <cell r="Q314">
            <v>18.278000000000002</v>
          </cell>
        </row>
        <row r="315">
          <cell r="A315">
            <v>2002</v>
          </cell>
          <cell r="B315">
            <v>0</v>
          </cell>
          <cell r="C315" t="str">
            <v>Заводская 4</v>
          </cell>
          <cell r="F315">
            <v>1970</v>
          </cell>
          <cell r="G315">
            <v>10101</v>
          </cell>
          <cell r="H315">
            <v>0.8</v>
          </cell>
          <cell r="K315">
            <v>36983</v>
          </cell>
          <cell r="L315">
            <v>295.86400000000003</v>
          </cell>
          <cell r="M315">
            <v>24.655333333333335</v>
          </cell>
          <cell r="N315">
            <v>9467.648000000001</v>
          </cell>
          <cell r="O315">
            <v>27515.351999999999</v>
          </cell>
          <cell r="P315">
            <v>0</v>
          </cell>
          <cell r="Q315">
            <v>24.655333333333335</v>
          </cell>
        </row>
        <row r="316">
          <cell r="A316">
            <v>2002</v>
          </cell>
          <cell r="B316">
            <v>0</v>
          </cell>
          <cell r="C316" t="str">
            <v>Заводская 5</v>
          </cell>
          <cell r="F316">
            <v>1972</v>
          </cell>
          <cell r="G316">
            <v>10101</v>
          </cell>
          <cell r="H316">
            <v>0.8</v>
          </cell>
          <cell r="K316">
            <v>250532</v>
          </cell>
          <cell r="L316">
            <v>2004.2560000000001</v>
          </cell>
          <cell r="M316">
            <v>167.02133333333333</v>
          </cell>
          <cell r="N316">
            <v>60127.68</v>
          </cell>
          <cell r="O316">
            <v>190404.32</v>
          </cell>
          <cell r="P316">
            <v>0</v>
          </cell>
          <cell r="Q316">
            <v>167.02133333333333</v>
          </cell>
        </row>
        <row r="317">
          <cell r="A317">
            <v>2002</v>
          </cell>
          <cell r="B317">
            <v>0</v>
          </cell>
          <cell r="C317" t="str">
            <v>Заводская 6</v>
          </cell>
          <cell r="F317">
            <v>1975</v>
          </cell>
          <cell r="G317">
            <v>10101</v>
          </cell>
          <cell r="H317">
            <v>0.8</v>
          </cell>
          <cell r="K317">
            <v>441414</v>
          </cell>
          <cell r="L317">
            <v>3531.3119999999999</v>
          </cell>
          <cell r="M317">
            <v>294.27600000000001</v>
          </cell>
          <cell r="N317">
            <v>95345.423999999999</v>
          </cell>
          <cell r="O317">
            <v>346068.576</v>
          </cell>
          <cell r="P317">
            <v>0</v>
          </cell>
          <cell r="Q317">
            <v>294.27600000000001</v>
          </cell>
        </row>
        <row r="318">
          <cell r="A318">
            <v>2002</v>
          </cell>
          <cell r="B318">
            <v>0</v>
          </cell>
          <cell r="C318" t="str">
            <v>Заводская 8</v>
          </cell>
          <cell r="F318">
            <v>1989</v>
          </cell>
          <cell r="G318">
            <v>10101</v>
          </cell>
          <cell r="H318">
            <v>0.8</v>
          </cell>
          <cell r="K318">
            <v>1106142</v>
          </cell>
          <cell r="L318">
            <v>8849.1360000000004</v>
          </cell>
          <cell r="M318">
            <v>737.428</v>
          </cell>
          <cell r="N318">
            <v>115038.76800000001</v>
          </cell>
          <cell r="O318">
            <v>991103.23199999996</v>
          </cell>
          <cell r="P318">
            <v>0</v>
          </cell>
          <cell r="Q318">
            <v>737.428</v>
          </cell>
        </row>
        <row r="319">
          <cell r="A319">
            <v>2002</v>
          </cell>
          <cell r="B319">
            <v>0</v>
          </cell>
          <cell r="C319" t="str">
            <v>Заводская 7</v>
          </cell>
          <cell r="F319">
            <v>1978</v>
          </cell>
          <cell r="G319">
            <v>10101</v>
          </cell>
          <cell r="H319">
            <v>0.8</v>
          </cell>
          <cell r="K319">
            <v>481976</v>
          </cell>
          <cell r="L319">
            <v>3855.8080000000004</v>
          </cell>
          <cell r="M319">
            <v>321.31733333333335</v>
          </cell>
          <cell r="N319">
            <v>92539.392000000007</v>
          </cell>
          <cell r="O319">
            <v>389436.60800000001</v>
          </cell>
          <cell r="P319">
            <v>0</v>
          </cell>
          <cell r="Q319">
            <v>321.31733333333335</v>
          </cell>
        </row>
        <row r="320">
          <cell r="A320">
            <v>2002</v>
          </cell>
          <cell r="B320">
            <v>0</v>
          </cell>
          <cell r="C320" t="str">
            <v>53 Дивизия № 4</v>
          </cell>
          <cell r="F320">
            <v>1968</v>
          </cell>
          <cell r="G320">
            <v>10101</v>
          </cell>
          <cell r="H320">
            <v>0.8</v>
          </cell>
          <cell r="K320">
            <v>702261</v>
          </cell>
          <cell r="L320">
            <v>5618.0880000000006</v>
          </cell>
          <cell r="M320">
            <v>468.17400000000004</v>
          </cell>
          <cell r="N320">
            <v>191014.99200000003</v>
          </cell>
          <cell r="O320">
            <v>511246.00799999997</v>
          </cell>
          <cell r="P320">
            <v>0</v>
          </cell>
          <cell r="Q320">
            <v>468.17400000000004</v>
          </cell>
        </row>
        <row r="321">
          <cell r="A321">
            <v>2002</v>
          </cell>
          <cell r="B321">
            <v>0</v>
          </cell>
          <cell r="C321" t="str">
            <v>пер. Камышинский №8</v>
          </cell>
          <cell r="F321">
            <v>1962</v>
          </cell>
          <cell r="G321">
            <v>10101</v>
          </cell>
          <cell r="H321">
            <v>0.8</v>
          </cell>
          <cell r="K321">
            <v>673602.15</v>
          </cell>
          <cell r="L321">
            <v>5388.8172000000013</v>
          </cell>
          <cell r="M321">
            <v>449.06810000000013</v>
          </cell>
          <cell r="N321">
            <v>215552.68800000005</v>
          </cell>
          <cell r="O321">
            <v>458049.46199999994</v>
          </cell>
          <cell r="P321">
            <v>0</v>
          </cell>
          <cell r="Q321">
            <v>449.06810000000013</v>
          </cell>
        </row>
        <row r="322">
          <cell r="A322">
            <v>2002</v>
          </cell>
          <cell r="B322">
            <v>0</v>
          </cell>
          <cell r="C322" t="str">
            <v>53 Дивизия № 8\1</v>
          </cell>
          <cell r="F322">
            <v>1982</v>
          </cell>
          <cell r="G322">
            <v>10101</v>
          </cell>
          <cell r="H322">
            <v>0.8</v>
          </cell>
          <cell r="K322">
            <v>1794000</v>
          </cell>
          <cell r="L322">
            <v>14352</v>
          </cell>
          <cell r="M322">
            <v>1196</v>
          </cell>
          <cell r="N322">
            <v>287040</v>
          </cell>
          <cell r="O322">
            <v>1506960</v>
          </cell>
          <cell r="P322">
            <v>0</v>
          </cell>
          <cell r="Q322">
            <v>1196</v>
          </cell>
        </row>
        <row r="323">
          <cell r="A323">
            <v>2002</v>
          </cell>
          <cell r="B323">
            <v>0</v>
          </cell>
          <cell r="C323" t="str">
            <v>53 Дивизия № 8</v>
          </cell>
          <cell r="F323">
            <v>1962</v>
          </cell>
          <cell r="G323">
            <v>10101</v>
          </cell>
          <cell r="H323">
            <v>0.8</v>
          </cell>
          <cell r="K323">
            <v>567271.77</v>
          </cell>
          <cell r="L323">
            <v>4538.1741600000005</v>
          </cell>
          <cell r="M323">
            <v>378.18118000000004</v>
          </cell>
          <cell r="N323">
            <v>181526.96640000003</v>
          </cell>
          <cell r="O323">
            <v>385744.80359999998</v>
          </cell>
          <cell r="P323">
            <v>0</v>
          </cell>
          <cell r="Q323">
            <v>378.18118000000004</v>
          </cell>
        </row>
        <row r="324">
          <cell r="A324">
            <v>2002</v>
          </cell>
          <cell r="B324">
            <v>0</v>
          </cell>
          <cell r="C324" t="str">
            <v>53 Дивизия № 8\2</v>
          </cell>
          <cell r="F324">
            <v>1984</v>
          </cell>
          <cell r="G324">
            <v>10101</v>
          </cell>
          <cell r="H324">
            <v>0.8</v>
          </cell>
          <cell r="K324">
            <v>3850166.19</v>
          </cell>
          <cell r="L324">
            <v>30801.329519999999</v>
          </cell>
          <cell r="M324">
            <v>2566.7774599999998</v>
          </cell>
          <cell r="N324">
            <v>554423.93136000005</v>
          </cell>
          <cell r="O324">
            <v>3295742.2586399997</v>
          </cell>
          <cell r="P324">
            <v>0</v>
          </cell>
          <cell r="Q324">
            <v>2566.7774599999998</v>
          </cell>
        </row>
        <row r="325">
          <cell r="A325">
            <v>2002</v>
          </cell>
          <cell r="B325">
            <v>0</v>
          </cell>
          <cell r="C325" t="str">
            <v>53 Дивизия № 8\3</v>
          </cell>
          <cell r="F325">
            <v>1985</v>
          </cell>
          <cell r="G325">
            <v>10101</v>
          </cell>
          <cell r="H325">
            <v>0.8</v>
          </cell>
          <cell r="K325">
            <v>3431832.3</v>
          </cell>
          <cell r="L325">
            <v>27454.6584</v>
          </cell>
          <cell r="M325">
            <v>2287.8881999999999</v>
          </cell>
          <cell r="N325">
            <v>466729.19280000002</v>
          </cell>
          <cell r="O325">
            <v>2965103.1072</v>
          </cell>
          <cell r="P325">
            <v>0</v>
          </cell>
          <cell r="Q325">
            <v>2287.8881999999999</v>
          </cell>
        </row>
        <row r="326">
          <cell r="A326">
            <v>2002</v>
          </cell>
          <cell r="B326">
            <v>0</v>
          </cell>
          <cell r="C326" t="str">
            <v>53 Дивизия № 8\4</v>
          </cell>
          <cell r="F326">
            <v>1991</v>
          </cell>
          <cell r="G326">
            <v>10101</v>
          </cell>
          <cell r="H326">
            <v>0.8</v>
          </cell>
          <cell r="K326">
            <v>4547400</v>
          </cell>
          <cell r="L326">
            <v>36379.199999999997</v>
          </cell>
          <cell r="M326">
            <v>3031.6</v>
          </cell>
          <cell r="N326">
            <v>400171.19999999995</v>
          </cell>
          <cell r="O326">
            <v>4147228.8</v>
          </cell>
          <cell r="P326">
            <v>0</v>
          </cell>
          <cell r="Q326">
            <v>3031.6</v>
          </cell>
        </row>
        <row r="327">
          <cell r="A327">
            <v>2002</v>
          </cell>
          <cell r="B327">
            <v>0</v>
          </cell>
          <cell r="C327" t="str">
            <v>53 Дивизия № 6</v>
          </cell>
          <cell r="F327">
            <v>1968</v>
          </cell>
          <cell r="G327">
            <v>10101</v>
          </cell>
          <cell r="H327">
            <v>0.8</v>
          </cell>
          <cell r="K327">
            <v>646037.34</v>
          </cell>
          <cell r="L327">
            <v>5168.2987199999998</v>
          </cell>
          <cell r="M327">
            <v>430.69155999999998</v>
          </cell>
          <cell r="N327">
            <v>175722.15648000001</v>
          </cell>
          <cell r="O327">
            <v>470315.18351999996</v>
          </cell>
          <cell r="P327">
            <v>0</v>
          </cell>
          <cell r="Q327">
            <v>430.69155999999998</v>
          </cell>
        </row>
        <row r="328">
          <cell r="A328">
            <v>2002</v>
          </cell>
          <cell r="B328">
            <v>0</v>
          </cell>
          <cell r="C328" t="str">
            <v>пер. Камышинский №3\1</v>
          </cell>
          <cell r="F328">
            <v>1975</v>
          </cell>
          <cell r="G328">
            <v>10101</v>
          </cell>
          <cell r="H328">
            <v>0.8</v>
          </cell>
          <cell r="K328">
            <v>1327560</v>
          </cell>
          <cell r="L328">
            <v>10620.48</v>
          </cell>
          <cell r="M328">
            <v>885.04</v>
          </cell>
          <cell r="N328">
            <v>286752.95999999996</v>
          </cell>
          <cell r="O328">
            <v>1040807.04</v>
          </cell>
          <cell r="P328">
            <v>0</v>
          </cell>
          <cell r="Q328">
            <v>885.04</v>
          </cell>
        </row>
        <row r="329">
          <cell r="A329">
            <v>2002</v>
          </cell>
          <cell r="B329">
            <v>0</v>
          </cell>
          <cell r="C329" t="str">
            <v>пер. Камышинский №4\1</v>
          </cell>
          <cell r="F329">
            <v>1971</v>
          </cell>
          <cell r="G329">
            <v>10101</v>
          </cell>
          <cell r="H329">
            <v>0.8</v>
          </cell>
          <cell r="K329">
            <v>1082930.1599999999</v>
          </cell>
          <cell r="L329">
            <v>8663.4412800000009</v>
          </cell>
          <cell r="M329">
            <v>721.95344000000011</v>
          </cell>
          <cell r="N329">
            <v>268566.67968</v>
          </cell>
          <cell r="O329">
            <v>814363.48031999986</v>
          </cell>
          <cell r="P329">
            <v>0</v>
          </cell>
          <cell r="Q329">
            <v>721.95344000000011</v>
          </cell>
        </row>
        <row r="330">
          <cell r="A330">
            <v>2002</v>
          </cell>
          <cell r="B330">
            <v>0</v>
          </cell>
          <cell r="C330" t="str">
            <v>пер. Камышинский №5</v>
          </cell>
          <cell r="F330">
            <v>1959</v>
          </cell>
          <cell r="G330">
            <v>10101</v>
          </cell>
          <cell r="H330">
            <v>0.8</v>
          </cell>
          <cell r="K330">
            <v>95889.3</v>
          </cell>
          <cell r="L330">
            <v>767.11440000000005</v>
          </cell>
          <cell r="M330">
            <v>63.926200000000001</v>
          </cell>
          <cell r="N330">
            <v>32985.919200000004</v>
          </cell>
          <cell r="O330">
            <v>62903.380799999999</v>
          </cell>
          <cell r="P330">
            <v>0</v>
          </cell>
          <cell r="Q330">
            <v>63.926200000000001</v>
          </cell>
        </row>
        <row r="331">
          <cell r="A331">
            <v>2002</v>
          </cell>
          <cell r="B331">
            <v>0</v>
          </cell>
          <cell r="C331" t="str">
            <v>пер. Камышинский №7</v>
          </cell>
          <cell r="F331">
            <v>1964</v>
          </cell>
          <cell r="G331">
            <v>10101</v>
          </cell>
          <cell r="H331">
            <v>0.8</v>
          </cell>
          <cell r="K331">
            <v>552991.53</v>
          </cell>
          <cell r="L331">
            <v>4423.9322400000001</v>
          </cell>
          <cell r="M331">
            <v>368.66102000000001</v>
          </cell>
          <cell r="N331">
            <v>168109.42512</v>
          </cell>
          <cell r="O331">
            <v>384882.10488</v>
          </cell>
          <cell r="P331">
            <v>0</v>
          </cell>
          <cell r="Q331">
            <v>368.66102000000001</v>
          </cell>
        </row>
        <row r="332">
          <cell r="A332">
            <v>2002</v>
          </cell>
          <cell r="B332">
            <v>0</v>
          </cell>
          <cell r="C332" t="str">
            <v>Блок культ.быт.</v>
          </cell>
          <cell r="F332">
            <v>1984</v>
          </cell>
          <cell r="G332">
            <v>10002</v>
          </cell>
          <cell r="H332">
            <v>1.2</v>
          </cell>
          <cell r="K332">
            <v>566916.59</v>
          </cell>
          <cell r="L332">
            <v>6802.9990799999996</v>
          </cell>
          <cell r="M332">
            <v>566.91658999999993</v>
          </cell>
          <cell r="N332">
            <v>122453.98344</v>
          </cell>
          <cell r="O332">
            <v>444462.60655999999</v>
          </cell>
          <cell r="P332">
            <v>0</v>
          </cell>
          <cell r="Q332">
            <v>566.91658999999993</v>
          </cell>
        </row>
        <row r="333">
          <cell r="A333">
            <v>2002</v>
          </cell>
          <cell r="B333">
            <v>0</v>
          </cell>
          <cell r="C333" t="str">
            <v>Октябрьская 2/4</v>
          </cell>
          <cell r="F333">
            <v>1997</v>
          </cell>
          <cell r="G333">
            <v>10102</v>
          </cell>
          <cell r="H333">
            <v>1</v>
          </cell>
          <cell r="K333">
            <v>175238</v>
          </cell>
          <cell r="L333">
            <v>1752.38</v>
          </cell>
          <cell r="M333">
            <v>146.03166666666667</v>
          </cell>
          <cell r="N333">
            <v>8761.9000000000015</v>
          </cell>
          <cell r="O333">
            <v>166476.1</v>
          </cell>
          <cell r="P333">
            <v>0</v>
          </cell>
          <cell r="Q333">
            <v>146.03166666666667</v>
          </cell>
          <cell r="R333">
            <v>175238</v>
          </cell>
        </row>
        <row r="334">
          <cell r="A334">
            <v>2002</v>
          </cell>
          <cell r="B334">
            <v>0</v>
          </cell>
          <cell r="C334" t="str">
            <v>пер.1-ый Целинный №14</v>
          </cell>
          <cell r="F334">
            <v>1997</v>
          </cell>
          <cell r="G334">
            <v>10102</v>
          </cell>
          <cell r="H334">
            <v>1</v>
          </cell>
          <cell r="K334">
            <v>317400</v>
          </cell>
          <cell r="L334">
            <v>3174</v>
          </cell>
          <cell r="M334">
            <v>264.5</v>
          </cell>
          <cell r="N334">
            <v>15870</v>
          </cell>
          <cell r="O334">
            <v>301530</v>
          </cell>
          <cell r="P334">
            <v>0</v>
          </cell>
          <cell r="Q334">
            <v>264.5</v>
          </cell>
        </row>
        <row r="335">
          <cell r="A335">
            <v>2002</v>
          </cell>
          <cell r="B335">
            <v>0</v>
          </cell>
          <cell r="C335" t="str">
            <v>пер.1-ый Целинный №19</v>
          </cell>
          <cell r="F335">
            <v>1997</v>
          </cell>
          <cell r="G335">
            <v>10102</v>
          </cell>
          <cell r="H335">
            <v>1</v>
          </cell>
          <cell r="K335">
            <v>308900</v>
          </cell>
          <cell r="L335">
            <v>3089</v>
          </cell>
          <cell r="M335">
            <v>257.41666666666669</v>
          </cell>
          <cell r="N335">
            <v>15445</v>
          </cell>
          <cell r="O335">
            <v>293455</v>
          </cell>
          <cell r="P335">
            <v>0</v>
          </cell>
          <cell r="Q335">
            <v>257.41666666666669</v>
          </cell>
        </row>
        <row r="336">
          <cell r="A336">
            <v>2002</v>
          </cell>
          <cell r="B336">
            <v>0</v>
          </cell>
          <cell r="C336" t="str">
            <v>пер.1-ый Целинный №15</v>
          </cell>
          <cell r="F336">
            <v>1997</v>
          </cell>
          <cell r="G336">
            <v>10102</v>
          </cell>
          <cell r="H336">
            <v>1</v>
          </cell>
          <cell r="K336">
            <v>308000</v>
          </cell>
          <cell r="L336">
            <v>3080</v>
          </cell>
          <cell r="M336">
            <v>256.66666666666669</v>
          </cell>
          <cell r="N336">
            <v>15400</v>
          </cell>
          <cell r="O336">
            <v>292600</v>
          </cell>
          <cell r="P336">
            <v>0</v>
          </cell>
          <cell r="Q336">
            <v>256.66666666666669</v>
          </cell>
        </row>
        <row r="337">
          <cell r="A337">
            <v>2002</v>
          </cell>
          <cell r="B337">
            <v>0</v>
          </cell>
          <cell r="C337" t="str">
            <v>Кутякова №30/1</v>
          </cell>
          <cell r="F337">
            <v>1997</v>
          </cell>
          <cell r="G337">
            <v>10100</v>
          </cell>
          <cell r="H337">
            <v>0.7</v>
          </cell>
          <cell r="K337">
            <v>1194700</v>
          </cell>
          <cell r="L337">
            <v>8362.9</v>
          </cell>
          <cell r="M337">
            <v>696.9083333333333</v>
          </cell>
          <cell r="N337">
            <v>41814.5</v>
          </cell>
          <cell r="O337">
            <v>1152885.5</v>
          </cell>
          <cell r="P337">
            <v>0</v>
          </cell>
          <cell r="Q337">
            <v>696.9083333333333</v>
          </cell>
        </row>
        <row r="338">
          <cell r="A338">
            <v>2002</v>
          </cell>
          <cell r="B338">
            <v>0</v>
          </cell>
          <cell r="C338" t="str">
            <v>Горького №109</v>
          </cell>
          <cell r="F338">
            <v>1952</v>
          </cell>
          <cell r="G338">
            <v>10101</v>
          </cell>
          <cell r="H338">
            <v>0.8</v>
          </cell>
          <cell r="K338">
            <v>273136.5</v>
          </cell>
          <cell r="L338">
            <v>2185.0920000000001</v>
          </cell>
          <cell r="M338">
            <v>182.09100000000001</v>
          </cell>
          <cell r="N338">
            <v>109254.6</v>
          </cell>
          <cell r="O338">
            <v>163881.9</v>
          </cell>
          <cell r="P338">
            <v>0</v>
          </cell>
          <cell r="Q338">
            <v>182.09100000000001</v>
          </cell>
        </row>
        <row r="339">
          <cell r="A339">
            <v>2002</v>
          </cell>
          <cell r="B339">
            <v>0</v>
          </cell>
          <cell r="C339" t="str">
            <v>Горького №107</v>
          </cell>
          <cell r="F339">
            <v>1952</v>
          </cell>
          <cell r="G339">
            <v>10101</v>
          </cell>
          <cell r="H339">
            <v>0.8</v>
          </cell>
          <cell r="K339">
            <v>273136.5</v>
          </cell>
          <cell r="L339">
            <v>2185.0920000000001</v>
          </cell>
          <cell r="M339">
            <v>182.09100000000001</v>
          </cell>
          <cell r="N339">
            <v>109254.6</v>
          </cell>
          <cell r="O339">
            <v>163881.9</v>
          </cell>
          <cell r="P339">
            <v>0</v>
          </cell>
          <cell r="Q339">
            <v>182.09100000000001</v>
          </cell>
        </row>
        <row r="340">
          <cell r="A340">
            <v>2002</v>
          </cell>
          <cell r="B340">
            <v>0</v>
          </cell>
          <cell r="C340" t="str">
            <v>Толстого №26</v>
          </cell>
          <cell r="F340">
            <v>1976</v>
          </cell>
          <cell r="G340">
            <v>10101</v>
          </cell>
          <cell r="H340">
            <v>0.8</v>
          </cell>
          <cell r="K340">
            <v>3279432</v>
          </cell>
          <cell r="L340">
            <v>26235.456000000002</v>
          </cell>
          <cell r="M340">
            <v>2186.288</v>
          </cell>
          <cell r="N340">
            <v>682121.85600000003</v>
          </cell>
          <cell r="O340">
            <v>2597310.1439999999</v>
          </cell>
          <cell r="P340">
            <v>0</v>
          </cell>
          <cell r="Q340">
            <v>2186.288</v>
          </cell>
        </row>
        <row r="341">
          <cell r="A341">
            <v>2002</v>
          </cell>
          <cell r="B341">
            <v>0</v>
          </cell>
          <cell r="C341" t="str">
            <v>Котельная.Дсу-2</v>
          </cell>
          <cell r="F341">
            <v>1975</v>
          </cell>
          <cell r="G341">
            <v>10101</v>
          </cell>
          <cell r="H341">
            <v>0.8</v>
          </cell>
          <cell r="I341">
            <v>176081100</v>
          </cell>
          <cell r="J341">
            <v>0.61</v>
          </cell>
          <cell r="K341">
            <v>106989.409</v>
          </cell>
          <cell r="L341">
            <v>855.91527200000007</v>
          </cell>
          <cell r="M341">
            <v>71.326272666666668</v>
          </cell>
          <cell r="N341">
            <v>23109.712344000003</v>
          </cell>
          <cell r="O341">
            <v>83879.696656</v>
          </cell>
          <cell r="P341">
            <v>0</v>
          </cell>
          <cell r="Q341">
            <v>71.326272666666668</v>
          </cell>
        </row>
        <row r="342">
          <cell r="A342">
            <v>2002</v>
          </cell>
          <cell r="B342">
            <v>0</v>
          </cell>
          <cell r="C342" t="str">
            <v>4 ый Лесозащ Пер 14</v>
          </cell>
          <cell r="F342">
            <v>1996</v>
          </cell>
          <cell r="G342">
            <v>10103</v>
          </cell>
          <cell r="H342">
            <v>2</v>
          </cell>
          <cell r="I342">
            <v>1642848</v>
          </cell>
          <cell r="J342">
            <v>1.3</v>
          </cell>
          <cell r="K342">
            <v>2135.7020000000002</v>
          </cell>
          <cell r="L342">
            <v>42.714040000000004</v>
          </cell>
          <cell r="M342">
            <v>3.5595033333333337</v>
          </cell>
          <cell r="N342">
            <v>256.28424000000001</v>
          </cell>
          <cell r="O342">
            <v>1879.4177600000003</v>
          </cell>
          <cell r="P342">
            <v>0</v>
          </cell>
          <cell r="Q342">
            <v>3.5595033333333337</v>
          </cell>
        </row>
        <row r="343">
          <cell r="A343">
            <v>2002</v>
          </cell>
          <cell r="B343">
            <v>0</v>
          </cell>
          <cell r="C343" t="str">
            <v>Вокзальная 60</v>
          </cell>
          <cell r="F343">
            <v>1961</v>
          </cell>
          <cell r="G343">
            <v>10104</v>
          </cell>
          <cell r="H343">
            <v>3.3</v>
          </cell>
          <cell r="I343">
            <v>32740500</v>
          </cell>
          <cell r="J343">
            <v>1.33</v>
          </cell>
          <cell r="K343">
            <v>43544.864999999998</v>
          </cell>
          <cell r="L343">
            <v>1436.9805449999999</v>
          </cell>
          <cell r="M343">
            <v>0</v>
          </cell>
          <cell r="N343">
            <v>58916.202344999998</v>
          </cell>
          <cell r="O343">
            <v>0</v>
          </cell>
          <cell r="P343">
            <v>15371.337345</v>
          </cell>
          <cell r="Q343">
            <v>0</v>
          </cell>
        </row>
        <row r="344">
          <cell r="A344">
            <v>2002</v>
          </cell>
          <cell r="B344">
            <v>0</v>
          </cell>
          <cell r="C344" t="str">
            <v>М-Горького 103</v>
          </cell>
          <cell r="F344">
            <v>1952</v>
          </cell>
          <cell r="G344">
            <v>10101</v>
          </cell>
          <cell r="H344">
            <v>0.8</v>
          </cell>
          <cell r="I344">
            <v>409570200</v>
          </cell>
          <cell r="J344">
            <v>1.33</v>
          </cell>
          <cell r="K344">
            <v>544728.36600000004</v>
          </cell>
          <cell r="L344">
            <v>4357.8269280000004</v>
          </cell>
          <cell r="M344">
            <v>363.15224400000005</v>
          </cell>
          <cell r="N344">
            <v>217891.34640000001</v>
          </cell>
          <cell r="O344">
            <v>326837.0196</v>
          </cell>
          <cell r="P344">
            <v>0</v>
          </cell>
          <cell r="Q344">
            <v>363.15224400000005</v>
          </cell>
        </row>
        <row r="345">
          <cell r="A345">
            <v>2002</v>
          </cell>
          <cell r="B345">
            <v>0</v>
          </cell>
          <cell r="C345" t="str">
            <v>Общежитие. сзм</v>
          </cell>
          <cell r="F345">
            <v>1985</v>
          </cell>
          <cell r="G345">
            <v>10101</v>
          </cell>
          <cell r="H345">
            <v>0.8</v>
          </cell>
          <cell r="I345">
            <v>6216156180</v>
          </cell>
          <cell r="J345">
            <v>0.94</v>
          </cell>
          <cell r="K345">
            <v>5828561.1579999998</v>
          </cell>
          <cell r="L345">
            <v>46628.489264000003</v>
          </cell>
          <cell r="M345">
            <v>3885.7074386666668</v>
          </cell>
          <cell r="N345">
            <v>792684.31748800003</v>
          </cell>
          <cell r="O345">
            <v>5035876.840512</v>
          </cell>
          <cell r="P345">
            <v>0</v>
          </cell>
          <cell r="Q345">
            <v>3885.7074386666668</v>
          </cell>
        </row>
        <row r="346">
          <cell r="A346">
            <v>2002</v>
          </cell>
          <cell r="B346">
            <v>0</v>
          </cell>
          <cell r="C346" t="str">
            <v>Комарова 18</v>
          </cell>
          <cell r="E346">
            <v>11</v>
          </cell>
          <cell r="F346">
            <v>1998</v>
          </cell>
          <cell r="G346">
            <v>10101</v>
          </cell>
          <cell r="H346">
            <v>0.8</v>
          </cell>
          <cell r="K346">
            <v>87905</v>
          </cell>
          <cell r="L346">
            <v>703.24</v>
          </cell>
          <cell r="M346">
            <v>58.603333333333332</v>
          </cell>
          <cell r="N346">
            <v>2812.96</v>
          </cell>
          <cell r="O346">
            <v>85092.04</v>
          </cell>
          <cell r="P346">
            <v>0</v>
          </cell>
          <cell r="Q346">
            <v>58.603333333333332</v>
          </cell>
          <cell r="R346">
            <v>87905</v>
          </cell>
        </row>
        <row r="347">
          <cell r="A347">
            <v>2002</v>
          </cell>
          <cell r="B347">
            <v>0</v>
          </cell>
          <cell r="C347" t="str">
            <v>Рабочая 15</v>
          </cell>
          <cell r="E347">
            <v>11</v>
          </cell>
          <cell r="F347">
            <v>1980</v>
          </cell>
          <cell r="G347">
            <v>10101</v>
          </cell>
          <cell r="H347">
            <v>0.8</v>
          </cell>
          <cell r="K347">
            <v>87905</v>
          </cell>
          <cell r="L347">
            <v>703.24</v>
          </cell>
          <cell r="M347">
            <v>58.603333333333332</v>
          </cell>
          <cell r="N347">
            <v>15471.28</v>
          </cell>
          <cell r="O347">
            <v>72433.72</v>
          </cell>
          <cell r="P347">
            <v>0</v>
          </cell>
          <cell r="Q347">
            <v>58.603333333333332</v>
          </cell>
          <cell r="R347">
            <v>87905</v>
          </cell>
        </row>
        <row r="348">
          <cell r="A348">
            <v>2002</v>
          </cell>
          <cell r="B348">
            <v>0</v>
          </cell>
          <cell r="C348" t="str">
            <v>Рабочая 11</v>
          </cell>
          <cell r="E348">
            <v>11</v>
          </cell>
          <cell r="F348">
            <v>1983</v>
          </cell>
          <cell r="G348">
            <v>10101</v>
          </cell>
          <cell r="H348">
            <v>1</v>
          </cell>
          <cell r="K348">
            <v>797088.86</v>
          </cell>
          <cell r="L348">
            <v>7970.8886000000002</v>
          </cell>
          <cell r="M348">
            <v>664.24071666666669</v>
          </cell>
          <cell r="N348">
            <v>151446.88339999999</v>
          </cell>
          <cell r="O348">
            <v>645641.97659999994</v>
          </cell>
          <cell r="P348">
            <v>0</v>
          </cell>
          <cell r="Q348">
            <v>664.24071666666669</v>
          </cell>
          <cell r="R348">
            <v>797088.86</v>
          </cell>
        </row>
        <row r="349">
          <cell r="A349">
            <v>2002</v>
          </cell>
          <cell r="B349">
            <v>0</v>
          </cell>
          <cell r="C349" t="str">
            <v>Комарова 20 1кв.</v>
          </cell>
          <cell r="E349">
            <v>11</v>
          </cell>
          <cell r="F349">
            <v>1980</v>
          </cell>
          <cell r="G349">
            <v>10101</v>
          </cell>
          <cell r="H349">
            <v>0.8</v>
          </cell>
          <cell r="K349">
            <v>105000</v>
          </cell>
          <cell r="L349">
            <v>840</v>
          </cell>
          <cell r="M349">
            <v>70</v>
          </cell>
          <cell r="N349">
            <v>18480</v>
          </cell>
          <cell r="O349">
            <v>86520</v>
          </cell>
          <cell r="P349">
            <v>0</v>
          </cell>
          <cell r="Q349">
            <v>70</v>
          </cell>
          <cell r="R349">
            <v>105000</v>
          </cell>
        </row>
        <row r="350">
          <cell r="A350">
            <v>2002</v>
          </cell>
          <cell r="B350">
            <v>0</v>
          </cell>
          <cell r="C350" t="str">
            <v>Гоголя 21/1</v>
          </cell>
          <cell r="E350">
            <v>11</v>
          </cell>
          <cell r="F350">
            <v>1975</v>
          </cell>
          <cell r="G350">
            <v>10101</v>
          </cell>
          <cell r="H350">
            <v>0.8</v>
          </cell>
          <cell r="K350">
            <v>349587.81</v>
          </cell>
          <cell r="L350">
            <v>2796.7024800000004</v>
          </cell>
          <cell r="M350">
            <v>233.05854000000002</v>
          </cell>
          <cell r="N350">
            <v>75510.966960000005</v>
          </cell>
          <cell r="O350">
            <v>274076.84304000001</v>
          </cell>
          <cell r="P350">
            <v>0</v>
          </cell>
          <cell r="Q350">
            <v>233.05854000000002</v>
          </cell>
          <cell r="R350">
            <v>349587.81</v>
          </cell>
        </row>
        <row r="351">
          <cell r="A351">
            <v>2002</v>
          </cell>
          <cell r="B351">
            <v>0</v>
          </cell>
          <cell r="C351" t="str">
            <v>Кутякова 37/3</v>
          </cell>
          <cell r="F351">
            <v>2000</v>
          </cell>
          <cell r="G351">
            <v>10101</v>
          </cell>
          <cell r="H351">
            <v>0.8</v>
          </cell>
          <cell r="K351">
            <v>256212.47</v>
          </cell>
          <cell r="L351">
            <v>2049.6997600000004</v>
          </cell>
          <cell r="M351">
            <v>170.80831333333336</v>
          </cell>
          <cell r="N351">
            <v>4099.3995200000008</v>
          </cell>
          <cell r="O351">
            <v>252113.07047999999</v>
          </cell>
          <cell r="P351">
            <v>0</v>
          </cell>
          <cell r="Q351">
            <v>170.80831333333336</v>
          </cell>
          <cell r="R351">
            <v>256212.47</v>
          </cell>
        </row>
        <row r="352">
          <cell r="A352">
            <v>2002</v>
          </cell>
          <cell r="B352">
            <v>0</v>
          </cell>
          <cell r="C352" t="str">
            <v>Топорковская, 93</v>
          </cell>
          <cell r="F352">
            <v>2000</v>
          </cell>
          <cell r="G352">
            <v>10101</v>
          </cell>
          <cell r="H352">
            <v>0.8</v>
          </cell>
          <cell r="K352">
            <v>2642107</v>
          </cell>
          <cell r="L352">
            <v>21136.856</v>
          </cell>
          <cell r="M352">
            <v>1761.4046666666666</v>
          </cell>
          <cell r="N352">
            <v>42273.712</v>
          </cell>
          <cell r="O352">
            <v>2599833.2880000002</v>
          </cell>
          <cell r="P352">
            <v>0</v>
          </cell>
          <cell r="Q352">
            <v>1761.4046666666666</v>
          </cell>
          <cell r="R352">
            <v>2642107</v>
          </cell>
        </row>
        <row r="353">
          <cell r="A353">
            <v>2002</v>
          </cell>
          <cell r="B353">
            <v>0</v>
          </cell>
          <cell r="C353" t="str">
            <v>Пионерская 2/2</v>
          </cell>
          <cell r="E353">
            <v>5</v>
          </cell>
          <cell r="F353">
            <v>1972</v>
          </cell>
          <cell r="G353">
            <v>10101</v>
          </cell>
          <cell r="H353">
            <v>0.8</v>
          </cell>
          <cell r="K353">
            <v>776371.44</v>
          </cell>
          <cell r="L353">
            <v>6210.9715200000001</v>
          </cell>
          <cell r="M353">
            <v>517.58096</v>
          </cell>
          <cell r="N353">
            <v>186329.14559999999</v>
          </cell>
          <cell r="O353">
            <v>590042.29440000001</v>
          </cell>
          <cell r="P353">
            <v>0</v>
          </cell>
          <cell r="Q353">
            <v>517.58096</v>
          </cell>
          <cell r="R353">
            <v>776371.44</v>
          </cell>
        </row>
        <row r="354">
          <cell r="A354">
            <v>2002</v>
          </cell>
          <cell r="B354">
            <v>0</v>
          </cell>
          <cell r="C354" t="str">
            <v>Пионерская 2/1</v>
          </cell>
          <cell r="E354">
            <v>5</v>
          </cell>
          <cell r="F354">
            <v>1971</v>
          </cell>
          <cell r="G354">
            <v>10101</v>
          </cell>
          <cell r="H354">
            <v>0.8</v>
          </cell>
          <cell r="K354">
            <v>776371.44</v>
          </cell>
          <cell r="L354">
            <v>6210.9715200000001</v>
          </cell>
          <cell r="M354">
            <v>517.58096</v>
          </cell>
          <cell r="N354">
            <v>192540.11712000001</v>
          </cell>
          <cell r="O354">
            <v>583831.32287999988</v>
          </cell>
          <cell r="P354">
            <v>0</v>
          </cell>
          <cell r="Q354">
            <v>517.58096</v>
          </cell>
          <cell r="R354">
            <v>776371.44</v>
          </cell>
        </row>
        <row r="355">
          <cell r="A355">
            <v>2002</v>
          </cell>
          <cell r="B355">
            <v>0</v>
          </cell>
          <cell r="C355" t="str">
            <v>Кутякова 32</v>
          </cell>
          <cell r="E355">
            <v>5</v>
          </cell>
          <cell r="F355">
            <v>1966</v>
          </cell>
          <cell r="G355">
            <v>10101</v>
          </cell>
          <cell r="H355">
            <v>0.8</v>
          </cell>
          <cell r="K355">
            <v>566904</v>
          </cell>
          <cell r="L355">
            <v>4535.232</v>
          </cell>
          <cell r="M355">
            <v>377.93599999999998</v>
          </cell>
          <cell r="N355">
            <v>163268.35200000001</v>
          </cell>
          <cell r="O355">
            <v>403635.64799999999</v>
          </cell>
          <cell r="P355">
            <v>0</v>
          </cell>
          <cell r="Q355">
            <v>377.93599999999998</v>
          </cell>
          <cell r="R355">
            <v>566904</v>
          </cell>
        </row>
        <row r="356">
          <cell r="A356">
            <v>2002</v>
          </cell>
          <cell r="B356">
            <v>0</v>
          </cell>
          <cell r="C356" t="str">
            <v>Железнодорожная 34/1</v>
          </cell>
          <cell r="E356">
            <v>7</v>
          </cell>
          <cell r="F356">
            <v>1998</v>
          </cell>
          <cell r="G356">
            <v>10101</v>
          </cell>
          <cell r="H356">
            <v>0.8</v>
          </cell>
          <cell r="K356">
            <v>397000</v>
          </cell>
          <cell r="L356">
            <v>3176</v>
          </cell>
          <cell r="M356">
            <v>264.66666666666669</v>
          </cell>
          <cell r="N356">
            <v>12704</v>
          </cell>
          <cell r="O356">
            <v>384296</v>
          </cell>
          <cell r="P356">
            <v>0</v>
          </cell>
          <cell r="Q356">
            <v>264.66666666666669</v>
          </cell>
          <cell r="R356">
            <v>397000</v>
          </cell>
        </row>
        <row r="357">
          <cell r="A357">
            <v>2002</v>
          </cell>
          <cell r="C357" t="str">
            <v>Карьер МВД  7 кв 6</v>
          </cell>
          <cell r="E357">
            <v>4</v>
          </cell>
          <cell r="F357">
            <v>2001</v>
          </cell>
          <cell r="G357">
            <v>10101</v>
          </cell>
          <cell r="H357">
            <v>0.8</v>
          </cell>
          <cell r="K357">
            <v>44231</v>
          </cell>
          <cell r="L357">
            <v>353.84800000000001</v>
          </cell>
          <cell r="M357">
            <v>29.487333333333336</v>
          </cell>
          <cell r="N357">
            <v>353.84800000000001</v>
          </cell>
          <cell r="O357">
            <v>43877.152000000002</v>
          </cell>
          <cell r="P357">
            <v>0</v>
          </cell>
          <cell r="Q357">
            <v>29.487333333333336</v>
          </cell>
        </row>
        <row r="358">
          <cell r="A358">
            <v>2002</v>
          </cell>
          <cell r="B358">
            <v>0</v>
          </cell>
          <cell r="C358" t="str">
            <v>ИТОГО</v>
          </cell>
          <cell r="F358" t="str">
            <v>ПО ЖИЛЫМ ДОМАМ</v>
          </cell>
          <cell r="I358">
            <v>7141666908</v>
          </cell>
          <cell r="J358">
            <v>17.579999999999998</v>
          </cell>
          <cell r="K358">
            <v>302508365.97242993</v>
          </cell>
          <cell r="L358">
            <v>2671627.7776239719</v>
          </cell>
          <cell r="M358">
            <v>195282.55422871155</v>
          </cell>
          <cell r="N358">
            <v>72722472.339843705</v>
          </cell>
          <cell r="O358">
            <v>238509697.55277133</v>
          </cell>
          <cell r="P358">
            <v>8723803.9201850276</v>
          </cell>
          <cell r="Q358">
            <v>195282.55422871155</v>
          </cell>
          <cell r="R358">
            <v>13559167.289999999</v>
          </cell>
        </row>
        <row r="359">
          <cell r="A359">
            <v>2002</v>
          </cell>
          <cell r="B359">
            <v>0</v>
          </cell>
          <cell r="C359" t="str">
            <v>ИТОГО</v>
          </cell>
          <cell r="F359" t="str">
            <v>ПО ЖИЛЬЮ</v>
          </cell>
          <cell r="I359">
            <v>413977388904</v>
          </cell>
          <cell r="J359">
            <v>55.8</v>
          </cell>
          <cell r="K359">
            <v>304549728.33496994</v>
          </cell>
          <cell r="L359">
            <v>2708906.3479435621</v>
          </cell>
          <cell r="M359">
            <v>196045.22323455822</v>
          </cell>
          <cell r="N359">
            <v>75469136.826275736</v>
          </cell>
          <cell r="O359">
            <v>239152683.93819654</v>
          </cell>
          <cell r="P359">
            <v>10072092.429502267</v>
          </cell>
          <cell r="Q359">
            <v>196045.22323455822</v>
          </cell>
          <cell r="R359">
            <v>13559167.289999999</v>
          </cell>
        </row>
        <row r="360">
          <cell r="A360">
            <v>2002</v>
          </cell>
          <cell r="B360">
            <v>0</v>
          </cell>
        </row>
        <row r="361">
          <cell r="A361">
            <v>2002</v>
          </cell>
          <cell r="B361">
            <v>0</v>
          </cell>
          <cell r="F361" t="str">
            <v>ГОСТИНИЦА "СПУТНИК"</v>
          </cell>
        </row>
        <row r="362">
          <cell r="A362">
            <v>2002</v>
          </cell>
          <cell r="B362">
            <v>0</v>
          </cell>
          <cell r="C362" t="str">
            <v>Здание.</v>
          </cell>
          <cell r="F362" t="str">
            <v/>
          </cell>
          <cell r="G362" t="str">
            <v/>
          </cell>
        </row>
        <row r="363">
          <cell r="A363">
            <v>2002</v>
          </cell>
          <cell r="B363">
            <v>0</v>
          </cell>
          <cell r="C363" t="str">
            <v>Гостиница "Спутник"</v>
          </cell>
          <cell r="F363">
            <v>1972</v>
          </cell>
          <cell r="G363">
            <v>10001</v>
          </cell>
          <cell r="H363">
            <v>1</v>
          </cell>
          <cell r="I363">
            <v>3178586258</v>
          </cell>
          <cell r="J363">
            <v>0.76</v>
          </cell>
          <cell r="K363">
            <v>2413685.051</v>
          </cell>
          <cell r="L363">
            <v>24136.85051</v>
          </cell>
          <cell r="M363">
            <v>2011.4042091666668</v>
          </cell>
          <cell r="N363">
            <v>724105.51529999997</v>
          </cell>
          <cell r="O363">
            <v>1689579.5356999999</v>
          </cell>
          <cell r="P363">
            <v>0</v>
          </cell>
          <cell r="Q363">
            <v>2011.4042091666668</v>
          </cell>
        </row>
        <row r="364">
          <cell r="A364">
            <v>2002</v>
          </cell>
          <cell r="B364">
            <v>0</v>
          </cell>
          <cell r="C364" t="str">
            <v>ИТОГО</v>
          </cell>
          <cell r="F364" t="str">
            <v>ИТОГО ЗДАНИЕ</v>
          </cell>
          <cell r="I364">
            <v>3178586258</v>
          </cell>
          <cell r="J364">
            <v>0.76</v>
          </cell>
          <cell r="K364">
            <v>2413685.051</v>
          </cell>
          <cell r="L364">
            <v>24136.85051</v>
          </cell>
          <cell r="M364">
            <v>2011.4042091666668</v>
          </cell>
          <cell r="N364">
            <v>724105.51529999997</v>
          </cell>
          <cell r="O364">
            <v>1689579.5356999999</v>
          </cell>
          <cell r="P364">
            <v>0</v>
          </cell>
          <cell r="Q364">
            <v>2011.4042091666668</v>
          </cell>
        </row>
        <row r="365">
          <cell r="A365">
            <v>2002</v>
          </cell>
          <cell r="B365">
            <v>0</v>
          </cell>
          <cell r="C365" t="str">
            <v>МАШИНЫ И ОБОРУДОВАНИЕ</v>
          </cell>
        </row>
        <row r="366">
          <cell r="A366">
            <v>2002</v>
          </cell>
          <cell r="B366">
            <v>0</v>
          </cell>
          <cell r="C366" t="str">
            <v>Холодил. Кодры</v>
          </cell>
          <cell r="F366">
            <v>1985</v>
          </cell>
          <cell r="G366">
            <v>45800</v>
          </cell>
          <cell r="H366">
            <v>10</v>
          </cell>
          <cell r="I366">
            <v>1300000</v>
          </cell>
          <cell r="J366">
            <v>0.73</v>
          </cell>
          <cell r="K366">
            <v>960.3</v>
          </cell>
          <cell r="L366">
            <v>96.03</v>
          </cell>
          <cell r="M366">
            <v>0</v>
          </cell>
          <cell r="N366">
            <v>960.3</v>
          </cell>
          <cell r="O366">
            <v>0</v>
          </cell>
          <cell r="P366">
            <v>0</v>
          </cell>
          <cell r="Q366">
            <v>0</v>
          </cell>
        </row>
        <row r="367">
          <cell r="A367">
            <v>2002</v>
          </cell>
          <cell r="B367">
            <v>0</v>
          </cell>
          <cell r="C367" t="str">
            <v>Холодил.Саратов</v>
          </cell>
          <cell r="F367">
            <v>1987</v>
          </cell>
          <cell r="G367">
            <v>45800</v>
          </cell>
          <cell r="H367">
            <v>10</v>
          </cell>
          <cell r="I367">
            <v>2000000</v>
          </cell>
          <cell r="J367">
            <v>0.86</v>
          </cell>
          <cell r="K367">
            <v>1720</v>
          </cell>
          <cell r="L367">
            <v>172</v>
          </cell>
          <cell r="M367">
            <v>0</v>
          </cell>
          <cell r="N367">
            <v>1720</v>
          </cell>
          <cell r="O367">
            <v>0</v>
          </cell>
          <cell r="P367">
            <v>0</v>
          </cell>
          <cell r="Q367">
            <v>0</v>
          </cell>
        </row>
        <row r="368">
          <cell r="A368">
            <v>2002</v>
          </cell>
          <cell r="B368">
            <v>0</v>
          </cell>
          <cell r="C368" t="str">
            <v>Холодил.Саратов</v>
          </cell>
          <cell r="F368">
            <v>1990</v>
          </cell>
          <cell r="G368">
            <v>45800</v>
          </cell>
          <cell r="H368">
            <v>10</v>
          </cell>
          <cell r="I368">
            <v>2000000</v>
          </cell>
          <cell r="J368">
            <v>0.86</v>
          </cell>
          <cell r="K368">
            <v>1462</v>
          </cell>
          <cell r="L368">
            <v>146.19999999999999</v>
          </cell>
          <cell r="M368">
            <v>0</v>
          </cell>
          <cell r="N368">
            <v>1462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2002</v>
          </cell>
          <cell r="B369">
            <v>0</v>
          </cell>
          <cell r="C369" t="str">
            <v>ИТОГО</v>
          </cell>
          <cell r="F369" t="str">
            <v>МАШИНЫ И ОБОРУДОВАНИЕ</v>
          </cell>
          <cell r="I369">
            <v>5300000</v>
          </cell>
          <cell r="J369">
            <v>2.4500000000000002</v>
          </cell>
          <cell r="K369">
            <v>4142.3</v>
          </cell>
          <cell r="L369">
            <v>414.22999999999996</v>
          </cell>
          <cell r="M369">
            <v>0</v>
          </cell>
          <cell r="N369">
            <v>4142.3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2002</v>
          </cell>
          <cell r="B370">
            <v>0</v>
          </cell>
          <cell r="C370" t="str">
            <v>ИНСТРУМЕНТ.ПРОИЗ.ХОЗ.</v>
          </cell>
        </row>
        <row r="371">
          <cell r="A371">
            <v>2002</v>
          </cell>
          <cell r="B371">
            <v>0</v>
          </cell>
          <cell r="C371" t="str">
            <v>Кресло. стамотолог.</v>
          </cell>
          <cell r="F371">
            <v>1981</v>
          </cell>
          <cell r="G371">
            <v>70000</v>
          </cell>
          <cell r="H371">
            <v>9.1</v>
          </cell>
          <cell r="I371">
            <v>1712432</v>
          </cell>
          <cell r="J371">
            <v>0.99</v>
          </cell>
          <cell r="K371">
            <v>1703.0139999999999</v>
          </cell>
          <cell r="L371">
            <v>0</v>
          </cell>
          <cell r="M371">
            <v>0</v>
          </cell>
          <cell r="N371">
            <v>3254.4597539999995</v>
          </cell>
          <cell r="O371">
            <v>0</v>
          </cell>
          <cell r="P371">
            <v>1551.4457539999996</v>
          </cell>
          <cell r="Q371">
            <v>0</v>
          </cell>
        </row>
        <row r="372">
          <cell r="A372">
            <v>2002</v>
          </cell>
          <cell r="B372">
            <v>0</v>
          </cell>
          <cell r="C372" t="str">
            <v>Аппарат.Дерсенваль.</v>
          </cell>
          <cell r="F372">
            <v>1990</v>
          </cell>
          <cell r="G372">
            <v>70005</v>
          </cell>
          <cell r="H372">
            <v>8.3000000000000007</v>
          </cell>
          <cell r="I372">
            <v>570440</v>
          </cell>
          <cell r="J372">
            <v>1.17</v>
          </cell>
          <cell r="K372">
            <v>667.41499999999996</v>
          </cell>
          <cell r="L372">
            <v>55.395445000000002</v>
          </cell>
          <cell r="M372">
            <v>4.6162870833333338</v>
          </cell>
          <cell r="N372">
            <v>664.74534000000006</v>
          </cell>
          <cell r="O372">
            <v>2.669659999999908</v>
          </cell>
          <cell r="P372">
            <v>0</v>
          </cell>
          <cell r="Q372">
            <v>4.6162870833333338</v>
          </cell>
        </row>
        <row r="373">
          <cell r="A373">
            <v>2002</v>
          </cell>
          <cell r="B373">
            <v>0</v>
          </cell>
          <cell r="C373" t="str">
            <v>Стол.журнальн.</v>
          </cell>
          <cell r="F373">
            <v>1991</v>
          </cell>
          <cell r="G373">
            <v>70005</v>
          </cell>
          <cell r="H373">
            <v>10</v>
          </cell>
          <cell r="I373">
            <v>163625</v>
          </cell>
          <cell r="J373">
            <v>0.91</v>
          </cell>
          <cell r="K373">
            <v>148.899</v>
          </cell>
          <cell r="L373">
            <v>0</v>
          </cell>
          <cell r="M373">
            <v>0</v>
          </cell>
          <cell r="N373">
            <v>163.78890000000001</v>
          </cell>
          <cell r="O373">
            <v>0</v>
          </cell>
          <cell r="P373">
            <v>14.889900000000011</v>
          </cell>
          <cell r="Q373">
            <v>0</v>
          </cell>
        </row>
        <row r="374">
          <cell r="A374">
            <v>2002</v>
          </cell>
          <cell r="B374">
            <v>0</v>
          </cell>
          <cell r="C374" t="str">
            <v>Люстра. хруст.</v>
          </cell>
          <cell r="F374">
            <v>1984</v>
          </cell>
          <cell r="G374">
            <v>70005</v>
          </cell>
          <cell r="H374">
            <v>8.3000000000000007</v>
          </cell>
          <cell r="I374">
            <v>2139469</v>
          </cell>
          <cell r="J374">
            <v>0.73</v>
          </cell>
          <cell r="K374">
            <v>1563.952</v>
          </cell>
          <cell r="L374">
            <v>0</v>
          </cell>
          <cell r="M374">
            <v>0</v>
          </cell>
          <cell r="N374">
            <v>1563.952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2002</v>
          </cell>
          <cell r="B375">
            <v>0</v>
          </cell>
          <cell r="C375" t="str">
            <v>Шкаф.платьевой</v>
          </cell>
          <cell r="F375">
            <v>1991</v>
          </cell>
          <cell r="G375">
            <v>70003</v>
          </cell>
          <cell r="H375">
            <v>10</v>
          </cell>
          <cell r="I375">
            <v>2016727</v>
          </cell>
          <cell r="J375">
            <v>0.45</v>
          </cell>
          <cell r="K375">
            <v>900</v>
          </cell>
          <cell r="L375">
            <v>0</v>
          </cell>
          <cell r="M375">
            <v>0</v>
          </cell>
          <cell r="N375">
            <v>990</v>
          </cell>
          <cell r="O375">
            <v>0</v>
          </cell>
          <cell r="P375">
            <v>90</v>
          </cell>
          <cell r="Q375">
            <v>0</v>
          </cell>
        </row>
        <row r="376">
          <cell r="A376">
            <v>2002</v>
          </cell>
          <cell r="B376">
            <v>0</v>
          </cell>
          <cell r="C376" t="str">
            <v>Шкаф. платьевой</v>
          </cell>
          <cell r="F376">
            <v>1990</v>
          </cell>
          <cell r="G376">
            <v>70003</v>
          </cell>
          <cell r="H376">
            <v>10</v>
          </cell>
          <cell r="I376">
            <v>802794</v>
          </cell>
          <cell r="J376">
            <v>0.37</v>
          </cell>
          <cell r="K376">
            <v>300</v>
          </cell>
          <cell r="L376">
            <v>0</v>
          </cell>
          <cell r="M376">
            <v>0</v>
          </cell>
          <cell r="N376">
            <v>360</v>
          </cell>
          <cell r="O376">
            <v>0</v>
          </cell>
          <cell r="P376">
            <v>60</v>
          </cell>
          <cell r="Q376">
            <v>0</v>
          </cell>
        </row>
        <row r="377">
          <cell r="A377">
            <v>2002</v>
          </cell>
          <cell r="B377">
            <v>0</v>
          </cell>
          <cell r="C377" t="str">
            <v>Кровать. односп.</v>
          </cell>
          <cell r="F377">
            <v>1991</v>
          </cell>
          <cell r="G377">
            <v>70003</v>
          </cell>
          <cell r="H377">
            <v>10</v>
          </cell>
          <cell r="I377">
            <v>6729923</v>
          </cell>
          <cell r="J377">
            <v>0.83</v>
          </cell>
          <cell r="K377">
            <v>5600</v>
          </cell>
          <cell r="L377">
            <v>0</v>
          </cell>
          <cell r="M377">
            <v>0</v>
          </cell>
          <cell r="N377">
            <v>6160</v>
          </cell>
          <cell r="O377">
            <v>0</v>
          </cell>
          <cell r="P377">
            <v>560</v>
          </cell>
          <cell r="Q377">
            <v>0</v>
          </cell>
        </row>
        <row r="378">
          <cell r="A378">
            <v>2002</v>
          </cell>
          <cell r="B378">
            <v>0</v>
          </cell>
          <cell r="C378" t="str">
            <v>Лампа.мед.</v>
          </cell>
          <cell r="F378">
            <v>1981</v>
          </cell>
          <cell r="G378">
            <v>70005</v>
          </cell>
          <cell r="H378">
            <v>8.3000000000000007</v>
          </cell>
          <cell r="I378">
            <v>57237</v>
          </cell>
          <cell r="J378">
            <v>0.99</v>
          </cell>
          <cell r="K378">
            <v>56.921999999999997</v>
          </cell>
          <cell r="L378">
            <v>0</v>
          </cell>
          <cell r="M378">
            <v>0</v>
          </cell>
          <cell r="N378">
            <v>56.921999999999997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2002</v>
          </cell>
          <cell r="B379">
            <v>0</v>
          </cell>
          <cell r="C379" t="str">
            <v>Зеркало</v>
          </cell>
          <cell r="F379">
            <v>1981</v>
          </cell>
          <cell r="G379">
            <v>70004</v>
          </cell>
          <cell r="H379">
            <v>6.7</v>
          </cell>
          <cell r="I379">
            <v>30386</v>
          </cell>
          <cell r="J379">
            <v>0.73</v>
          </cell>
          <cell r="K379">
            <v>22.212</v>
          </cell>
          <cell r="L379">
            <v>0</v>
          </cell>
          <cell r="M379">
            <v>0</v>
          </cell>
          <cell r="N379">
            <v>22.212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2002</v>
          </cell>
          <cell r="B380">
            <v>0</v>
          </cell>
          <cell r="C380" t="str">
            <v>Зеркало</v>
          </cell>
          <cell r="F380">
            <v>1981</v>
          </cell>
          <cell r="G380">
            <v>70004</v>
          </cell>
          <cell r="H380">
            <v>6.7</v>
          </cell>
          <cell r="I380">
            <v>103035</v>
          </cell>
          <cell r="J380">
            <v>0.73</v>
          </cell>
          <cell r="K380">
            <v>75.319000000000003</v>
          </cell>
          <cell r="L380">
            <v>0</v>
          </cell>
          <cell r="M380">
            <v>0</v>
          </cell>
          <cell r="N380">
            <v>75.319000000000003</v>
          </cell>
          <cell r="O380">
            <v>0</v>
          </cell>
          <cell r="P380">
            <v>0</v>
          </cell>
          <cell r="Q380">
            <v>0</v>
          </cell>
        </row>
        <row r="381">
          <cell r="A381">
            <v>2002</v>
          </cell>
          <cell r="B381">
            <v>0</v>
          </cell>
          <cell r="C381" t="str">
            <v>Картины</v>
          </cell>
          <cell r="F381">
            <v>1972</v>
          </cell>
          <cell r="G381">
            <v>70007</v>
          </cell>
          <cell r="H381">
            <v>2</v>
          </cell>
          <cell r="I381">
            <v>277572</v>
          </cell>
          <cell r="J381">
            <v>0.75</v>
          </cell>
          <cell r="K381">
            <v>208.179</v>
          </cell>
          <cell r="L381">
            <v>4.1635799999999996</v>
          </cell>
          <cell r="M381">
            <v>0.34696499999999997</v>
          </cell>
          <cell r="N381">
            <v>124.9074</v>
          </cell>
          <cell r="O381">
            <v>83.271600000000007</v>
          </cell>
          <cell r="P381">
            <v>0</v>
          </cell>
          <cell r="Q381">
            <v>0.34696499999999997</v>
          </cell>
        </row>
        <row r="382">
          <cell r="A382">
            <v>2002</v>
          </cell>
          <cell r="B382">
            <v>0</v>
          </cell>
          <cell r="C382" t="str">
            <v>Дорожка</v>
          </cell>
          <cell r="F382">
            <v>1989</v>
          </cell>
          <cell r="G382">
            <v>70006</v>
          </cell>
          <cell r="H382">
            <v>25</v>
          </cell>
          <cell r="I382">
            <v>705000</v>
          </cell>
          <cell r="J382">
            <v>0.73</v>
          </cell>
          <cell r="K382">
            <v>515.36500000000001</v>
          </cell>
          <cell r="L382">
            <v>0</v>
          </cell>
          <cell r="M382">
            <v>0</v>
          </cell>
          <cell r="N382">
            <v>515.36500000000001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2002</v>
          </cell>
          <cell r="B383">
            <v>0</v>
          </cell>
          <cell r="C383" t="str">
            <v>Гарнитур. Балтика.</v>
          </cell>
          <cell r="F383">
            <v>1986</v>
          </cell>
          <cell r="G383">
            <v>70004</v>
          </cell>
          <cell r="H383">
            <v>6.7</v>
          </cell>
          <cell r="I383">
            <v>3716893</v>
          </cell>
          <cell r="J383">
            <v>0.81</v>
          </cell>
          <cell r="K383">
            <v>3010.683</v>
          </cell>
          <cell r="L383">
            <v>0</v>
          </cell>
          <cell r="M383">
            <v>0</v>
          </cell>
          <cell r="N383">
            <v>3227.4521760000002</v>
          </cell>
          <cell r="O383">
            <v>0</v>
          </cell>
          <cell r="P383">
            <v>216.76917600000024</v>
          </cell>
          <cell r="Q383">
            <v>0</v>
          </cell>
        </row>
        <row r="384">
          <cell r="A384">
            <v>2002</v>
          </cell>
          <cell r="B384">
            <v>0</v>
          </cell>
          <cell r="C384" t="str">
            <v>Светильники</v>
          </cell>
          <cell r="F384">
            <v>1980</v>
          </cell>
          <cell r="G384">
            <v>70005</v>
          </cell>
          <cell r="H384">
            <v>8.3000000000000007</v>
          </cell>
          <cell r="I384">
            <v>358301</v>
          </cell>
          <cell r="J384">
            <v>0.64</v>
          </cell>
          <cell r="K384">
            <v>228.417</v>
          </cell>
          <cell r="L384">
            <v>0</v>
          </cell>
          <cell r="M384">
            <v>0</v>
          </cell>
          <cell r="N384">
            <v>228.417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2002</v>
          </cell>
          <cell r="B385">
            <v>0</v>
          </cell>
          <cell r="C385" t="str">
            <v>Кухонный.набор</v>
          </cell>
          <cell r="F385">
            <v>1987</v>
          </cell>
          <cell r="G385">
            <v>70004</v>
          </cell>
          <cell r="H385">
            <v>6.7</v>
          </cell>
          <cell r="I385">
            <v>1704810</v>
          </cell>
          <cell r="J385">
            <v>0.81</v>
          </cell>
          <cell r="K385">
            <v>1380.896</v>
          </cell>
          <cell r="L385">
            <v>92.520031999999986</v>
          </cell>
          <cell r="M385">
            <v>0</v>
          </cell>
          <cell r="N385">
            <v>1387.8004799999999</v>
          </cell>
          <cell r="O385">
            <v>0</v>
          </cell>
          <cell r="P385">
            <v>6.9044799999999213</v>
          </cell>
          <cell r="Q385">
            <v>0</v>
          </cell>
        </row>
        <row r="386">
          <cell r="A386">
            <v>2002</v>
          </cell>
          <cell r="B386">
            <v>0</v>
          </cell>
          <cell r="C386" t="str">
            <v>Стол.</v>
          </cell>
          <cell r="F386">
            <v>1980</v>
          </cell>
          <cell r="G386">
            <v>70003</v>
          </cell>
          <cell r="H386">
            <v>2</v>
          </cell>
          <cell r="I386">
            <v>2361562</v>
          </cell>
          <cell r="J386">
            <v>0.6</v>
          </cell>
          <cell r="K386">
            <v>1405.1289999999999</v>
          </cell>
          <cell r="L386">
            <v>28.10258</v>
          </cell>
          <cell r="M386">
            <v>2.3418816666666666</v>
          </cell>
          <cell r="N386">
            <v>618.25675999999999</v>
          </cell>
          <cell r="O386">
            <v>786.87223999999992</v>
          </cell>
          <cell r="P386">
            <v>0</v>
          </cell>
          <cell r="Q386">
            <v>2.3418816666666666</v>
          </cell>
        </row>
        <row r="387">
          <cell r="A387">
            <v>2002</v>
          </cell>
          <cell r="B387">
            <v>0</v>
          </cell>
          <cell r="C387" t="str">
            <v>Тумбочка.</v>
          </cell>
          <cell r="F387">
            <v>1980</v>
          </cell>
          <cell r="G387">
            <v>70003</v>
          </cell>
          <cell r="H387">
            <v>10</v>
          </cell>
          <cell r="I387">
            <v>1286741</v>
          </cell>
          <cell r="J387">
            <v>0.6</v>
          </cell>
          <cell r="K387">
            <v>765.61099999999999</v>
          </cell>
          <cell r="L387">
            <v>0</v>
          </cell>
          <cell r="M387">
            <v>0</v>
          </cell>
          <cell r="N387">
            <v>765.61099999999999</v>
          </cell>
          <cell r="O387">
            <v>0</v>
          </cell>
          <cell r="P387">
            <v>0</v>
          </cell>
          <cell r="Q387">
            <v>0</v>
          </cell>
        </row>
        <row r="388">
          <cell r="A388">
            <v>2002</v>
          </cell>
          <cell r="B388">
            <v>0</v>
          </cell>
          <cell r="C388" t="str">
            <v>Ковер.</v>
          </cell>
          <cell r="F388">
            <v>1982</v>
          </cell>
          <cell r="G388">
            <v>70004</v>
          </cell>
          <cell r="H388">
            <v>6.7</v>
          </cell>
          <cell r="I388">
            <v>1060000</v>
          </cell>
          <cell r="J388">
            <v>0.73</v>
          </cell>
          <cell r="K388">
            <v>774.86</v>
          </cell>
          <cell r="L388">
            <v>0</v>
          </cell>
          <cell r="M388">
            <v>0</v>
          </cell>
          <cell r="N388">
            <v>774.86</v>
          </cell>
          <cell r="O388">
            <v>0</v>
          </cell>
          <cell r="P388">
            <v>0</v>
          </cell>
          <cell r="Q388">
            <v>0</v>
          </cell>
        </row>
        <row r="389">
          <cell r="A389">
            <v>2002</v>
          </cell>
          <cell r="B389">
            <v>0</v>
          </cell>
          <cell r="C389" t="str">
            <v>Ковер.</v>
          </cell>
          <cell r="F389">
            <v>1987</v>
          </cell>
          <cell r="G389">
            <v>70004</v>
          </cell>
          <cell r="H389">
            <v>6.7</v>
          </cell>
          <cell r="I389">
            <v>1800000</v>
          </cell>
          <cell r="J389">
            <v>0.86</v>
          </cell>
          <cell r="K389">
            <v>1548</v>
          </cell>
          <cell r="L389">
            <v>103.71600000000001</v>
          </cell>
          <cell r="M389">
            <v>0</v>
          </cell>
          <cell r="N389">
            <v>1555.7400000000002</v>
          </cell>
          <cell r="O389">
            <v>0</v>
          </cell>
          <cell r="P389">
            <v>7.7400000000002365</v>
          </cell>
          <cell r="Q389">
            <v>0</v>
          </cell>
        </row>
        <row r="390">
          <cell r="A390">
            <v>2002</v>
          </cell>
          <cell r="B390">
            <v>0</v>
          </cell>
          <cell r="C390" t="str">
            <v>Дорожка</v>
          </cell>
          <cell r="F390">
            <v>1989</v>
          </cell>
          <cell r="G390">
            <v>70006</v>
          </cell>
          <cell r="H390">
            <v>25</v>
          </cell>
          <cell r="I390">
            <v>487500</v>
          </cell>
          <cell r="J390">
            <v>0.73</v>
          </cell>
          <cell r="K390">
            <v>356.363</v>
          </cell>
          <cell r="L390">
            <v>0</v>
          </cell>
          <cell r="M390">
            <v>0</v>
          </cell>
          <cell r="N390">
            <v>356.363</v>
          </cell>
          <cell r="O390">
            <v>0</v>
          </cell>
          <cell r="P390">
            <v>0</v>
          </cell>
          <cell r="Q390">
            <v>0</v>
          </cell>
        </row>
        <row r="391">
          <cell r="A391">
            <v>2002</v>
          </cell>
          <cell r="B391">
            <v>0</v>
          </cell>
          <cell r="C391" t="str">
            <v>Дорожка</v>
          </cell>
          <cell r="F391">
            <v>1989</v>
          </cell>
          <cell r="G391">
            <v>70006</v>
          </cell>
          <cell r="H391">
            <v>25</v>
          </cell>
          <cell r="I391">
            <v>652500</v>
          </cell>
          <cell r="J391">
            <v>0.73</v>
          </cell>
          <cell r="K391">
            <v>476.976</v>
          </cell>
          <cell r="L391">
            <v>0</v>
          </cell>
          <cell r="M391">
            <v>0</v>
          </cell>
          <cell r="N391">
            <v>476.976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2002</v>
          </cell>
          <cell r="B392">
            <v>0</v>
          </cell>
          <cell r="C392" t="str">
            <v>Шкаф.сервант</v>
          </cell>
          <cell r="F392">
            <v>1989</v>
          </cell>
          <cell r="G392">
            <v>70003</v>
          </cell>
          <cell r="H392">
            <v>10</v>
          </cell>
          <cell r="I392">
            <v>1055905</v>
          </cell>
          <cell r="J392">
            <v>0.69</v>
          </cell>
          <cell r="K392">
            <v>726.99099999999999</v>
          </cell>
          <cell r="L392">
            <v>0</v>
          </cell>
          <cell r="M392">
            <v>0</v>
          </cell>
          <cell r="N392">
            <v>945.0883</v>
          </cell>
          <cell r="O392">
            <v>0</v>
          </cell>
          <cell r="P392">
            <v>218.09730000000002</v>
          </cell>
          <cell r="Q392">
            <v>0</v>
          </cell>
        </row>
        <row r="393">
          <cell r="A393">
            <v>2002</v>
          </cell>
          <cell r="B393">
            <v>0</v>
          </cell>
          <cell r="C393" t="str">
            <v>Люстра.хрустальн.</v>
          </cell>
          <cell r="F393">
            <v>1984</v>
          </cell>
          <cell r="G393">
            <v>70005</v>
          </cell>
          <cell r="H393">
            <v>8.3000000000000007</v>
          </cell>
          <cell r="I393">
            <v>356578</v>
          </cell>
          <cell r="J393">
            <v>0.73</v>
          </cell>
          <cell r="K393">
            <v>260.65899999999999</v>
          </cell>
          <cell r="L393">
            <v>0</v>
          </cell>
          <cell r="M393">
            <v>0</v>
          </cell>
          <cell r="N393">
            <v>260.65899999999999</v>
          </cell>
          <cell r="O393">
            <v>0</v>
          </cell>
          <cell r="P393">
            <v>0</v>
          </cell>
          <cell r="Q393">
            <v>0</v>
          </cell>
        </row>
        <row r="394">
          <cell r="A394">
            <v>2002</v>
          </cell>
          <cell r="B394">
            <v>0</v>
          </cell>
          <cell r="C394" t="str">
            <v>Картина.</v>
          </cell>
          <cell r="F394">
            <v>1972</v>
          </cell>
          <cell r="G394">
            <v>70007</v>
          </cell>
          <cell r="H394">
            <v>2</v>
          </cell>
          <cell r="I394">
            <v>211975</v>
          </cell>
          <cell r="J394">
            <v>0.64</v>
          </cell>
          <cell r="K394">
            <v>135.13399999999999</v>
          </cell>
          <cell r="L394">
            <v>2.7026799999999995</v>
          </cell>
          <cell r="M394">
            <v>0.2252233333333333</v>
          </cell>
          <cell r="N394">
            <v>81.080399999999983</v>
          </cell>
          <cell r="O394">
            <v>54.053600000000003</v>
          </cell>
          <cell r="P394">
            <v>0</v>
          </cell>
          <cell r="Q394">
            <v>0.2252233333333333</v>
          </cell>
        </row>
        <row r="395">
          <cell r="A395">
            <v>2002</v>
          </cell>
          <cell r="B395">
            <v>0</v>
          </cell>
          <cell r="C395" t="str">
            <v>Стол.</v>
          </cell>
          <cell r="F395">
            <v>1986</v>
          </cell>
          <cell r="G395">
            <v>70003</v>
          </cell>
          <cell r="H395">
            <v>10</v>
          </cell>
          <cell r="I395">
            <v>3872365</v>
          </cell>
          <cell r="J395">
            <v>0.81</v>
          </cell>
          <cell r="K395">
            <v>3136.6080000000002</v>
          </cell>
          <cell r="L395">
            <v>0</v>
          </cell>
          <cell r="M395">
            <v>0</v>
          </cell>
          <cell r="N395">
            <v>3136.6080000000002</v>
          </cell>
          <cell r="O395">
            <v>0</v>
          </cell>
          <cell r="P395">
            <v>0</v>
          </cell>
          <cell r="Q395">
            <v>0</v>
          </cell>
        </row>
        <row r="396">
          <cell r="A396">
            <v>2002</v>
          </cell>
          <cell r="B396">
            <v>0</v>
          </cell>
          <cell r="C396" t="str">
            <v>Картины.</v>
          </cell>
          <cell r="F396">
            <v>1972</v>
          </cell>
          <cell r="G396">
            <v>70007</v>
          </cell>
          <cell r="H396">
            <v>2</v>
          </cell>
          <cell r="I396">
            <v>252216</v>
          </cell>
          <cell r="J396">
            <v>0.75</v>
          </cell>
          <cell r="K396">
            <v>189.16200000000001</v>
          </cell>
          <cell r="L396">
            <v>3.7832400000000002</v>
          </cell>
          <cell r="M396">
            <v>0.31526999999999999</v>
          </cell>
          <cell r="N396">
            <v>113.49720000000001</v>
          </cell>
          <cell r="O396">
            <v>75.6648</v>
          </cell>
          <cell r="P396">
            <v>0</v>
          </cell>
          <cell r="Q396">
            <v>0.31526999999999999</v>
          </cell>
        </row>
        <row r="397">
          <cell r="A397">
            <v>2002</v>
          </cell>
          <cell r="B397">
            <v>0</v>
          </cell>
          <cell r="C397" t="str">
            <v>Антрисоль.</v>
          </cell>
          <cell r="F397">
            <v>1984</v>
          </cell>
          <cell r="G397">
            <v>70003</v>
          </cell>
          <cell r="H397">
            <v>10</v>
          </cell>
          <cell r="I397">
            <v>161484</v>
          </cell>
          <cell r="J397">
            <v>0.69</v>
          </cell>
          <cell r="K397">
            <v>111.182</v>
          </cell>
          <cell r="L397">
            <v>0</v>
          </cell>
          <cell r="M397">
            <v>0</v>
          </cell>
          <cell r="N397">
            <v>111.182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2002</v>
          </cell>
          <cell r="B398">
            <v>0</v>
          </cell>
          <cell r="C398" t="str">
            <v>Тумбочка прикр</v>
          </cell>
          <cell r="F398">
            <v>1991</v>
          </cell>
          <cell r="G398">
            <v>70003</v>
          </cell>
          <cell r="H398">
            <v>10</v>
          </cell>
          <cell r="I398">
            <v>687698</v>
          </cell>
          <cell r="J398">
            <v>0.91</v>
          </cell>
          <cell r="K398">
            <v>625.80499999999995</v>
          </cell>
          <cell r="L398">
            <v>0</v>
          </cell>
          <cell r="M398">
            <v>0</v>
          </cell>
          <cell r="N398">
            <v>688.38549999999998</v>
          </cell>
          <cell r="O398">
            <v>0</v>
          </cell>
          <cell r="P398">
            <v>62.580500000000029</v>
          </cell>
          <cell r="Q398">
            <v>0</v>
          </cell>
        </row>
        <row r="399">
          <cell r="A399">
            <v>2002</v>
          </cell>
          <cell r="B399">
            <v>0</v>
          </cell>
          <cell r="C399" t="str">
            <v>Стол писмен</v>
          </cell>
          <cell r="F399">
            <v>1991</v>
          </cell>
          <cell r="G399">
            <v>70003</v>
          </cell>
          <cell r="H399">
            <v>10</v>
          </cell>
          <cell r="I399">
            <v>1437272</v>
          </cell>
          <cell r="J399">
            <v>0.91</v>
          </cell>
          <cell r="K399">
            <v>1307.9179999999999</v>
          </cell>
          <cell r="L399">
            <v>0</v>
          </cell>
          <cell r="M399">
            <v>0</v>
          </cell>
          <cell r="N399">
            <v>1438.7097999999999</v>
          </cell>
          <cell r="O399">
            <v>0</v>
          </cell>
          <cell r="P399">
            <v>130.79179999999997</v>
          </cell>
          <cell r="Q399">
            <v>0</v>
          </cell>
        </row>
        <row r="400">
          <cell r="A400">
            <v>2002</v>
          </cell>
          <cell r="B400">
            <v>0</v>
          </cell>
          <cell r="C400" t="str">
            <v>Стул</v>
          </cell>
          <cell r="F400">
            <v>1991</v>
          </cell>
          <cell r="G400">
            <v>70003</v>
          </cell>
          <cell r="H400">
            <v>10</v>
          </cell>
          <cell r="I400">
            <v>919674</v>
          </cell>
          <cell r="J400">
            <v>0.91</v>
          </cell>
          <cell r="K400">
            <v>836.81200000000001</v>
          </cell>
          <cell r="L400">
            <v>0</v>
          </cell>
          <cell r="M400">
            <v>0</v>
          </cell>
          <cell r="N400">
            <v>920.4932</v>
          </cell>
          <cell r="O400">
            <v>0</v>
          </cell>
          <cell r="P400">
            <v>83.68119999999999</v>
          </cell>
          <cell r="Q400">
            <v>0</v>
          </cell>
        </row>
        <row r="401">
          <cell r="A401">
            <v>2002</v>
          </cell>
          <cell r="B401">
            <v>0</v>
          </cell>
          <cell r="C401" t="str">
            <v>Стул</v>
          </cell>
          <cell r="F401">
            <v>1991</v>
          </cell>
          <cell r="G401">
            <v>70003</v>
          </cell>
          <cell r="H401">
            <v>10</v>
          </cell>
          <cell r="I401">
            <v>754036</v>
          </cell>
          <cell r="J401">
            <v>0.69</v>
          </cell>
          <cell r="K401">
            <v>519.18799999999999</v>
          </cell>
          <cell r="L401">
            <v>0</v>
          </cell>
          <cell r="M401">
            <v>0</v>
          </cell>
          <cell r="N401">
            <v>571.10680000000002</v>
          </cell>
          <cell r="O401">
            <v>0</v>
          </cell>
          <cell r="P401">
            <v>51.918800000000033</v>
          </cell>
          <cell r="Q401">
            <v>0</v>
          </cell>
        </row>
        <row r="402">
          <cell r="A402">
            <v>2002</v>
          </cell>
          <cell r="B402">
            <v>0</v>
          </cell>
          <cell r="C402" t="str">
            <v>ИТОГО</v>
          </cell>
          <cell r="F402" t="str">
            <v>ИНСТРУМЕНТ ПРОИЗВ. ХОЗ.</v>
          </cell>
          <cell r="I402">
            <v>38446150</v>
          </cell>
          <cell r="J402">
            <v>23.62</v>
          </cell>
          <cell r="K402">
            <v>29557.671000000002</v>
          </cell>
          <cell r="L402">
            <v>290.38355699999994</v>
          </cell>
          <cell r="M402">
            <v>7.8456270833333335</v>
          </cell>
          <cell r="N402">
            <v>31609.958010000009</v>
          </cell>
          <cell r="O402">
            <v>1002.5318999999998</v>
          </cell>
          <cell r="P402">
            <v>3054.8189099999995</v>
          </cell>
          <cell r="Q402">
            <v>7.8456270833333335</v>
          </cell>
        </row>
        <row r="403">
          <cell r="A403">
            <v>2002</v>
          </cell>
          <cell r="B403">
            <v>0</v>
          </cell>
          <cell r="C403" t="str">
            <v>МАШИНЫ И ОБОРУДОВАНИЕ</v>
          </cell>
        </row>
        <row r="404">
          <cell r="A404">
            <v>2002</v>
          </cell>
          <cell r="B404">
            <v>0</v>
          </cell>
          <cell r="C404" t="str">
            <v>Телевизор. Каскад.</v>
          </cell>
          <cell r="F404">
            <v>1984</v>
          </cell>
          <cell r="G404">
            <v>45620</v>
          </cell>
          <cell r="H404">
            <v>12.5</v>
          </cell>
          <cell r="I404">
            <v>800000</v>
          </cell>
          <cell r="J404">
            <v>0.77</v>
          </cell>
          <cell r="K404">
            <v>616</v>
          </cell>
          <cell r="L404">
            <v>0</v>
          </cell>
          <cell r="M404">
            <v>0</v>
          </cell>
          <cell r="N404">
            <v>616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2002</v>
          </cell>
          <cell r="B405">
            <v>0</v>
          </cell>
          <cell r="C405" t="str">
            <v>Телевизор. Фотон.</v>
          </cell>
          <cell r="F405">
            <v>1990</v>
          </cell>
          <cell r="G405">
            <v>45620</v>
          </cell>
          <cell r="H405">
            <v>12.5</v>
          </cell>
          <cell r="I405">
            <v>1500000</v>
          </cell>
          <cell r="J405">
            <v>0.67</v>
          </cell>
          <cell r="K405">
            <v>1000</v>
          </cell>
          <cell r="L405">
            <v>0</v>
          </cell>
          <cell r="M405">
            <v>0</v>
          </cell>
          <cell r="N405">
            <v>1000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>
            <v>2002</v>
          </cell>
          <cell r="B406">
            <v>0</v>
          </cell>
          <cell r="C406" t="str">
            <v>Телевизор. Юнность.</v>
          </cell>
          <cell r="F406">
            <v>1987</v>
          </cell>
          <cell r="G406">
            <v>45620</v>
          </cell>
          <cell r="H406">
            <v>12.5</v>
          </cell>
          <cell r="I406">
            <v>800000</v>
          </cell>
          <cell r="J406">
            <v>0.77</v>
          </cell>
          <cell r="K406">
            <v>309.39999999999998</v>
          </cell>
          <cell r="L406">
            <v>0</v>
          </cell>
          <cell r="M406">
            <v>0</v>
          </cell>
          <cell r="N406">
            <v>309.39999999999998</v>
          </cell>
          <cell r="O406">
            <v>0</v>
          </cell>
          <cell r="P406">
            <v>0</v>
          </cell>
          <cell r="Q406">
            <v>0</v>
          </cell>
        </row>
        <row r="407">
          <cell r="A407">
            <v>2002</v>
          </cell>
          <cell r="B407">
            <v>0</v>
          </cell>
          <cell r="C407" t="str">
            <v>ИТОГО</v>
          </cell>
          <cell r="F407" t="str">
            <v>МАШИНЫ И ОБОРУДОВАНИЕ</v>
          </cell>
          <cell r="I407">
            <v>3100000</v>
          </cell>
          <cell r="J407">
            <v>2.21</v>
          </cell>
          <cell r="K407">
            <v>1925.4</v>
          </cell>
          <cell r="L407">
            <v>0</v>
          </cell>
          <cell r="M407">
            <v>0</v>
          </cell>
          <cell r="N407">
            <v>1925.4</v>
          </cell>
          <cell r="O407">
            <v>0</v>
          </cell>
          <cell r="P407">
            <v>0</v>
          </cell>
          <cell r="Q407">
            <v>0</v>
          </cell>
        </row>
        <row r="408">
          <cell r="A408">
            <v>2002</v>
          </cell>
          <cell r="B408">
            <v>0</v>
          </cell>
          <cell r="C408" t="str">
            <v>ИТОГО</v>
          </cell>
          <cell r="F408" t="str">
            <v>ПО ГОСТИНИЦЕ</v>
          </cell>
          <cell r="I408">
            <v>3225432408</v>
          </cell>
          <cell r="J408">
            <v>29.04</v>
          </cell>
          <cell r="K408">
            <v>2449310.4219999998</v>
          </cell>
          <cell r="L408">
            <v>24841.464067000001</v>
          </cell>
          <cell r="M408">
            <v>2019.24983625</v>
          </cell>
          <cell r="N408">
            <v>761783.1733100001</v>
          </cell>
          <cell r="O408">
            <v>1690582.0676</v>
          </cell>
          <cell r="P408">
            <v>3054.8189099999995</v>
          </cell>
          <cell r="Q408">
            <v>2019.24983625</v>
          </cell>
        </row>
        <row r="409">
          <cell r="A409">
            <v>2002</v>
          </cell>
          <cell r="B409">
            <v>0</v>
          </cell>
          <cell r="F409" t="str">
            <v>БАНЯ</v>
          </cell>
          <cell r="J409" t="str">
            <v/>
          </cell>
        </row>
        <row r="410">
          <cell r="C410" t="str">
            <v>ЗДАНИЕ</v>
          </cell>
        </row>
        <row r="411">
          <cell r="A411">
            <v>2002</v>
          </cell>
          <cell r="B411">
            <v>0</v>
          </cell>
          <cell r="C411" t="str">
            <v>Здание. бани.</v>
          </cell>
          <cell r="F411">
            <v>1949</v>
          </cell>
          <cell r="G411">
            <v>10004</v>
          </cell>
          <cell r="H411">
            <v>2.5</v>
          </cell>
          <cell r="I411">
            <v>1036873600</v>
          </cell>
          <cell r="J411">
            <v>0.78</v>
          </cell>
          <cell r="K411">
            <v>811611.95700000005</v>
          </cell>
          <cell r="L411">
            <v>0</v>
          </cell>
          <cell r="M411">
            <v>0</v>
          </cell>
          <cell r="N411">
            <v>1075385.8430250001</v>
          </cell>
          <cell r="O411">
            <v>0</v>
          </cell>
          <cell r="P411">
            <v>263773.88602500001</v>
          </cell>
          <cell r="Q411">
            <v>0</v>
          </cell>
        </row>
        <row r="412">
          <cell r="A412">
            <v>2002</v>
          </cell>
          <cell r="B412">
            <v>0</v>
          </cell>
          <cell r="C412" t="str">
            <v>Кирпич. маст.</v>
          </cell>
          <cell r="F412">
            <v>1951</v>
          </cell>
          <cell r="G412">
            <v>10004</v>
          </cell>
          <cell r="H412">
            <v>2.5</v>
          </cell>
          <cell r="I412">
            <v>9918720</v>
          </cell>
          <cell r="J412">
            <v>1.23</v>
          </cell>
          <cell r="K412">
            <v>12200.026</v>
          </cell>
          <cell r="L412">
            <v>0</v>
          </cell>
          <cell r="M412">
            <v>0</v>
          </cell>
          <cell r="N412">
            <v>15555.033150000001</v>
          </cell>
          <cell r="O412">
            <v>0</v>
          </cell>
          <cell r="P412">
            <v>3355.0071500000013</v>
          </cell>
          <cell r="Q412">
            <v>0</v>
          </cell>
        </row>
        <row r="413">
          <cell r="A413">
            <v>2002</v>
          </cell>
          <cell r="B413">
            <v>0</v>
          </cell>
          <cell r="C413" t="str">
            <v>ИТОГО</v>
          </cell>
          <cell r="F413" t="str">
            <v>ПО ЗДАНИЮ</v>
          </cell>
          <cell r="I413">
            <v>1141020160</v>
          </cell>
          <cell r="J413">
            <v>2.75</v>
          </cell>
          <cell r="K413">
            <v>823811.98300000001</v>
          </cell>
          <cell r="L413">
            <v>0</v>
          </cell>
          <cell r="M413">
            <v>0</v>
          </cell>
          <cell r="N413">
            <v>1090940.8761750001</v>
          </cell>
          <cell r="O413">
            <v>0</v>
          </cell>
          <cell r="P413">
            <v>267128.89317500003</v>
          </cell>
          <cell r="Q413">
            <v>0</v>
          </cell>
        </row>
        <row r="414">
          <cell r="A414">
            <v>2002</v>
          </cell>
          <cell r="B414">
            <v>0</v>
          </cell>
          <cell r="C414" t="str">
            <v>СООРУЖЕНИЯ</v>
          </cell>
        </row>
        <row r="415">
          <cell r="A415">
            <v>2002</v>
          </cell>
          <cell r="B415">
            <v>0</v>
          </cell>
          <cell r="C415" t="str">
            <v>Труба. дымовая</v>
          </cell>
          <cell r="F415">
            <v>1949</v>
          </cell>
          <cell r="G415">
            <v>20326</v>
          </cell>
          <cell r="H415">
            <v>4</v>
          </cell>
          <cell r="I415">
            <v>8849702</v>
          </cell>
          <cell r="J415">
            <v>1.27</v>
          </cell>
          <cell r="K415">
            <v>11239.121999999999</v>
          </cell>
          <cell r="L415">
            <v>0</v>
          </cell>
          <cell r="M415">
            <v>0</v>
          </cell>
          <cell r="N415">
            <v>23826.938639999997</v>
          </cell>
          <cell r="O415">
            <v>0</v>
          </cell>
          <cell r="P415">
            <v>12587.816639999997</v>
          </cell>
          <cell r="Q415">
            <v>0</v>
          </cell>
        </row>
        <row r="416">
          <cell r="A416">
            <v>2002</v>
          </cell>
          <cell r="B416">
            <v>0</v>
          </cell>
          <cell r="C416" t="str">
            <v>Ворота.</v>
          </cell>
          <cell r="F416">
            <v>1986</v>
          </cell>
          <cell r="G416">
            <v>20350</v>
          </cell>
          <cell r="H416">
            <v>2.1</v>
          </cell>
          <cell r="I416">
            <v>8255131</v>
          </cell>
          <cell r="J416">
            <v>1.35</v>
          </cell>
          <cell r="K416">
            <v>11144.427</v>
          </cell>
          <cell r="L416">
            <v>234.03296699999999</v>
          </cell>
          <cell r="M416">
            <v>19.502747249999999</v>
          </cell>
          <cell r="N416">
            <v>3744.5274719999998</v>
          </cell>
          <cell r="O416">
            <v>7399.8995279999999</v>
          </cell>
          <cell r="P416">
            <v>0</v>
          </cell>
          <cell r="Q416">
            <v>19.502747249999999</v>
          </cell>
        </row>
        <row r="417">
          <cell r="A417">
            <v>2002</v>
          </cell>
          <cell r="B417">
            <v>0</v>
          </cell>
          <cell r="C417" t="str">
            <v>ИТОГО</v>
          </cell>
          <cell r="F417" t="str">
            <v>СООРУЖЕНИЯ</v>
          </cell>
          <cell r="H417" t="str">
            <v/>
          </cell>
          <cell r="I417">
            <v>17104833</v>
          </cell>
          <cell r="J417">
            <v>2.62</v>
          </cell>
          <cell r="K417">
            <v>22383.548999999999</v>
          </cell>
          <cell r="L417">
            <v>234.03296699999999</v>
          </cell>
          <cell r="M417">
            <v>19.502747249999999</v>
          </cell>
          <cell r="N417">
            <v>27571.466111999995</v>
          </cell>
          <cell r="O417">
            <v>7399.8995279999999</v>
          </cell>
          <cell r="P417">
            <v>12587.816639999997</v>
          </cell>
          <cell r="Q417">
            <v>19.502747249999999</v>
          </cell>
        </row>
        <row r="418">
          <cell r="A418">
            <v>2002</v>
          </cell>
          <cell r="B418">
            <v>0</v>
          </cell>
          <cell r="C418" t="str">
            <v>МАШИНЫ И ОБОРУДОВАНИЕ</v>
          </cell>
          <cell r="F418" t="str">
            <v/>
          </cell>
          <cell r="G418" t="str">
            <v/>
          </cell>
        </row>
        <row r="419">
          <cell r="A419">
            <v>2002</v>
          </cell>
          <cell r="B419">
            <v>0</v>
          </cell>
          <cell r="C419" t="str">
            <v>Эл Свароч тран-р</v>
          </cell>
          <cell r="F419">
            <v>1996</v>
          </cell>
          <cell r="G419">
            <v>40607</v>
          </cell>
          <cell r="H419">
            <v>12.5</v>
          </cell>
          <cell r="I419">
            <v>919526</v>
          </cell>
          <cell r="J419">
            <v>1.17</v>
          </cell>
          <cell r="K419">
            <v>1075.845</v>
          </cell>
          <cell r="L419">
            <v>134.480625</v>
          </cell>
          <cell r="M419">
            <v>11.20671875</v>
          </cell>
          <cell r="N419">
            <v>806.88374999999996</v>
          </cell>
          <cell r="O419">
            <v>268.96125000000006</v>
          </cell>
          <cell r="P419">
            <v>0</v>
          </cell>
          <cell r="Q419">
            <v>11.20671875</v>
          </cell>
        </row>
        <row r="420">
          <cell r="A420">
            <v>2002</v>
          </cell>
          <cell r="B420">
            <v>0</v>
          </cell>
          <cell r="C420" t="str">
            <v>Вентилятор.</v>
          </cell>
          <cell r="F420">
            <v>1979</v>
          </cell>
          <cell r="G420">
            <v>41604</v>
          </cell>
          <cell r="H420">
            <v>27</v>
          </cell>
          <cell r="I420">
            <v>1268467</v>
          </cell>
          <cell r="J420">
            <v>0.72</v>
          </cell>
          <cell r="K420">
            <v>916.46699999999998</v>
          </cell>
          <cell r="L420">
            <v>0</v>
          </cell>
          <cell r="M420">
            <v>0</v>
          </cell>
          <cell r="N420">
            <v>916.46699999999998</v>
          </cell>
          <cell r="O420">
            <v>0</v>
          </cell>
          <cell r="P420">
            <v>0</v>
          </cell>
          <cell r="Q420">
            <v>0</v>
          </cell>
        </row>
        <row r="421">
          <cell r="A421">
            <v>2002</v>
          </cell>
          <cell r="C421" t="str">
            <v>Насос 1,5 кв</v>
          </cell>
          <cell r="F421">
            <v>1998</v>
          </cell>
          <cell r="G421">
            <v>41500</v>
          </cell>
          <cell r="H421">
            <v>20</v>
          </cell>
          <cell r="K421">
            <v>5000</v>
          </cell>
          <cell r="L421">
            <v>1000</v>
          </cell>
          <cell r="M421">
            <v>83.333333333333329</v>
          </cell>
          <cell r="N421">
            <v>4000</v>
          </cell>
          <cell r="O421">
            <v>1000</v>
          </cell>
          <cell r="P421">
            <v>0</v>
          </cell>
          <cell r="Q421">
            <v>83.333333333333329</v>
          </cell>
        </row>
        <row r="422">
          <cell r="A422">
            <v>2002</v>
          </cell>
          <cell r="C422" t="str">
            <v>Насос циркулярный</v>
          </cell>
          <cell r="F422">
            <v>1998</v>
          </cell>
          <cell r="G422">
            <v>41500</v>
          </cell>
          <cell r="H422">
            <v>20</v>
          </cell>
          <cell r="K422">
            <v>5000</v>
          </cell>
          <cell r="L422">
            <v>1000</v>
          </cell>
          <cell r="M422">
            <v>83.333333333333329</v>
          </cell>
          <cell r="N422">
            <v>4000</v>
          </cell>
          <cell r="O422">
            <v>1000</v>
          </cell>
          <cell r="P422">
            <v>0</v>
          </cell>
          <cell r="Q422">
            <v>83.333333333333329</v>
          </cell>
        </row>
        <row r="423">
          <cell r="A423">
            <v>2002</v>
          </cell>
          <cell r="C423" t="str">
            <v>Насос 60/90</v>
          </cell>
          <cell r="F423">
            <v>1997</v>
          </cell>
          <cell r="G423">
            <v>41500</v>
          </cell>
          <cell r="H423">
            <v>20</v>
          </cell>
          <cell r="K423">
            <v>5000</v>
          </cell>
          <cell r="L423">
            <v>1000</v>
          </cell>
          <cell r="M423">
            <v>0</v>
          </cell>
          <cell r="N423">
            <v>5000</v>
          </cell>
          <cell r="O423">
            <v>0</v>
          </cell>
          <cell r="P423">
            <v>0</v>
          </cell>
          <cell r="Q423">
            <v>0</v>
          </cell>
        </row>
        <row r="424">
          <cell r="A424">
            <v>2002</v>
          </cell>
          <cell r="C424" t="str">
            <v>Электродвигатель</v>
          </cell>
          <cell r="F424">
            <v>1997</v>
          </cell>
          <cell r="G424">
            <v>41500</v>
          </cell>
          <cell r="H424">
            <v>20</v>
          </cell>
          <cell r="K424">
            <v>5000</v>
          </cell>
          <cell r="L424">
            <v>1000</v>
          </cell>
          <cell r="M424">
            <v>0</v>
          </cell>
          <cell r="N424">
            <v>5000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2002</v>
          </cell>
          <cell r="B425">
            <v>0</v>
          </cell>
          <cell r="C425" t="str">
            <v>Котел.Е 1/9</v>
          </cell>
          <cell r="F425">
            <v>1994</v>
          </cell>
          <cell r="G425">
            <v>40000</v>
          </cell>
          <cell r="H425">
            <v>3.7</v>
          </cell>
          <cell r="I425">
            <v>62269056</v>
          </cell>
          <cell r="J425">
            <v>0.8</v>
          </cell>
          <cell r="K425">
            <v>50000</v>
          </cell>
          <cell r="L425">
            <v>1850</v>
          </cell>
          <cell r="M425">
            <v>154.16666666666666</v>
          </cell>
          <cell r="N425">
            <v>14800</v>
          </cell>
          <cell r="O425">
            <v>35200</v>
          </cell>
          <cell r="P425">
            <v>0</v>
          </cell>
          <cell r="Q425">
            <v>154.16666666666666</v>
          </cell>
        </row>
        <row r="426">
          <cell r="A426">
            <v>2002</v>
          </cell>
          <cell r="B426">
            <v>0</v>
          </cell>
          <cell r="C426" t="str">
            <v>Хим. Водочистка.</v>
          </cell>
          <cell r="F426">
            <v>1994</v>
          </cell>
          <cell r="G426">
            <v>40000</v>
          </cell>
          <cell r="H426">
            <v>3.7</v>
          </cell>
          <cell r="I426">
            <v>12000000</v>
          </cell>
          <cell r="J426">
            <v>1.21</v>
          </cell>
          <cell r="K426">
            <v>14520</v>
          </cell>
          <cell r="L426">
            <v>537.24</v>
          </cell>
          <cell r="M426">
            <v>44.77</v>
          </cell>
          <cell r="N426">
            <v>4297.92</v>
          </cell>
          <cell r="O426">
            <v>10222.08</v>
          </cell>
          <cell r="P426">
            <v>0</v>
          </cell>
          <cell r="Q426">
            <v>44.77</v>
          </cell>
        </row>
        <row r="427">
          <cell r="A427">
            <v>2002</v>
          </cell>
          <cell r="B427">
            <v>0</v>
          </cell>
          <cell r="C427" t="str">
            <v>Насос 2/16</v>
          </cell>
          <cell r="F427">
            <v>1997</v>
          </cell>
          <cell r="G427">
            <v>41500</v>
          </cell>
          <cell r="H427">
            <v>20</v>
          </cell>
          <cell r="I427">
            <v>5300000</v>
          </cell>
          <cell r="J427">
            <v>1.05</v>
          </cell>
          <cell r="K427">
            <v>5562</v>
          </cell>
          <cell r="L427">
            <v>1112.4000000000001</v>
          </cell>
          <cell r="M427">
            <v>0</v>
          </cell>
          <cell r="N427">
            <v>5562</v>
          </cell>
          <cell r="O427">
            <v>0</v>
          </cell>
          <cell r="P427">
            <v>0</v>
          </cell>
          <cell r="Q427">
            <v>0</v>
          </cell>
        </row>
        <row r="428">
          <cell r="A428">
            <v>2002</v>
          </cell>
          <cell r="B428">
            <v>0</v>
          </cell>
          <cell r="C428" t="str">
            <v>Насос 30к 90/20</v>
          </cell>
          <cell r="F428">
            <v>1991</v>
          </cell>
          <cell r="G428">
            <v>41500</v>
          </cell>
          <cell r="H428">
            <v>20</v>
          </cell>
          <cell r="I428">
            <v>2569522</v>
          </cell>
          <cell r="J428">
            <v>0.9</v>
          </cell>
          <cell r="K428">
            <v>2315.0390000000002</v>
          </cell>
          <cell r="L428">
            <v>0</v>
          </cell>
          <cell r="M428">
            <v>0</v>
          </cell>
          <cell r="N428">
            <v>2315.0390000000002</v>
          </cell>
          <cell r="O428">
            <v>0</v>
          </cell>
          <cell r="P428">
            <v>0</v>
          </cell>
          <cell r="Q428">
            <v>0</v>
          </cell>
        </row>
        <row r="429">
          <cell r="A429">
            <v>2002</v>
          </cell>
          <cell r="B429">
            <v>0</v>
          </cell>
          <cell r="C429" t="str">
            <v>Насос ку12/187</v>
          </cell>
          <cell r="F429">
            <v>1993</v>
          </cell>
          <cell r="G429">
            <v>41500</v>
          </cell>
          <cell r="H429">
            <v>20</v>
          </cell>
          <cell r="I429">
            <v>1517376</v>
          </cell>
          <cell r="J429">
            <v>0.9</v>
          </cell>
          <cell r="K429">
            <v>1367.1559999999999</v>
          </cell>
          <cell r="L429">
            <v>0</v>
          </cell>
          <cell r="M429">
            <v>0</v>
          </cell>
          <cell r="N429">
            <v>1367.1559999999999</v>
          </cell>
          <cell r="O429">
            <v>0</v>
          </cell>
          <cell r="P429">
            <v>0</v>
          </cell>
          <cell r="Q429">
            <v>0</v>
          </cell>
        </row>
        <row r="430">
          <cell r="A430">
            <v>2002</v>
          </cell>
          <cell r="B430">
            <v>0</v>
          </cell>
          <cell r="C430" t="str">
            <v>Емкость.эмалиров.</v>
          </cell>
          <cell r="F430">
            <v>1992</v>
          </cell>
          <cell r="G430">
            <v>42907</v>
          </cell>
          <cell r="H430">
            <v>5</v>
          </cell>
          <cell r="I430">
            <v>6437156</v>
          </cell>
          <cell r="J430">
            <v>1.21</v>
          </cell>
          <cell r="K430">
            <v>7788.9690000000001</v>
          </cell>
          <cell r="L430">
            <v>389.44845000000004</v>
          </cell>
          <cell r="M430">
            <v>32.454037500000005</v>
          </cell>
          <cell r="N430">
            <v>3894.4845000000005</v>
          </cell>
          <cell r="O430">
            <v>3894.4844999999996</v>
          </cell>
          <cell r="P430">
            <v>0</v>
          </cell>
          <cell r="Q430">
            <v>32.454037500000005</v>
          </cell>
        </row>
        <row r="431">
          <cell r="A431">
            <v>2002</v>
          </cell>
          <cell r="B431">
            <v>0</v>
          </cell>
          <cell r="C431" t="str">
            <v>Счетчик газовый</v>
          </cell>
          <cell r="F431">
            <v>1995</v>
          </cell>
          <cell r="G431">
            <v>47024</v>
          </cell>
          <cell r="H431">
            <v>10.4</v>
          </cell>
          <cell r="I431">
            <v>4876544</v>
          </cell>
          <cell r="J431">
            <v>0.92</v>
          </cell>
          <cell r="K431">
            <v>4500</v>
          </cell>
          <cell r="L431">
            <v>468</v>
          </cell>
          <cell r="M431">
            <v>39</v>
          </cell>
          <cell r="N431">
            <v>3276</v>
          </cell>
          <cell r="O431">
            <v>1224</v>
          </cell>
          <cell r="P431">
            <v>0</v>
          </cell>
          <cell r="Q431">
            <v>39</v>
          </cell>
        </row>
        <row r="432">
          <cell r="A432">
            <v>2002</v>
          </cell>
          <cell r="B432">
            <v>0</v>
          </cell>
          <cell r="C432" t="str">
            <v>ИТОГО</v>
          </cell>
          <cell r="F432" t="str">
            <v>МАШИНЫ И ОБОРУДОВАНИЕ</v>
          </cell>
          <cell r="I432">
            <v>20700598</v>
          </cell>
          <cell r="J432">
            <v>4.9800000000000004</v>
          </cell>
          <cell r="K432">
            <v>108045.47600000001</v>
          </cell>
          <cell r="L432">
            <v>8491.5690749999994</v>
          </cell>
          <cell r="M432">
            <v>448.26408958333332</v>
          </cell>
          <cell r="N432">
            <v>55235.950249999994</v>
          </cell>
          <cell r="O432">
            <v>52809.525750000001</v>
          </cell>
          <cell r="P432">
            <v>0</v>
          </cell>
          <cell r="Q432">
            <v>448.26408958333332</v>
          </cell>
        </row>
        <row r="433">
          <cell r="A433">
            <v>2002</v>
          </cell>
          <cell r="B433">
            <v>0</v>
          </cell>
          <cell r="C433" t="str">
            <v>ПЕРЕДАТОЧНЫЕ. УС-ВА</v>
          </cell>
        </row>
        <row r="434">
          <cell r="A434">
            <v>2002</v>
          </cell>
          <cell r="B434">
            <v>0</v>
          </cell>
          <cell r="C434" t="str">
            <v>Водопров. Сети.</v>
          </cell>
          <cell r="F434">
            <v>1949</v>
          </cell>
          <cell r="G434">
            <v>30110</v>
          </cell>
          <cell r="H434">
            <v>1.7</v>
          </cell>
          <cell r="I434">
            <v>1424176</v>
          </cell>
          <cell r="J434">
            <v>1.27</v>
          </cell>
          <cell r="K434">
            <v>1808.704</v>
          </cell>
          <cell r="L434">
            <v>30.747967999999997</v>
          </cell>
          <cell r="M434">
            <v>2.5623306666666665</v>
          </cell>
          <cell r="N434">
            <v>1629.6423039999997</v>
          </cell>
          <cell r="O434">
            <v>179.06169600000021</v>
          </cell>
          <cell r="P434">
            <v>0</v>
          </cell>
          <cell r="Q434">
            <v>2.5623306666666665</v>
          </cell>
        </row>
        <row r="435">
          <cell r="A435">
            <v>2002</v>
          </cell>
          <cell r="C435" t="str">
            <v>Котел Е- 1,0-0,9 1990 г.в.</v>
          </cell>
          <cell r="F435">
            <v>1990</v>
          </cell>
          <cell r="G435">
            <v>40000</v>
          </cell>
          <cell r="H435">
            <v>5</v>
          </cell>
          <cell r="K435">
            <v>224007.75</v>
          </cell>
          <cell r="L435">
            <v>11200.387500000001</v>
          </cell>
          <cell r="M435">
            <v>933.36562500000002</v>
          </cell>
          <cell r="N435">
            <v>134404.65000000002</v>
          </cell>
          <cell r="O435">
            <v>89603.099999999977</v>
          </cell>
          <cell r="P435">
            <v>0</v>
          </cell>
          <cell r="Q435">
            <v>933.36562500000002</v>
          </cell>
        </row>
        <row r="436">
          <cell r="A436">
            <v>2002</v>
          </cell>
          <cell r="B436">
            <v>0</v>
          </cell>
          <cell r="C436" t="str">
            <v>Канализ. сети.</v>
          </cell>
          <cell r="F436">
            <v>1949</v>
          </cell>
          <cell r="G436">
            <v>30107</v>
          </cell>
          <cell r="H436">
            <v>2</v>
          </cell>
          <cell r="I436">
            <v>16595488</v>
          </cell>
          <cell r="J436">
            <v>1.27</v>
          </cell>
          <cell r="K436">
            <v>21076.27</v>
          </cell>
          <cell r="L436">
            <v>0</v>
          </cell>
          <cell r="M436">
            <v>0</v>
          </cell>
          <cell r="N436">
            <v>22340.8462</v>
          </cell>
          <cell r="O436">
            <v>0</v>
          </cell>
          <cell r="P436">
            <v>1264.5761999999995</v>
          </cell>
          <cell r="Q436">
            <v>0</v>
          </cell>
        </row>
        <row r="437">
          <cell r="A437">
            <v>2002</v>
          </cell>
          <cell r="B437">
            <v>0</v>
          </cell>
          <cell r="C437" t="str">
            <v>ИТОГО</v>
          </cell>
          <cell r="F437" t="str">
            <v>ПЕРЕДАТОЧНЫЕ УСТРОЙСТВА</v>
          </cell>
          <cell r="I437">
            <v>18019664</v>
          </cell>
          <cell r="J437">
            <v>2.54</v>
          </cell>
          <cell r="K437">
            <v>246892.72399999999</v>
          </cell>
          <cell r="L437">
            <v>11231.135468</v>
          </cell>
          <cell r="M437">
            <v>935.92795566666666</v>
          </cell>
          <cell r="N437">
            <v>158375.13850400003</v>
          </cell>
          <cell r="O437">
            <v>89782.161695999981</v>
          </cell>
          <cell r="P437">
            <v>1264.5761999999995</v>
          </cell>
          <cell r="Q437">
            <v>935.92795566666666</v>
          </cell>
        </row>
        <row r="438">
          <cell r="C438" t="str">
            <v>ХОЗ ИНВЕНТАРЬ</v>
          </cell>
        </row>
        <row r="439">
          <cell r="A439">
            <v>2002</v>
          </cell>
          <cell r="B439">
            <v>0</v>
          </cell>
          <cell r="C439" t="str">
            <v>ХОЗ ИНВЕНТАРЬ</v>
          </cell>
          <cell r="F439">
            <v>1681</v>
          </cell>
          <cell r="G439">
            <v>70003</v>
          </cell>
          <cell r="H439">
            <v>10</v>
          </cell>
          <cell r="I439">
            <v>1000154</v>
          </cell>
          <cell r="J439">
            <v>0.69</v>
          </cell>
          <cell r="K439">
            <v>688.60599999999999</v>
          </cell>
          <cell r="L439">
            <v>0</v>
          </cell>
          <cell r="M439">
            <v>0</v>
          </cell>
          <cell r="N439">
            <v>22104.252599999996</v>
          </cell>
          <cell r="O439">
            <v>0</v>
          </cell>
          <cell r="P439">
            <v>21415.646599999996</v>
          </cell>
          <cell r="Q439">
            <v>0</v>
          </cell>
        </row>
        <row r="440">
          <cell r="A440">
            <v>2002</v>
          </cell>
          <cell r="B440">
            <v>0</v>
          </cell>
          <cell r="C440" t="str">
            <v>ИТОГО</v>
          </cell>
          <cell r="F440" t="str">
            <v>ХОЗ ИНВЕНТАРЬ</v>
          </cell>
          <cell r="I440">
            <v>1000154</v>
          </cell>
          <cell r="J440">
            <v>0.69</v>
          </cell>
          <cell r="K440">
            <v>688.60599999999999</v>
          </cell>
          <cell r="L440">
            <v>0</v>
          </cell>
          <cell r="M440">
            <v>0</v>
          </cell>
          <cell r="N440">
            <v>22104.252599999996</v>
          </cell>
          <cell r="O440">
            <v>0</v>
          </cell>
          <cell r="P440">
            <v>21415.646599999996</v>
          </cell>
          <cell r="Q440">
            <v>0</v>
          </cell>
        </row>
        <row r="441">
          <cell r="A441">
            <v>2002</v>
          </cell>
          <cell r="B441">
            <v>0</v>
          </cell>
          <cell r="C441" t="str">
            <v>ИТОГО</v>
          </cell>
          <cell r="F441" t="str">
            <v>ПО БАНЕ</v>
          </cell>
          <cell r="I441">
            <v>1274302458</v>
          </cell>
          <cell r="J441">
            <v>17.48</v>
          </cell>
          <cell r="K441">
            <v>1201822.338</v>
          </cell>
          <cell r="L441">
            <v>19956.737509999999</v>
          </cell>
          <cell r="M441">
            <v>1403.6947924999999</v>
          </cell>
          <cell r="N441">
            <v>1354227.683641</v>
          </cell>
          <cell r="O441">
            <v>149991.58697399998</v>
          </cell>
          <cell r="P441">
            <v>302396.932615</v>
          </cell>
          <cell r="Q441">
            <v>1403.6947924999999</v>
          </cell>
          <cell r="R441">
            <v>0</v>
          </cell>
        </row>
        <row r="442">
          <cell r="A442">
            <v>2002</v>
          </cell>
          <cell r="B442">
            <v>0</v>
          </cell>
          <cell r="F442" t="str">
            <v>ПРАЧЕЧНАЯ.</v>
          </cell>
        </row>
        <row r="443">
          <cell r="C443" t="str">
            <v xml:space="preserve">Здание. </v>
          </cell>
        </row>
        <row r="444">
          <cell r="A444">
            <v>2002</v>
          </cell>
          <cell r="B444">
            <v>0</v>
          </cell>
          <cell r="C444" t="str">
            <v>Здание. мех. прачечной.</v>
          </cell>
          <cell r="F444">
            <v>1972</v>
          </cell>
          <cell r="G444">
            <v>10003</v>
          </cell>
          <cell r="H444">
            <v>1.7</v>
          </cell>
          <cell r="I444">
            <v>251366080</v>
          </cell>
          <cell r="J444">
            <v>1.19</v>
          </cell>
          <cell r="K444">
            <v>298148.967</v>
          </cell>
          <cell r="L444">
            <v>5068.5324389999996</v>
          </cell>
          <cell r="M444">
            <v>422.37770324999997</v>
          </cell>
          <cell r="N444">
            <v>152055.97316999998</v>
          </cell>
          <cell r="O444">
            <v>146092.99383000002</v>
          </cell>
          <cell r="P444">
            <v>0</v>
          </cell>
          <cell r="Q444">
            <v>422.37770324999997</v>
          </cell>
        </row>
        <row r="445">
          <cell r="A445">
            <v>2002</v>
          </cell>
          <cell r="B445">
            <v>0</v>
          </cell>
          <cell r="C445" t="str">
            <v>ИТОГО</v>
          </cell>
          <cell r="F445" t="str">
            <v xml:space="preserve">Здание. </v>
          </cell>
          <cell r="I445">
            <v>251366080</v>
          </cell>
          <cell r="J445">
            <v>1.19</v>
          </cell>
          <cell r="K445">
            <v>298148.967</v>
          </cell>
          <cell r="L445">
            <v>5068.5324389999996</v>
          </cell>
          <cell r="M445">
            <v>422.37770324999997</v>
          </cell>
          <cell r="N445">
            <v>152055.97316999998</v>
          </cell>
          <cell r="O445">
            <v>146092.99383000002</v>
          </cell>
          <cell r="P445">
            <v>0</v>
          </cell>
          <cell r="Q445">
            <v>422.37770324999997</v>
          </cell>
        </row>
        <row r="446">
          <cell r="A446">
            <v>2002</v>
          </cell>
          <cell r="B446">
            <v>0</v>
          </cell>
          <cell r="C446" t="str">
            <v>ПЕРЕДАТОЧННЫЕ УС-ВА</v>
          </cell>
        </row>
        <row r="447">
          <cell r="A447">
            <v>2002</v>
          </cell>
          <cell r="B447">
            <v>0</v>
          </cell>
          <cell r="C447" t="str">
            <v>Канализацион. сети.</v>
          </cell>
          <cell r="F447">
            <v>1972</v>
          </cell>
          <cell r="G447">
            <v>30107</v>
          </cell>
          <cell r="H447">
            <v>2</v>
          </cell>
          <cell r="I447">
            <v>5440864</v>
          </cell>
          <cell r="J447">
            <v>1.27</v>
          </cell>
          <cell r="K447">
            <v>6909.8969999999999</v>
          </cell>
          <cell r="L447">
            <v>138.19793999999999</v>
          </cell>
          <cell r="M447">
            <v>11.516494999999999</v>
          </cell>
          <cell r="N447">
            <v>4145.9381999999996</v>
          </cell>
          <cell r="O447">
            <v>2763.9588000000003</v>
          </cell>
          <cell r="P447">
            <v>0</v>
          </cell>
          <cell r="Q447">
            <v>11.516494999999999</v>
          </cell>
        </row>
        <row r="448">
          <cell r="A448">
            <v>2002</v>
          </cell>
          <cell r="B448">
            <v>0</v>
          </cell>
          <cell r="C448" t="str">
            <v>ИТОГО</v>
          </cell>
          <cell r="F448" t="str">
            <v>ПЕРЕДАТОЧНЫЕ УСТРОЙСТВА</v>
          </cell>
          <cell r="I448">
            <v>5440864</v>
          </cell>
          <cell r="J448">
            <v>1.27</v>
          </cell>
          <cell r="K448">
            <v>6909.8969999999999</v>
          </cell>
          <cell r="L448">
            <v>138.19793999999999</v>
          </cell>
          <cell r="M448">
            <v>11.516494999999999</v>
          </cell>
          <cell r="N448">
            <v>4145.9381999999996</v>
          </cell>
          <cell r="O448">
            <v>2763.9588000000003</v>
          </cell>
          <cell r="P448">
            <v>0</v>
          </cell>
          <cell r="Q448">
            <v>11.516494999999999</v>
          </cell>
        </row>
        <row r="449">
          <cell r="A449">
            <v>2002</v>
          </cell>
          <cell r="B449">
            <v>0</v>
          </cell>
          <cell r="C449" t="str">
            <v>МАШИНЫ И ОБОРУДОВАНИЕ</v>
          </cell>
        </row>
        <row r="450">
          <cell r="A450">
            <v>2002</v>
          </cell>
          <cell r="B450">
            <v>0</v>
          </cell>
          <cell r="C450" t="str">
            <v>Центрифуга</v>
          </cell>
          <cell r="F450">
            <v>1985</v>
          </cell>
          <cell r="G450">
            <v>49008</v>
          </cell>
          <cell r="H450">
            <v>14.3</v>
          </cell>
          <cell r="I450">
            <v>2338369</v>
          </cell>
          <cell r="J450">
            <v>0.67</v>
          </cell>
          <cell r="K450">
            <v>1566.7070000000001</v>
          </cell>
          <cell r="L450">
            <v>0</v>
          </cell>
          <cell r="M450">
            <v>0</v>
          </cell>
          <cell r="N450">
            <v>1566.7070000000001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2002</v>
          </cell>
          <cell r="B451">
            <v>0</v>
          </cell>
          <cell r="C451" t="str">
            <v>Стиральная м-на</v>
          </cell>
          <cell r="F451">
            <v>1985</v>
          </cell>
          <cell r="G451">
            <v>49008</v>
          </cell>
          <cell r="H451">
            <v>14.3</v>
          </cell>
          <cell r="I451">
            <v>17250041</v>
          </cell>
          <cell r="J451">
            <v>0.7</v>
          </cell>
          <cell r="K451">
            <v>12000</v>
          </cell>
          <cell r="L451">
            <v>0</v>
          </cell>
          <cell r="M451">
            <v>0</v>
          </cell>
          <cell r="N451">
            <v>12000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2002</v>
          </cell>
          <cell r="B452">
            <v>0</v>
          </cell>
          <cell r="C452" t="str">
            <v>Центрифуга</v>
          </cell>
          <cell r="F452">
            <v>1985</v>
          </cell>
          <cell r="G452">
            <v>49008</v>
          </cell>
          <cell r="H452">
            <v>14.3</v>
          </cell>
          <cell r="I452">
            <v>8919556</v>
          </cell>
          <cell r="J452">
            <v>0.67</v>
          </cell>
          <cell r="K452">
            <v>6000</v>
          </cell>
          <cell r="L452">
            <v>0</v>
          </cell>
          <cell r="M452">
            <v>0</v>
          </cell>
          <cell r="N452">
            <v>6000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2002</v>
          </cell>
          <cell r="B453">
            <v>0</v>
          </cell>
          <cell r="C453" t="str">
            <v>Центрифуга кп-251</v>
          </cell>
          <cell r="F453">
            <v>1986</v>
          </cell>
          <cell r="G453">
            <v>49008</v>
          </cell>
          <cell r="H453">
            <v>14.3</v>
          </cell>
          <cell r="I453">
            <v>12526196</v>
          </cell>
          <cell r="J453">
            <v>0.64</v>
          </cell>
          <cell r="K453">
            <v>8000</v>
          </cell>
          <cell r="L453">
            <v>0</v>
          </cell>
          <cell r="M453">
            <v>0</v>
          </cell>
          <cell r="N453">
            <v>8000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2002</v>
          </cell>
          <cell r="B454">
            <v>0</v>
          </cell>
          <cell r="C454" t="str">
            <v>Сушильный барабан</v>
          </cell>
          <cell r="F454">
            <v>1985</v>
          </cell>
          <cell r="G454">
            <v>49008</v>
          </cell>
          <cell r="H454">
            <v>14.3</v>
          </cell>
          <cell r="I454">
            <v>5044010</v>
          </cell>
          <cell r="J454">
            <v>1.08</v>
          </cell>
          <cell r="K454">
            <v>5445.009</v>
          </cell>
          <cell r="L454">
            <v>0</v>
          </cell>
          <cell r="M454">
            <v>0</v>
          </cell>
          <cell r="N454">
            <v>5445.009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2002</v>
          </cell>
          <cell r="B455">
            <v>0</v>
          </cell>
          <cell r="C455" t="str">
            <v>Стиральная маш-на</v>
          </cell>
          <cell r="F455">
            <v>1990</v>
          </cell>
          <cell r="G455">
            <v>49008</v>
          </cell>
          <cell r="H455">
            <v>14.3</v>
          </cell>
          <cell r="I455">
            <v>9227280</v>
          </cell>
          <cell r="J455">
            <v>1.08</v>
          </cell>
          <cell r="K455">
            <v>9960.8490000000002</v>
          </cell>
          <cell r="L455">
            <v>0</v>
          </cell>
          <cell r="M455">
            <v>0</v>
          </cell>
          <cell r="N455">
            <v>9960.8490000000002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2002</v>
          </cell>
          <cell r="B456">
            <v>0</v>
          </cell>
          <cell r="C456" t="str">
            <v>Гладильн.Эл-прес</v>
          </cell>
          <cell r="F456">
            <v>1990</v>
          </cell>
          <cell r="G456">
            <v>49008</v>
          </cell>
          <cell r="H456">
            <v>14.3</v>
          </cell>
          <cell r="I456">
            <v>20437271</v>
          </cell>
          <cell r="J456">
            <v>0.69</v>
          </cell>
          <cell r="K456">
            <v>14000</v>
          </cell>
          <cell r="L456">
            <v>0</v>
          </cell>
          <cell r="M456">
            <v>0</v>
          </cell>
          <cell r="N456">
            <v>14000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2002</v>
          </cell>
          <cell r="B457">
            <v>0</v>
          </cell>
          <cell r="C457" t="str">
            <v>Стиральная маш-на</v>
          </cell>
          <cell r="F457">
            <v>1990</v>
          </cell>
          <cell r="G457">
            <v>49008</v>
          </cell>
          <cell r="H457">
            <v>14.3</v>
          </cell>
          <cell r="I457">
            <v>14275785</v>
          </cell>
          <cell r="J457">
            <v>0.7</v>
          </cell>
          <cell r="K457">
            <v>10000</v>
          </cell>
          <cell r="L457">
            <v>0</v>
          </cell>
          <cell r="M457">
            <v>0</v>
          </cell>
          <cell r="N457">
            <v>10000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2002</v>
          </cell>
          <cell r="B458">
            <v>0</v>
          </cell>
          <cell r="C458" t="str">
            <v>ИТОГО</v>
          </cell>
          <cell r="F458" t="str">
            <v>МАШИНЫ И ОБОРУДОВАНИЕ</v>
          </cell>
          <cell r="I458">
            <v>90018508</v>
          </cell>
          <cell r="J458">
            <v>6.23</v>
          </cell>
          <cell r="K458">
            <v>66972.565000000002</v>
          </cell>
          <cell r="L458">
            <v>0</v>
          </cell>
          <cell r="M458">
            <v>0</v>
          </cell>
          <cell r="N458">
            <v>66972.565000000002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2002</v>
          </cell>
          <cell r="B459">
            <v>0</v>
          </cell>
          <cell r="C459" t="str">
            <v>ИТОГО</v>
          </cell>
          <cell r="F459" t="str">
            <v>ПО ПРАЧЕЧНОЙ</v>
          </cell>
          <cell r="I459">
            <v>346825452</v>
          </cell>
          <cell r="J459">
            <v>8.69</v>
          </cell>
          <cell r="K459">
            <v>372031.429</v>
          </cell>
          <cell r="L459">
            <v>5206.7303789999996</v>
          </cell>
          <cell r="M459">
            <v>433.89419824999999</v>
          </cell>
          <cell r="N459">
            <v>223174.47636999999</v>
          </cell>
          <cell r="O459">
            <v>148856.95263000001</v>
          </cell>
          <cell r="P459">
            <v>0</v>
          </cell>
          <cell r="Q459">
            <v>433.89419824999999</v>
          </cell>
        </row>
        <row r="460">
          <cell r="A460">
            <v>2002</v>
          </cell>
          <cell r="B460">
            <v>0</v>
          </cell>
          <cell r="F460" t="str">
            <v>СПЕЦ.ОТХ</v>
          </cell>
          <cell r="I460" t="str">
            <v/>
          </cell>
        </row>
        <row r="461">
          <cell r="A461">
            <v>2002</v>
          </cell>
          <cell r="B461">
            <v>0</v>
          </cell>
          <cell r="C461" t="str">
            <v>МАШИНЫ И ОБОРУДОВАНИЕ</v>
          </cell>
          <cell r="I461" t="str">
            <v/>
          </cell>
          <cell r="J461" t="str">
            <v/>
          </cell>
        </row>
        <row r="462">
          <cell r="A462">
            <v>2002</v>
          </cell>
          <cell r="B462">
            <v>0</v>
          </cell>
          <cell r="C462" t="str">
            <v>Трактор Т-40</v>
          </cell>
          <cell r="D462" t="str">
            <v>84-79</v>
          </cell>
          <cell r="E462">
            <v>12</v>
          </cell>
          <cell r="F462">
            <v>1990</v>
          </cell>
          <cell r="G462">
            <v>40607</v>
          </cell>
          <cell r="H462">
            <v>12.5</v>
          </cell>
          <cell r="I462">
            <v>22413411</v>
          </cell>
          <cell r="J462">
            <v>1.08</v>
          </cell>
          <cell r="K462">
            <v>14976</v>
          </cell>
          <cell r="L462">
            <v>0</v>
          </cell>
          <cell r="M462">
            <v>0</v>
          </cell>
          <cell r="N462">
            <v>14976</v>
          </cell>
          <cell r="O462">
            <v>0</v>
          </cell>
          <cell r="P462">
            <v>0</v>
          </cell>
          <cell r="Q462">
            <v>0</v>
          </cell>
          <cell r="R462">
            <v>14976</v>
          </cell>
        </row>
        <row r="463">
          <cell r="A463">
            <v>2002</v>
          </cell>
          <cell r="B463">
            <v>0</v>
          </cell>
          <cell r="C463" t="str">
            <v>Трактор Т-150</v>
          </cell>
          <cell r="D463" t="str">
            <v>37-86</v>
          </cell>
          <cell r="F463">
            <v>1987</v>
          </cell>
          <cell r="G463">
            <v>40604</v>
          </cell>
          <cell r="H463">
            <v>10</v>
          </cell>
          <cell r="I463">
            <v>44000000</v>
          </cell>
          <cell r="J463">
            <v>1.08</v>
          </cell>
          <cell r="K463">
            <v>47998</v>
          </cell>
          <cell r="L463">
            <v>0</v>
          </cell>
          <cell r="M463">
            <v>0</v>
          </cell>
          <cell r="N463">
            <v>47998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2002</v>
          </cell>
          <cell r="B464">
            <v>0</v>
          </cell>
          <cell r="C464" t="str">
            <v>Сварочный агрегат</v>
          </cell>
          <cell r="F464">
            <v>1994</v>
          </cell>
          <cell r="G464">
            <v>40607</v>
          </cell>
          <cell r="H464">
            <v>12.5</v>
          </cell>
          <cell r="I464">
            <v>6660096</v>
          </cell>
          <cell r="J464">
            <v>1.2</v>
          </cell>
          <cell r="K464">
            <v>8000</v>
          </cell>
          <cell r="L464">
            <v>1000</v>
          </cell>
          <cell r="M464">
            <v>0</v>
          </cell>
          <cell r="N464">
            <v>8000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2002</v>
          </cell>
          <cell r="B465">
            <v>0</v>
          </cell>
          <cell r="C465" t="str">
            <v>ИТОГО</v>
          </cell>
          <cell r="F465" t="str">
            <v>МАШИНЫ И ОБОРУДОВАНИЕ</v>
          </cell>
          <cell r="I465">
            <v>88174659</v>
          </cell>
          <cell r="J465">
            <v>3.89</v>
          </cell>
          <cell r="K465">
            <v>70974</v>
          </cell>
          <cell r="L465">
            <v>1000</v>
          </cell>
          <cell r="M465">
            <v>0</v>
          </cell>
          <cell r="N465">
            <v>70974</v>
          </cell>
          <cell r="O465">
            <v>0</v>
          </cell>
          <cell r="P465">
            <v>0</v>
          </cell>
          <cell r="Q465">
            <v>0</v>
          </cell>
        </row>
        <row r="466">
          <cell r="C466" t="str">
            <v>ТРАНСПОРТНЫЕ СРЕДСТВА</v>
          </cell>
        </row>
        <row r="467">
          <cell r="A467">
            <v>2002</v>
          </cell>
          <cell r="B467">
            <v>0</v>
          </cell>
          <cell r="C467" t="str">
            <v>Трактор ДТ-75-Д</v>
          </cell>
          <cell r="D467" t="str">
            <v>б/н</v>
          </cell>
          <cell r="F467">
            <v>1997</v>
          </cell>
          <cell r="G467">
            <v>40600</v>
          </cell>
          <cell r="H467">
            <v>12.5</v>
          </cell>
          <cell r="I467">
            <v>131812500</v>
          </cell>
          <cell r="J467">
            <v>1.05</v>
          </cell>
          <cell r="K467">
            <v>138403.125</v>
          </cell>
          <cell r="L467">
            <v>17300.390625</v>
          </cell>
          <cell r="M467">
            <v>1441.69921875</v>
          </cell>
          <cell r="N467">
            <v>86501.953125</v>
          </cell>
          <cell r="O467">
            <v>51901.171875</v>
          </cell>
          <cell r="P467">
            <v>0</v>
          </cell>
          <cell r="Q467">
            <v>1441.69921875</v>
          </cell>
        </row>
        <row r="468">
          <cell r="A468">
            <v>2002</v>
          </cell>
          <cell r="B468">
            <v>0</v>
          </cell>
          <cell r="C468" t="str">
            <v xml:space="preserve">Трактор Т-150 </v>
          </cell>
          <cell r="D468" t="str">
            <v>6011СР</v>
          </cell>
          <cell r="F468">
            <v>1988</v>
          </cell>
          <cell r="G468">
            <v>40604</v>
          </cell>
          <cell r="H468">
            <v>10</v>
          </cell>
          <cell r="K468">
            <v>22136.240000000002</v>
          </cell>
          <cell r="L468">
            <v>0</v>
          </cell>
          <cell r="M468">
            <v>0</v>
          </cell>
          <cell r="N468">
            <v>22136.240000000002</v>
          </cell>
          <cell r="O468">
            <v>0</v>
          </cell>
          <cell r="P468">
            <v>0</v>
          </cell>
          <cell r="Q468">
            <v>0</v>
          </cell>
          <cell r="R468">
            <v>22136.240000000002</v>
          </cell>
        </row>
        <row r="469">
          <cell r="A469">
            <v>2002</v>
          </cell>
          <cell r="B469">
            <v>0</v>
          </cell>
          <cell r="C469" t="str">
            <v xml:space="preserve">ГАЗ- 53 ACM </v>
          </cell>
          <cell r="D469" t="str">
            <v>в524в</v>
          </cell>
          <cell r="E469">
            <v>12</v>
          </cell>
          <cell r="F469">
            <v>1988</v>
          </cell>
          <cell r="G469">
            <v>49016</v>
          </cell>
          <cell r="H469">
            <v>11.1</v>
          </cell>
          <cell r="I469">
            <v>29393667</v>
          </cell>
          <cell r="J469">
            <v>0.94</v>
          </cell>
          <cell r="K469">
            <v>54915.3</v>
          </cell>
          <cell r="L469">
            <v>0</v>
          </cell>
          <cell r="M469">
            <v>0</v>
          </cell>
          <cell r="N469">
            <v>54915.3</v>
          </cell>
          <cell r="O469">
            <v>0</v>
          </cell>
          <cell r="P469">
            <v>0</v>
          </cell>
          <cell r="Q469">
            <v>0</v>
          </cell>
          <cell r="R469">
            <v>54915.3</v>
          </cell>
        </row>
        <row r="470">
          <cell r="A470">
            <v>2002</v>
          </cell>
          <cell r="B470">
            <v>0</v>
          </cell>
          <cell r="C470" t="str">
            <v xml:space="preserve">ГАЗ- 53 ACM </v>
          </cell>
          <cell r="D470" t="str">
            <v>в525</v>
          </cell>
          <cell r="E470">
            <v>12</v>
          </cell>
          <cell r="F470">
            <v>1990</v>
          </cell>
          <cell r="G470">
            <v>49016</v>
          </cell>
          <cell r="H470">
            <v>11.1</v>
          </cell>
          <cell r="I470">
            <v>29393667</v>
          </cell>
          <cell r="J470">
            <v>0.94</v>
          </cell>
          <cell r="K470">
            <v>6000</v>
          </cell>
          <cell r="L470">
            <v>0</v>
          </cell>
          <cell r="M470">
            <v>0</v>
          </cell>
          <cell r="N470">
            <v>6000</v>
          </cell>
          <cell r="O470">
            <v>0</v>
          </cell>
          <cell r="P470">
            <v>0</v>
          </cell>
          <cell r="Q470">
            <v>0</v>
          </cell>
          <cell r="R470">
            <v>6000</v>
          </cell>
        </row>
        <row r="471">
          <cell r="A471">
            <v>2002</v>
          </cell>
          <cell r="B471">
            <v>0</v>
          </cell>
          <cell r="C471" t="str">
            <v xml:space="preserve">ГАЗ- 53 ACM </v>
          </cell>
          <cell r="D471" t="str">
            <v>в526</v>
          </cell>
          <cell r="E471">
            <v>12</v>
          </cell>
          <cell r="F471">
            <v>1987</v>
          </cell>
          <cell r="G471">
            <v>49016</v>
          </cell>
          <cell r="H471">
            <v>11.1</v>
          </cell>
          <cell r="I471">
            <v>29393667</v>
          </cell>
          <cell r="J471">
            <v>0.94</v>
          </cell>
          <cell r="K471">
            <v>15251.54</v>
          </cell>
          <cell r="L471">
            <v>0</v>
          </cell>
          <cell r="M471">
            <v>0</v>
          </cell>
          <cell r="N471">
            <v>15251.54</v>
          </cell>
          <cell r="O471">
            <v>0</v>
          </cell>
          <cell r="P471">
            <v>0</v>
          </cell>
          <cell r="Q471">
            <v>0</v>
          </cell>
          <cell r="R471">
            <v>15251.54</v>
          </cell>
        </row>
        <row r="472">
          <cell r="A472">
            <v>2002</v>
          </cell>
          <cell r="B472">
            <v>0</v>
          </cell>
          <cell r="C472" t="str">
            <v xml:space="preserve">АСМ- КО-503 </v>
          </cell>
          <cell r="D472" t="str">
            <v>56-11</v>
          </cell>
          <cell r="F472">
            <v>1986</v>
          </cell>
          <cell r="G472">
            <v>49016</v>
          </cell>
          <cell r="H472">
            <v>11.1</v>
          </cell>
          <cell r="I472">
            <v>28705520</v>
          </cell>
          <cell r="J472">
            <v>0.94</v>
          </cell>
          <cell r="K472">
            <v>27083.657999999999</v>
          </cell>
          <cell r="L472">
            <v>0</v>
          </cell>
          <cell r="M472">
            <v>0</v>
          </cell>
          <cell r="N472">
            <v>27083.657999999999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2002</v>
          </cell>
          <cell r="B473">
            <v>0</v>
          </cell>
          <cell r="C473" t="str">
            <v xml:space="preserve">АСМ_Т-53 </v>
          </cell>
          <cell r="D473" t="str">
            <v>02-79</v>
          </cell>
          <cell r="F473">
            <v>1988</v>
          </cell>
          <cell r="G473">
            <v>49016</v>
          </cell>
          <cell r="H473">
            <v>11.1</v>
          </cell>
          <cell r="I473">
            <v>31974071</v>
          </cell>
          <cell r="J473">
            <v>0.94</v>
          </cell>
          <cell r="K473">
            <v>36167.54</v>
          </cell>
          <cell r="L473">
            <v>0</v>
          </cell>
          <cell r="M473">
            <v>0</v>
          </cell>
          <cell r="N473">
            <v>36167.54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2002</v>
          </cell>
          <cell r="B474">
            <v>0</v>
          </cell>
          <cell r="C474" t="str">
            <v>АСМ-КО-503Б</v>
          </cell>
          <cell r="D474" t="str">
            <v>03-24</v>
          </cell>
          <cell r="F474">
            <v>1990</v>
          </cell>
          <cell r="G474">
            <v>49016</v>
          </cell>
          <cell r="H474">
            <v>11.1</v>
          </cell>
          <cell r="I474">
            <v>37893857</v>
          </cell>
          <cell r="J474">
            <v>0.94</v>
          </cell>
          <cell r="K474">
            <v>35752.853999999999</v>
          </cell>
          <cell r="L474">
            <v>0</v>
          </cell>
          <cell r="M474">
            <v>0</v>
          </cell>
          <cell r="N474">
            <v>35752.853999999999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2002</v>
          </cell>
          <cell r="B475">
            <v>0</v>
          </cell>
          <cell r="C475" t="str">
            <v xml:space="preserve">А/Маш-на Камаз </v>
          </cell>
          <cell r="D475" t="str">
            <v>11-63</v>
          </cell>
          <cell r="F475">
            <v>1989</v>
          </cell>
          <cell r="G475">
            <v>49016</v>
          </cell>
          <cell r="H475">
            <v>11.1</v>
          </cell>
          <cell r="I475">
            <v>127000000</v>
          </cell>
          <cell r="J475">
            <v>0.94</v>
          </cell>
          <cell r="K475">
            <v>119824.5</v>
          </cell>
          <cell r="L475">
            <v>0</v>
          </cell>
          <cell r="M475">
            <v>0</v>
          </cell>
          <cell r="N475">
            <v>119824.5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2002</v>
          </cell>
          <cell r="B476">
            <v>0</v>
          </cell>
          <cell r="C476" t="str">
            <v>А/МАш-на Г-53 КО-503Б</v>
          </cell>
          <cell r="D476" t="str">
            <v>02-64</v>
          </cell>
          <cell r="F476">
            <v>1988</v>
          </cell>
          <cell r="G476">
            <v>49016</v>
          </cell>
          <cell r="H476">
            <v>11.1</v>
          </cell>
          <cell r="I476">
            <v>34608783</v>
          </cell>
          <cell r="J476">
            <v>0.94</v>
          </cell>
          <cell r="K476">
            <v>32653.39</v>
          </cell>
          <cell r="L476">
            <v>0</v>
          </cell>
          <cell r="M476">
            <v>0</v>
          </cell>
          <cell r="N476">
            <v>32653.39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2002</v>
          </cell>
          <cell r="B477">
            <v>0</v>
          </cell>
          <cell r="C477" t="str">
            <v>Прицеп КО-705-УР</v>
          </cell>
          <cell r="D477" t="str">
            <v>82-03</v>
          </cell>
          <cell r="F477">
            <v>1986</v>
          </cell>
          <cell r="G477">
            <v>49016</v>
          </cell>
          <cell r="H477">
            <v>11.1</v>
          </cell>
          <cell r="I477">
            <v>376404</v>
          </cell>
          <cell r="J477">
            <v>1.05</v>
          </cell>
          <cell r="K477">
            <v>393.53</v>
          </cell>
          <cell r="L477">
            <v>0</v>
          </cell>
          <cell r="M477">
            <v>0</v>
          </cell>
          <cell r="N477">
            <v>393.53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2002</v>
          </cell>
          <cell r="B478">
            <v>0</v>
          </cell>
          <cell r="C478" t="str">
            <v>Спец ВАкумн.газ-53ко-503 758</v>
          </cell>
          <cell r="D478" t="str">
            <v>в858м</v>
          </cell>
          <cell r="F478">
            <v>1987</v>
          </cell>
          <cell r="G478">
            <v>49016</v>
          </cell>
          <cell r="H478">
            <v>11.1</v>
          </cell>
          <cell r="I478">
            <v>24151946</v>
          </cell>
          <cell r="J478">
            <v>1.1100000000000001</v>
          </cell>
          <cell r="K478">
            <v>26808.66</v>
          </cell>
          <cell r="L478">
            <v>0</v>
          </cell>
          <cell r="M478">
            <v>0</v>
          </cell>
          <cell r="N478">
            <v>26808.66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2002</v>
          </cell>
          <cell r="B479">
            <v>0</v>
          </cell>
          <cell r="C479" t="str">
            <v xml:space="preserve">Газ 2401 </v>
          </cell>
          <cell r="D479" t="str">
            <v>в600</v>
          </cell>
          <cell r="F479">
            <v>1974</v>
          </cell>
          <cell r="G479">
            <v>50418</v>
          </cell>
          <cell r="H479">
            <v>11.1</v>
          </cell>
          <cell r="I479">
            <v>6299290</v>
          </cell>
          <cell r="J479">
            <v>0.64</v>
          </cell>
          <cell r="K479">
            <v>4015.797</v>
          </cell>
          <cell r="L479">
            <v>0</v>
          </cell>
          <cell r="M479">
            <v>0</v>
          </cell>
          <cell r="N479">
            <v>4015.797</v>
          </cell>
          <cell r="O479">
            <v>0</v>
          </cell>
          <cell r="P479">
            <v>0</v>
          </cell>
          <cell r="Q479">
            <v>0</v>
          </cell>
        </row>
        <row r="480">
          <cell r="A480">
            <v>2002</v>
          </cell>
          <cell r="B480">
            <v>0</v>
          </cell>
          <cell r="C480" t="str">
            <v>Ав МАШ-на Газ 53</v>
          </cell>
          <cell r="D480" t="str">
            <v>89-38</v>
          </cell>
          <cell r="F480">
            <v>1992</v>
          </cell>
          <cell r="G480">
            <v>50416</v>
          </cell>
          <cell r="H480">
            <v>14.3</v>
          </cell>
          <cell r="I480">
            <v>21103096</v>
          </cell>
          <cell r="J480">
            <v>1.31</v>
          </cell>
          <cell r="K480">
            <v>27645.96</v>
          </cell>
          <cell r="L480">
            <v>0</v>
          </cell>
          <cell r="M480">
            <v>0</v>
          </cell>
          <cell r="N480">
            <v>27645.96</v>
          </cell>
          <cell r="O480">
            <v>0</v>
          </cell>
          <cell r="P480">
            <v>0</v>
          </cell>
          <cell r="Q480">
            <v>0</v>
          </cell>
        </row>
        <row r="481">
          <cell r="A481">
            <v>2002</v>
          </cell>
          <cell r="B481">
            <v>0</v>
          </cell>
          <cell r="C481" t="str">
            <v>АВ-НА Жигули 900</v>
          </cell>
          <cell r="D481" t="str">
            <v>в900</v>
          </cell>
          <cell r="F481">
            <v>1992</v>
          </cell>
          <cell r="G481">
            <v>50416</v>
          </cell>
          <cell r="H481">
            <v>14.3</v>
          </cell>
          <cell r="I481">
            <v>1231200</v>
          </cell>
          <cell r="J481">
            <v>1.01</v>
          </cell>
          <cell r="K481">
            <v>1243.5119999999999</v>
          </cell>
          <cell r="L481">
            <v>0</v>
          </cell>
          <cell r="M481">
            <v>0</v>
          </cell>
          <cell r="N481">
            <v>1243.5119999999999</v>
          </cell>
          <cell r="O481">
            <v>0</v>
          </cell>
          <cell r="P481">
            <v>0</v>
          </cell>
          <cell r="Q481">
            <v>0</v>
          </cell>
        </row>
        <row r="482">
          <cell r="A482">
            <v>2002</v>
          </cell>
          <cell r="B482">
            <v>0</v>
          </cell>
          <cell r="C482" t="str">
            <v>АВ-на ГАЗ-53 33-07 896</v>
          </cell>
          <cell r="D482" t="str">
            <v>в826</v>
          </cell>
          <cell r="F482">
            <v>1994</v>
          </cell>
          <cell r="G482">
            <v>50416</v>
          </cell>
          <cell r="H482">
            <v>11.1</v>
          </cell>
          <cell r="I482">
            <v>13170600</v>
          </cell>
          <cell r="J482">
            <v>1.31</v>
          </cell>
          <cell r="K482">
            <v>17253.486000000001</v>
          </cell>
          <cell r="L482">
            <v>0</v>
          </cell>
          <cell r="M482">
            <v>0</v>
          </cell>
          <cell r="N482">
            <v>15321.095568000001</v>
          </cell>
          <cell r="O482">
            <v>0</v>
          </cell>
          <cell r="P482">
            <v>0</v>
          </cell>
          <cell r="Q482">
            <v>0</v>
          </cell>
        </row>
        <row r="483">
          <cell r="A483">
            <v>2002</v>
          </cell>
          <cell r="B483">
            <v>0</v>
          </cell>
          <cell r="C483" t="str">
            <v>ГАЗ-3110 В888</v>
          </cell>
          <cell r="D483" t="str">
            <v>в888</v>
          </cell>
          <cell r="E483">
            <v>2</v>
          </cell>
          <cell r="F483">
            <v>1998</v>
          </cell>
          <cell r="G483">
            <v>50416</v>
          </cell>
          <cell r="H483">
            <v>14.3</v>
          </cell>
          <cell r="K483">
            <v>83333.33</v>
          </cell>
          <cell r="L483">
            <v>11916.666190000002</v>
          </cell>
          <cell r="M483">
            <v>993.05551583333352</v>
          </cell>
          <cell r="N483">
            <v>47666.664760000007</v>
          </cell>
          <cell r="O483">
            <v>35666.665239999995</v>
          </cell>
          <cell r="P483">
            <v>0</v>
          </cell>
          <cell r="Q483">
            <v>993.05551583333352</v>
          </cell>
        </row>
        <row r="484">
          <cell r="A484">
            <v>2002</v>
          </cell>
          <cell r="B484">
            <v>0</v>
          </cell>
          <cell r="C484" t="str">
            <v>Ав МАШ-на Газ 53/2</v>
          </cell>
          <cell r="D484" t="str">
            <v>в596</v>
          </cell>
          <cell r="E484">
            <v>6</v>
          </cell>
          <cell r="F484">
            <v>1997</v>
          </cell>
          <cell r="G484">
            <v>50416</v>
          </cell>
          <cell r="H484">
            <v>11.1</v>
          </cell>
          <cell r="I484">
            <v>1200000</v>
          </cell>
          <cell r="J484">
            <v>1.31</v>
          </cell>
          <cell r="K484">
            <v>1572</v>
          </cell>
          <cell r="L484">
            <v>174.49200000000002</v>
          </cell>
          <cell r="M484">
            <v>14.541000000000002</v>
          </cell>
          <cell r="N484">
            <v>872.46</v>
          </cell>
          <cell r="O484">
            <v>699.54</v>
          </cell>
          <cell r="P484">
            <v>0</v>
          </cell>
          <cell r="Q484">
            <v>14.541000000000002</v>
          </cell>
        </row>
        <row r="485">
          <cell r="A485">
            <v>2002</v>
          </cell>
          <cell r="B485">
            <v>0</v>
          </cell>
          <cell r="C485" t="str">
            <v>ГАЗ-52 50401 C120 бенз</v>
          </cell>
          <cell r="D485" t="str">
            <v>826вн</v>
          </cell>
          <cell r="F485">
            <v>1978</v>
          </cell>
          <cell r="G485">
            <v>50416</v>
          </cell>
          <cell r="H485">
            <v>11.1</v>
          </cell>
          <cell r="K485">
            <v>5490</v>
          </cell>
          <cell r="L485">
            <v>0</v>
          </cell>
          <cell r="M485">
            <v>0</v>
          </cell>
          <cell r="N485">
            <v>5490</v>
          </cell>
          <cell r="O485">
            <v>0</v>
          </cell>
          <cell r="P485">
            <v>0</v>
          </cell>
          <cell r="Q485">
            <v>0</v>
          </cell>
        </row>
        <row r="486">
          <cell r="A486">
            <v>2002</v>
          </cell>
          <cell r="B486">
            <v>0</v>
          </cell>
          <cell r="C486" t="str">
            <v>ГАЗ-53 3307 К0413</v>
          </cell>
          <cell r="D486" t="str">
            <v>в896ээ</v>
          </cell>
          <cell r="E486">
            <v>9</v>
          </cell>
          <cell r="F486">
            <v>1994</v>
          </cell>
          <cell r="G486">
            <v>50416</v>
          </cell>
          <cell r="H486">
            <v>11.1</v>
          </cell>
          <cell r="K486">
            <v>84955</v>
          </cell>
          <cell r="L486">
            <v>0</v>
          </cell>
          <cell r="M486">
            <v>0</v>
          </cell>
          <cell r="N486">
            <v>75440.039999999994</v>
          </cell>
          <cell r="O486">
            <v>0</v>
          </cell>
          <cell r="P486">
            <v>0</v>
          </cell>
          <cell r="Q486">
            <v>0</v>
          </cell>
        </row>
        <row r="487">
          <cell r="A487">
            <v>2002</v>
          </cell>
          <cell r="B487">
            <v>0</v>
          </cell>
          <cell r="C487" t="str">
            <v xml:space="preserve">КАМАЗ-5410 </v>
          </cell>
          <cell r="D487" t="str">
            <v>в877ээ</v>
          </cell>
          <cell r="F487">
            <v>1989</v>
          </cell>
          <cell r="G487">
            <v>49016</v>
          </cell>
          <cell r="H487">
            <v>11.1</v>
          </cell>
          <cell r="K487">
            <v>19917.2</v>
          </cell>
          <cell r="L487">
            <v>0</v>
          </cell>
          <cell r="M487">
            <v>0</v>
          </cell>
          <cell r="N487">
            <v>19917.2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2002</v>
          </cell>
          <cell r="B488">
            <v>0</v>
          </cell>
          <cell r="C488" t="str">
            <v>ЗИЛ-431472 г/н В-509 АСМ</v>
          </cell>
          <cell r="D488" t="str">
            <v>в890ээ</v>
          </cell>
          <cell r="F488">
            <v>1993</v>
          </cell>
          <cell r="G488">
            <v>50401</v>
          </cell>
          <cell r="H488">
            <v>14.3</v>
          </cell>
          <cell r="K488">
            <v>81247.92</v>
          </cell>
          <cell r="L488">
            <v>0</v>
          </cell>
          <cell r="M488">
            <v>0</v>
          </cell>
          <cell r="N488">
            <v>81247.92</v>
          </cell>
          <cell r="O488">
            <v>0</v>
          </cell>
          <cell r="P488">
            <v>0</v>
          </cell>
          <cell r="Q488">
            <v>0</v>
          </cell>
          <cell r="R488">
            <v>16166.67</v>
          </cell>
        </row>
        <row r="489">
          <cell r="A489">
            <v>2002</v>
          </cell>
          <cell r="B489">
            <v>0</v>
          </cell>
          <cell r="C489" t="str">
            <v>ЗИЛ 431410</v>
          </cell>
          <cell r="D489" t="str">
            <v>889э</v>
          </cell>
          <cell r="F489">
            <v>1992</v>
          </cell>
          <cell r="G489">
            <v>50401</v>
          </cell>
          <cell r="H489">
            <v>14.3</v>
          </cell>
          <cell r="K489">
            <v>40379.660000000003</v>
          </cell>
          <cell r="L489">
            <v>0</v>
          </cell>
          <cell r="M489">
            <v>0</v>
          </cell>
          <cell r="N489">
            <v>40379.660000000003</v>
          </cell>
          <cell r="O489">
            <v>0</v>
          </cell>
          <cell r="P489">
            <v>0</v>
          </cell>
          <cell r="Q489">
            <v>0</v>
          </cell>
        </row>
        <row r="490">
          <cell r="A490">
            <v>2002</v>
          </cell>
          <cell r="B490">
            <v>0</v>
          </cell>
          <cell r="C490" t="str">
            <v>ГАЗ 53 Мусоровоз</v>
          </cell>
          <cell r="D490" t="str">
            <v>68-88</v>
          </cell>
          <cell r="F490">
            <v>1984</v>
          </cell>
          <cell r="G490">
            <v>50416</v>
          </cell>
          <cell r="H490">
            <v>11.1</v>
          </cell>
          <cell r="K490">
            <v>19654.5</v>
          </cell>
          <cell r="L490">
            <v>0</v>
          </cell>
          <cell r="M490">
            <v>0</v>
          </cell>
          <cell r="N490">
            <v>19654.5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2002</v>
          </cell>
          <cell r="C491" t="str">
            <v>Прицеп 2ПТС - 6</v>
          </cell>
          <cell r="D491" t="str">
            <v>б/н</v>
          </cell>
          <cell r="F491">
            <v>1990</v>
          </cell>
          <cell r="G491">
            <v>49016</v>
          </cell>
          <cell r="H491">
            <v>11.1</v>
          </cell>
          <cell r="K491">
            <v>600</v>
          </cell>
          <cell r="L491">
            <v>0</v>
          </cell>
          <cell r="M491">
            <v>0</v>
          </cell>
          <cell r="N491">
            <v>600</v>
          </cell>
          <cell r="O491">
            <v>0</v>
          </cell>
          <cell r="P491">
            <v>0</v>
          </cell>
          <cell r="Q491">
            <v>0</v>
          </cell>
          <cell r="R491">
            <v>600</v>
          </cell>
        </row>
        <row r="492">
          <cell r="A492">
            <v>2002</v>
          </cell>
          <cell r="B492">
            <v>0</v>
          </cell>
          <cell r="C492" t="str">
            <v>Прицеп oдноосный</v>
          </cell>
          <cell r="D492" t="str">
            <v>б/н</v>
          </cell>
          <cell r="E492">
            <v>12</v>
          </cell>
          <cell r="F492">
            <v>1990</v>
          </cell>
          <cell r="G492">
            <v>49016</v>
          </cell>
          <cell r="H492">
            <v>11.1</v>
          </cell>
          <cell r="K492">
            <v>17.28</v>
          </cell>
          <cell r="L492">
            <v>0</v>
          </cell>
          <cell r="M492">
            <v>0</v>
          </cell>
          <cell r="N492">
            <v>17.28</v>
          </cell>
          <cell r="O492">
            <v>0</v>
          </cell>
          <cell r="P492">
            <v>0</v>
          </cell>
          <cell r="Q492">
            <v>0</v>
          </cell>
          <cell r="R492">
            <v>17.28</v>
          </cell>
        </row>
        <row r="493">
          <cell r="A493">
            <v>2002</v>
          </cell>
          <cell r="B493">
            <v>0</v>
          </cell>
          <cell r="C493" t="str">
            <v>Полуприцеп(бочка)цемент</v>
          </cell>
          <cell r="D493" t="str">
            <v>б/н</v>
          </cell>
          <cell r="F493">
            <v>1993</v>
          </cell>
          <cell r="G493">
            <v>49016</v>
          </cell>
          <cell r="H493">
            <v>11.1</v>
          </cell>
          <cell r="K493">
            <v>2500</v>
          </cell>
          <cell r="L493">
            <v>277.5</v>
          </cell>
          <cell r="M493">
            <v>23.125</v>
          </cell>
          <cell r="N493">
            <v>2497.5</v>
          </cell>
          <cell r="O493">
            <v>2.5</v>
          </cell>
          <cell r="P493">
            <v>0</v>
          </cell>
          <cell r="Q493">
            <v>23.125</v>
          </cell>
        </row>
        <row r="494">
          <cell r="A494">
            <v>2002</v>
          </cell>
          <cell r="B494">
            <v>0</v>
          </cell>
          <cell r="C494" t="str">
            <v>Емк.8куб.м.к К-700(МЖТ-10)</v>
          </cell>
          <cell r="D494" t="str">
            <v>б/н</v>
          </cell>
          <cell r="F494">
            <v>1984</v>
          </cell>
          <cell r="G494">
            <v>49016</v>
          </cell>
          <cell r="H494">
            <v>11.1</v>
          </cell>
          <cell r="K494">
            <v>8333.33</v>
          </cell>
          <cell r="L494">
            <v>0</v>
          </cell>
          <cell r="M494">
            <v>0</v>
          </cell>
          <cell r="N494">
            <v>8333.33</v>
          </cell>
          <cell r="O494">
            <v>0</v>
          </cell>
          <cell r="P494">
            <v>0</v>
          </cell>
          <cell r="Q494">
            <v>0</v>
          </cell>
        </row>
        <row r="495">
          <cell r="A495">
            <v>2002</v>
          </cell>
          <cell r="B495">
            <v>0</v>
          </cell>
          <cell r="C495" t="str">
            <v>Сварочный агрегат</v>
          </cell>
          <cell r="E495">
            <v>4</v>
          </cell>
          <cell r="F495">
            <v>1998</v>
          </cell>
          <cell r="G495">
            <v>40607</v>
          </cell>
          <cell r="H495">
            <v>12.5</v>
          </cell>
          <cell r="K495">
            <v>56000</v>
          </cell>
          <cell r="L495">
            <v>7000</v>
          </cell>
          <cell r="M495">
            <v>583.33333333333337</v>
          </cell>
          <cell r="N495">
            <v>28000</v>
          </cell>
          <cell r="O495">
            <v>28000</v>
          </cell>
          <cell r="P495">
            <v>0</v>
          </cell>
          <cell r="Q495">
            <v>583.33333333333337</v>
          </cell>
        </row>
        <row r="496">
          <cell r="A496">
            <v>2002</v>
          </cell>
          <cell r="B496">
            <v>0</v>
          </cell>
          <cell r="C496" t="str">
            <v>Автомаш ГАЗ-52 50401 N825</v>
          </cell>
          <cell r="D496" t="str">
            <v>120ах</v>
          </cell>
          <cell r="E496">
            <v>9</v>
          </cell>
          <cell r="F496">
            <v>1998</v>
          </cell>
          <cell r="G496">
            <v>50416</v>
          </cell>
          <cell r="H496">
            <v>11.1</v>
          </cell>
          <cell r="K496">
            <v>23888.98</v>
          </cell>
          <cell r="L496">
            <v>2651.6767800000002</v>
          </cell>
          <cell r="M496">
            <v>220.97306500000002</v>
          </cell>
          <cell r="N496">
            <v>10606.707120000001</v>
          </cell>
          <cell r="O496">
            <v>13282.272879999999</v>
          </cell>
          <cell r="P496">
            <v>0</v>
          </cell>
          <cell r="Q496">
            <v>220.97306500000002</v>
          </cell>
        </row>
        <row r="497">
          <cell r="A497">
            <v>2002</v>
          </cell>
          <cell r="B497">
            <v>0</v>
          </cell>
          <cell r="C497" t="str">
            <v>ГАЗ-2705</v>
          </cell>
          <cell r="D497" t="str">
            <v>С187А</v>
          </cell>
          <cell r="E497">
            <v>11</v>
          </cell>
          <cell r="F497">
            <v>1998</v>
          </cell>
          <cell r="G497">
            <v>50416</v>
          </cell>
          <cell r="H497">
            <v>14.3</v>
          </cell>
          <cell r="K497">
            <v>98700</v>
          </cell>
          <cell r="L497">
            <v>14114.1</v>
          </cell>
          <cell r="M497">
            <v>1176.175</v>
          </cell>
          <cell r="N497">
            <v>56456.4</v>
          </cell>
          <cell r="O497">
            <v>42243.6</v>
          </cell>
          <cell r="P497">
            <v>0</v>
          </cell>
          <cell r="Q497">
            <v>1176.175</v>
          </cell>
        </row>
        <row r="498">
          <cell r="A498">
            <v>2002</v>
          </cell>
          <cell r="B498">
            <v>0</v>
          </cell>
          <cell r="C498" t="str">
            <v>KABЗ 3976 aвтобус</v>
          </cell>
          <cell r="D498" t="str">
            <v>в519в</v>
          </cell>
          <cell r="E498">
            <v>12</v>
          </cell>
          <cell r="F498">
            <v>1993</v>
          </cell>
          <cell r="G498">
            <v>50420</v>
          </cell>
          <cell r="H498">
            <v>14.3</v>
          </cell>
          <cell r="K498">
            <v>41666.660000000003</v>
          </cell>
          <cell r="L498">
            <v>0</v>
          </cell>
          <cell r="M498">
            <v>0</v>
          </cell>
          <cell r="N498">
            <v>41666.660000000003</v>
          </cell>
          <cell r="O498">
            <v>0</v>
          </cell>
          <cell r="P498">
            <v>0</v>
          </cell>
          <cell r="Q498">
            <v>0</v>
          </cell>
          <cell r="R498">
            <v>41666.660000000003</v>
          </cell>
        </row>
        <row r="499">
          <cell r="A499">
            <v>2002</v>
          </cell>
          <cell r="B499">
            <v>0</v>
          </cell>
          <cell r="C499" t="str">
            <v>Автосамосвал Зил 759</v>
          </cell>
          <cell r="D499" t="str">
            <v>в759</v>
          </cell>
          <cell r="F499">
            <v>1983</v>
          </cell>
          <cell r="G499">
            <v>50426</v>
          </cell>
          <cell r="H499">
            <v>10</v>
          </cell>
          <cell r="I499">
            <v>18748792</v>
          </cell>
          <cell r="J499">
            <v>1.23</v>
          </cell>
          <cell r="K499">
            <v>23061.013999999999</v>
          </cell>
          <cell r="L499">
            <v>0</v>
          </cell>
          <cell r="M499">
            <v>0</v>
          </cell>
          <cell r="N499">
            <v>23061.013999999999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2002</v>
          </cell>
          <cell r="B500">
            <v>0</v>
          </cell>
          <cell r="C500" t="str">
            <v>Ав-на 5227 51-91 со</v>
          </cell>
          <cell r="D500" t="str">
            <v>51-91</v>
          </cell>
          <cell r="F500">
            <v>1986</v>
          </cell>
          <cell r="G500">
            <v>50401</v>
          </cell>
          <cell r="H500">
            <v>14.3</v>
          </cell>
          <cell r="I500">
            <v>17273917</v>
          </cell>
          <cell r="J500">
            <v>1.05</v>
          </cell>
          <cell r="K500">
            <v>18059.88</v>
          </cell>
          <cell r="L500">
            <v>0</v>
          </cell>
          <cell r="M500">
            <v>0</v>
          </cell>
          <cell r="N500">
            <v>18059.88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2002</v>
          </cell>
          <cell r="B501">
            <v>0</v>
          </cell>
          <cell r="C501" t="str">
            <v>Ав-на 2-5205 87-95</v>
          </cell>
          <cell r="D501" t="str">
            <v>81-95</v>
          </cell>
          <cell r="F501">
            <v>1986</v>
          </cell>
          <cell r="G501">
            <v>50401</v>
          </cell>
          <cell r="H501">
            <v>14.3</v>
          </cell>
          <cell r="I501">
            <v>14225749</v>
          </cell>
          <cell r="J501">
            <v>1.05</v>
          </cell>
          <cell r="K501">
            <v>14873.021000000001</v>
          </cell>
          <cell r="L501">
            <v>0</v>
          </cell>
          <cell r="M501">
            <v>0</v>
          </cell>
          <cell r="N501">
            <v>14873.021000000001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2002</v>
          </cell>
          <cell r="B502">
            <v>0</v>
          </cell>
          <cell r="C502" t="str">
            <v>АВ-на Газ 35-11</v>
          </cell>
          <cell r="D502" t="str">
            <v>20-02</v>
          </cell>
          <cell r="F502">
            <v>1993</v>
          </cell>
          <cell r="G502">
            <v>50401</v>
          </cell>
          <cell r="H502">
            <v>14.3</v>
          </cell>
          <cell r="I502">
            <v>50829738</v>
          </cell>
          <cell r="J502">
            <v>0.97</v>
          </cell>
          <cell r="K502">
            <v>50000</v>
          </cell>
          <cell r="L502">
            <v>0</v>
          </cell>
          <cell r="M502">
            <v>0</v>
          </cell>
          <cell r="N502">
            <v>50000</v>
          </cell>
          <cell r="O502">
            <v>0</v>
          </cell>
          <cell r="P502">
            <v>0</v>
          </cell>
          <cell r="Q502">
            <v>0</v>
          </cell>
        </row>
        <row r="503">
          <cell r="A503">
            <v>2002</v>
          </cell>
          <cell r="B503">
            <v>0</v>
          </cell>
          <cell r="C503" t="str">
            <v>Ав-на Зил -131</v>
          </cell>
          <cell r="D503" t="str">
            <v>б/н</v>
          </cell>
          <cell r="F503">
            <v>1990</v>
          </cell>
          <cell r="G503">
            <v>50401</v>
          </cell>
          <cell r="H503">
            <v>14.3</v>
          </cell>
          <cell r="I503">
            <v>46056592</v>
          </cell>
          <cell r="J503">
            <v>1.23</v>
          </cell>
          <cell r="K503">
            <v>56649.608</v>
          </cell>
          <cell r="L503">
            <v>0</v>
          </cell>
          <cell r="M503">
            <v>0</v>
          </cell>
          <cell r="N503">
            <v>56649.608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2002</v>
          </cell>
          <cell r="C504" t="str">
            <v>Дизельная эл. ст.</v>
          </cell>
          <cell r="F504">
            <v>1979</v>
          </cell>
          <cell r="G504">
            <v>40203</v>
          </cell>
          <cell r="H504">
            <v>6.2</v>
          </cell>
          <cell r="K504">
            <v>9032.9699999999993</v>
          </cell>
          <cell r="L504">
            <v>0</v>
          </cell>
          <cell r="M504">
            <v>0</v>
          </cell>
          <cell r="N504">
            <v>9032.9699999999993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2002</v>
          </cell>
          <cell r="C505" t="str">
            <v>ЗИЛ 413412    890 ЕЕ</v>
          </cell>
          <cell r="F505">
            <v>2001</v>
          </cell>
          <cell r="H505">
            <v>11.1</v>
          </cell>
          <cell r="K505">
            <v>9200</v>
          </cell>
          <cell r="L505">
            <v>1021.2</v>
          </cell>
          <cell r="M505">
            <v>85.100000000000009</v>
          </cell>
          <cell r="N505">
            <v>1021.2</v>
          </cell>
          <cell r="O505">
            <v>8178.8</v>
          </cell>
          <cell r="P505">
            <v>0</v>
          </cell>
          <cell r="Q505">
            <v>85.100000000000009</v>
          </cell>
        </row>
        <row r="506">
          <cell r="A506">
            <v>2002</v>
          </cell>
          <cell r="C506" t="str">
            <v>ГАЗ 53 АСМ   В526</v>
          </cell>
          <cell r="F506">
            <v>2001</v>
          </cell>
          <cell r="H506">
            <v>11.1</v>
          </cell>
          <cell r="K506">
            <v>9200</v>
          </cell>
          <cell r="L506">
            <v>1021.2</v>
          </cell>
          <cell r="M506">
            <v>85.100000000000009</v>
          </cell>
          <cell r="N506">
            <v>1021.2</v>
          </cell>
          <cell r="O506">
            <v>8178.8</v>
          </cell>
          <cell r="P506">
            <v>0</v>
          </cell>
          <cell r="Q506">
            <v>85.100000000000009</v>
          </cell>
        </row>
        <row r="507">
          <cell r="A507">
            <v>2002</v>
          </cell>
          <cell r="C507" t="str">
            <v>ГАЗ 53 АСМ   В524</v>
          </cell>
          <cell r="F507">
            <v>2001</v>
          </cell>
          <cell r="H507">
            <v>11.1</v>
          </cell>
          <cell r="K507">
            <v>9200</v>
          </cell>
          <cell r="L507">
            <v>1021.2</v>
          </cell>
          <cell r="M507">
            <v>85.100000000000009</v>
          </cell>
          <cell r="N507">
            <v>1021.2</v>
          </cell>
          <cell r="O507">
            <v>8178.8</v>
          </cell>
          <cell r="P507">
            <v>0</v>
          </cell>
          <cell r="Q507">
            <v>85.100000000000009</v>
          </cell>
        </row>
        <row r="508">
          <cell r="A508">
            <v>2002</v>
          </cell>
          <cell r="C508" t="str">
            <v>ГАЗЕЛЬ 2705   В188 АХ</v>
          </cell>
          <cell r="F508">
            <v>2001</v>
          </cell>
          <cell r="H508">
            <v>11.1</v>
          </cell>
          <cell r="K508">
            <v>7000</v>
          </cell>
          <cell r="L508">
            <v>777</v>
          </cell>
          <cell r="M508">
            <v>64.75</v>
          </cell>
          <cell r="N508">
            <v>777</v>
          </cell>
          <cell r="O508">
            <v>6223</v>
          </cell>
          <cell r="P508">
            <v>0</v>
          </cell>
          <cell r="Q508">
            <v>64.75</v>
          </cell>
        </row>
        <row r="509">
          <cell r="A509">
            <v>2002</v>
          </cell>
          <cell r="C509" t="str">
            <v>ГАЗ 53 АСМ   02-64</v>
          </cell>
          <cell r="F509">
            <v>2001</v>
          </cell>
          <cell r="H509">
            <v>11.1</v>
          </cell>
          <cell r="K509">
            <v>9200</v>
          </cell>
          <cell r="L509">
            <v>1021.2</v>
          </cell>
          <cell r="M509">
            <v>85.100000000000009</v>
          </cell>
          <cell r="N509">
            <v>1021.2</v>
          </cell>
          <cell r="O509">
            <v>8178.8</v>
          </cell>
          <cell r="P509">
            <v>0</v>
          </cell>
          <cell r="Q509">
            <v>85.100000000000009</v>
          </cell>
        </row>
        <row r="510">
          <cell r="A510">
            <v>2002</v>
          </cell>
          <cell r="C510" t="str">
            <v>ГАЗ 53 АСМ  В525</v>
          </cell>
          <cell r="F510">
            <v>2001</v>
          </cell>
          <cell r="H510">
            <v>11.1</v>
          </cell>
          <cell r="K510">
            <v>9200</v>
          </cell>
          <cell r="L510">
            <v>1021.2</v>
          </cell>
          <cell r="M510">
            <v>85.100000000000009</v>
          </cell>
          <cell r="N510">
            <v>1021.2</v>
          </cell>
          <cell r="O510">
            <v>8178.8</v>
          </cell>
          <cell r="P510">
            <v>0</v>
          </cell>
          <cell r="Q510">
            <v>85.100000000000009</v>
          </cell>
        </row>
        <row r="511">
          <cell r="A511">
            <v>2002</v>
          </cell>
          <cell r="C511" t="str">
            <v>КВАЗ автоб.  В519</v>
          </cell>
          <cell r="F511">
            <v>2001</v>
          </cell>
          <cell r="H511">
            <v>11.1</v>
          </cell>
          <cell r="K511">
            <v>9200</v>
          </cell>
          <cell r="L511">
            <v>1021.2</v>
          </cell>
          <cell r="M511">
            <v>85.100000000000009</v>
          </cell>
          <cell r="N511">
            <v>1021.2</v>
          </cell>
          <cell r="O511">
            <v>8178.8</v>
          </cell>
          <cell r="P511">
            <v>0</v>
          </cell>
          <cell r="Q511">
            <v>85.100000000000009</v>
          </cell>
        </row>
        <row r="512">
          <cell r="A512">
            <v>2002</v>
          </cell>
          <cell r="B512">
            <v>0</v>
          </cell>
          <cell r="C512" t="str">
            <v>Трактор МТЗ -80 УС</v>
          </cell>
          <cell r="D512" t="str">
            <v>48-25</v>
          </cell>
          <cell r="F512">
            <v>1997</v>
          </cell>
          <cell r="G512">
            <v>50401</v>
          </cell>
          <cell r="H512">
            <v>14.3</v>
          </cell>
          <cell r="I512">
            <v>86204820</v>
          </cell>
          <cell r="J512">
            <v>0.75</v>
          </cell>
          <cell r="K512">
            <v>70320.63</v>
          </cell>
          <cell r="L512">
            <v>10055.85009</v>
          </cell>
          <cell r="M512">
            <v>837.98750749999999</v>
          </cell>
          <cell r="N512">
            <v>50279.25045</v>
          </cell>
          <cell r="O512">
            <v>20041.379550000005</v>
          </cell>
          <cell r="P512">
            <v>0</v>
          </cell>
          <cell r="Q512">
            <v>837.98750749999999</v>
          </cell>
        </row>
        <row r="513">
          <cell r="A513">
            <v>2002</v>
          </cell>
          <cell r="B513">
            <v>0</v>
          </cell>
          <cell r="C513" t="str">
            <v>ИТОГО</v>
          </cell>
          <cell r="F513" t="str">
            <v>ТРАНСПОРТНЫЕ СРЕДСТВА</v>
          </cell>
          <cell r="I513">
            <v>268285222</v>
          </cell>
          <cell r="J513">
            <v>6.36</v>
          </cell>
          <cell r="K513">
            <v>1438002.0749999997</v>
          </cell>
          <cell r="L513">
            <v>70394.875684999977</v>
          </cell>
          <cell r="M513">
            <v>5866.2396404166693</v>
          </cell>
          <cell r="N513">
            <v>1179421.7950229999</v>
          </cell>
          <cell r="O513">
            <v>247132.92954499993</v>
          </cell>
          <cell r="P513">
            <v>0</v>
          </cell>
          <cell r="Q513">
            <v>5866.2396404166693</v>
          </cell>
          <cell r="R513">
            <v>156753.69</v>
          </cell>
        </row>
        <row r="514">
          <cell r="A514">
            <v>2002</v>
          </cell>
          <cell r="B514">
            <v>0</v>
          </cell>
          <cell r="C514" t="str">
            <v>ИТОГО</v>
          </cell>
          <cell r="F514" t="str">
            <v>ПО ОТХ</v>
          </cell>
          <cell r="I514">
            <v>1317337243</v>
          </cell>
          <cell r="J514">
            <v>30.6</v>
          </cell>
          <cell r="K514">
            <v>1508976.0749999997</v>
          </cell>
          <cell r="L514">
            <v>71394.875684999977</v>
          </cell>
          <cell r="M514">
            <v>5866.2396404166693</v>
          </cell>
          <cell r="N514">
            <v>1250395.7950229999</v>
          </cell>
          <cell r="O514">
            <v>247132.92954499993</v>
          </cell>
          <cell r="P514">
            <v>0</v>
          </cell>
          <cell r="Q514">
            <v>5866.2396404166693</v>
          </cell>
          <cell r="R514">
            <v>156753.69</v>
          </cell>
        </row>
        <row r="515">
          <cell r="A515">
            <v>2002</v>
          </cell>
          <cell r="B515">
            <v>0</v>
          </cell>
          <cell r="F515" t="str">
            <v>КОТЕЛЬНАЯ СЗMP</v>
          </cell>
          <cell r="Q515">
            <v>0</v>
          </cell>
        </row>
        <row r="516">
          <cell r="C516" t="str">
            <v>ЗДАНИЕ</v>
          </cell>
        </row>
        <row r="517">
          <cell r="A517">
            <v>2002</v>
          </cell>
          <cell r="B517">
            <v>0</v>
          </cell>
          <cell r="C517" t="str">
            <v>Здание Сзм</v>
          </cell>
          <cell r="F517">
            <v>1983</v>
          </cell>
          <cell r="G517">
            <v>10002</v>
          </cell>
          <cell r="H517">
            <v>1.7</v>
          </cell>
          <cell r="I517">
            <v>7331000625</v>
          </cell>
          <cell r="J517">
            <v>0.74</v>
          </cell>
          <cell r="K517">
            <v>5442042.7079999996</v>
          </cell>
          <cell r="L517">
            <v>92514.726035999993</v>
          </cell>
          <cell r="M517">
            <v>7709.5605029999997</v>
          </cell>
          <cell r="N517">
            <v>1757779.7946839998</v>
          </cell>
          <cell r="O517">
            <v>3684262.9133159998</v>
          </cell>
          <cell r="P517">
            <v>0</v>
          </cell>
          <cell r="Q517">
            <v>7709.5605029999997</v>
          </cell>
        </row>
        <row r="518">
          <cell r="A518">
            <v>2002</v>
          </cell>
          <cell r="B518">
            <v>0</v>
          </cell>
          <cell r="C518" t="str">
            <v>ИТОГО</v>
          </cell>
          <cell r="F518" t="str">
            <v>Здание.</v>
          </cell>
          <cell r="G518" t="str">
            <v/>
          </cell>
          <cell r="H518" t="str">
            <v/>
          </cell>
          <cell r="I518">
            <v>7331000625</v>
          </cell>
          <cell r="J518">
            <v>0.74</v>
          </cell>
          <cell r="K518">
            <v>5442042.7079999996</v>
          </cell>
          <cell r="L518">
            <v>92514.726035999993</v>
          </cell>
          <cell r="M518">
            <v>7709.5605029999997</v>
          </cell>
          <cell r="N518">
            <v>1757779.7946839998</v>
          </cell>
          <cell r="O518">
            <v>3684262.9133159998</v>
          </cell>
          <cell r="P518">
            <v>0</v>
          </cell>
          <cell r="Q518">
            <v>7709.5605029999997</v>
          </cell>
        </row>
        <row r="519">
          <cell r="A519">
            <v>2002</v>
          </cell>
          <cell r="B519">
            <v>0</v>
          </cell>
          <cell r="C519" t="str">
            <v>СООРУЖЕНИЯ</v>
          </cell>
          <cell r="Q519">
            <v>0</v>
          </cell>
        </row>
        <row r="520">
          <cell r="A520">
            <v>2002</v>
          </cell>
          <cell r="B520">
            <v>0</v>
          </cell>
          <cell r="C520" t="str">
            <v>Дымовая труба</v>
          </cell>
          <cell r="F520">
            <v>1983</v>
          </cell>
          <cell r="G520">
            <v>20325</v>
          </cell>
          <cell r="H520">
            <v>2</v>
          </cell>
          <cell r="I520">
            <v>856959040</v>
          </cell>
          <cell r="J520">
            <v>0.67</v>
          </cell>
          <cell r="K520">
            <v>577607.52</v>
          </cell>
          <cell r="L520">
            <v>11552.1504</v>
          </cell>
          <cell r="M520">
            <v>962.67920000000004</v>
          </cell>
          <cell r="N520">
            <v>219490.85760000002</v>
          </cell>
          <cell r="O520">
            <v>358116.66240000003</v>
          </cell>
          <cell r="P520">
            <v>0</v>
          </cell>
          <cell r="Q520">
            <v>962.67920000000004</v>
          </cell>
        </row>
        <row r="521">
          <cell r="A521">
            <v>2002</v>
          </cell>
          <cell r="B521">
            <v>0</v>
          </cell>
          <cell r="C521" t="str">
            <v>Внутри пл. автодорога</v>
          </cell>
          <cell r="F521">
            <v>1983</v>
          </cell>
          <cell r="G521">
            <v>20223</v>
          </cell>
          <cell r="H521">
            <v>3.2</v>
          </cell>
          <cell r="I521">
            <v>290452450</v>
          </cell>
          <cell r="J521">
            <v>1.35</v>
          </cell>
          <cell r="K521">
            <v>392110.80800000002</v>
          </cell>
          <cell r="L521">
            <v>12547.545856000001</v>
          </cell>
          <cell r="M521">
            <v>1045.6288213333335</v>
          </cell>
          <cell r="N521">
            <v>238403.37126400002</v>
          </cell>
          <cell r="O521">
            <v>153707.436736</v>
          </cell>
          <cell r="P521">
            <v>0</v>
          </cell>
          <cell r="Q521">
            <v>1045.6288213333335</v>
          </cell>
        </row>
        <row r="522">
          <cell r="A522">
            <v>2002</v>
          </cell>
          <cell r="B522">
            <v>0</v>
          </cell>
          <cell r="C522" t="str">
            <v>Ограждения</v>
          </cell>
          <cell r="F522">
            <v>1983</v>
          </cell>
          <cell r="G522">
            <v>20245</v>
          </cell>
          <cell r="H522">
            <v>3.3</v>
          </cell>
          <cell r="I522">
            <v>111861120</v>
          </cell>
          <cell r="J522">
            <v>1.01</v>
          </cell>
          <cell r="K522">
            <v>113431.11500000001</v>
          </cell>
          <cell r="L522">
            <v>3743.2267949999996</v>
          </cell>
          <cell r="M522">
            <v>311.93556624999997</v>
          </cell>
          <cell r="N522">
            <v>71121.309104999993</v>
          </cell>
          <cell r="O522">
            <v>42309.805895000012</v>
          </cell>
          <cell r="P522">
            <v>0</v>
          </cell>
          <cell r="Q522">
            <v>311.93556624999997</v>
          </cell>
        </row>
        <row r="523">
          <cell r="A523">
            <v>2002</v>
          </cell>
          <cell r="B523">
            <v>0</v>
          </cell>
          <cell r="C523" t="str">
            <v>Пешеходные дорожки</v>
          </cell>
          <cell r="F523">
            <v>1983</v>
          </cell>
          <cell r="G523">
            <v>20223</v>
          </cell>
          <cell r="H523">
            <v>3.2</v>
          </cell>
          <cell r="I523">
            <v>734720</v>
          </cell>
          <cell r="J523">
            <v>0.86</v>
          </cell>
          <cell r="K523">
            <v>6031.86</v>
          </cell>
          <cell r="L523">
            <v>193.01952</v>
          </cell>
          <cell r="M523">
            <v>16.084959999999999</v>
          </cell>
          <cell r="N523">
            <v>3667.3708799999999</v>
          </cell>
          <cell r="O523">
            <v>2364.4891199999997</v>
          </cell>
          <cell r="P523">
            <v>0</v>
          </cell>
          <cell r="Q523">
            <v>16.084959999999999</v>
          </cell>
        </row>
        <row r="524">
          <cell r="A524">
            <v>2002</v>
          </cell>
          <cell r="B524">
            <v>0</v>
          </cell>
          <cell r="C524" t="str">
            <v>ИТОГО</v>
          </cell>
          <cell r="F524" t="str">
            <v>СООРУЖЕНИЯ</v>
          </cell>
          <cell r="I524">
            <v>1260007330</v>
          </cell>
          <cell r="J524">
            <v>3.89</v>
          </cell>
          <cell r="K524">
            <v>1089181.3030000001</v>
          </cell>
          <cell r="L524">
            <v>28035.942571000003</v>
          </cell>
          <cell r="M524">
            <v>2336.3285475833336</v>
          </cell>
          <cell r="N524">
            <v>532682.908849</v>
          </cell>
          <cell r="O524">
            <v>556498.39415100007</v>
          </cell>
          <cell r="P524">
            <v>0</v>
          </cell>
          <cell r="Q524">
            <v>2336.3285475833336</v>
          </cell>
        </row>
        <row r="525">
          <cell r="A525">
            <v>2002</v>
          </cell>
          <cell r="B525">
            <v>0</v>
          </cell>
          <cell r="C525" t="str">
            <v>ПЕРЕДАТОЧНЫЕ УСТРОЙСТВА</v>
          </cell>
          <cell r="J525" t="str">
            <v/>
          </cell>
          <cell r="Q525">
            <v>0</v>
          </cell>
        </row>
        <row r="526">
          <cell r="A526">
            <v>2002</v>
          </cell>
          <cell r="B526">
            <v>0</v>
          </cell>
          <cell r="C526" t="str">
            <v>Паропровод центр.</v>
          </cell>
          <cell r="F526">
            <v>1983</v>
          </cell>
          <cell r="G526">
            <v>30119</v>
          </cell>
          <cell r="H526">
            <v>8.3000000000000007</v>
          </cell>
          <cell r="I526">
            <v>34617456</v>
          </cell>
          <cell r="J526">
            <v>1.35</v>
          </cell>
          <cell r="K526">
            <v>146733.56599999999</v>
          </cell>
          <cell r="L526">
            <v>0</v>
          </cell>
          <cell r="M526">
            <v>0</v>
          </cell>
          <cell r="N526">
            <v>231398.83358199999</v>
          </cell>
          <cell r="O526">
            <v>0</v>
          </cell>
          <cell r="P526">
            <v>84665.267582</v>
          </cell>
          <cell r="Q526">
            <v>0</v>
          </cell>
        </row>
        <row r="527">
          <cell r="A527">
            <v>2002</v>
          </cell>
          <cell r="B527">
            <v>0</v>
          </cell>
          <cell r="C527" t="str">
            <v>Внутри площад. сети водопр.</v>
          </cell>
          <cell r="F527">
            <v>1983</v>
          </cell>
          <cell r="G527">
            <v>30119</v>
          </cell>
          <cell r="H527">
            <v>8.3000000000000007</v>
          </cell>
          <cell r="I527">
            <v>221728000</v>
          </cell>
          <cell r="J527">
            <v>0.04</v>
          </cell>
          <cell r="K527">
            <v>38698.49</v>
          </cell>
          <cell r="L527">
            <v>0</v>
          </cell>
          <cell r="M527">
            <v>0</v>
          </cell>
          <cell r="N527">
            <v>61027.518730000003</v>
          </cell>
          <cell r="O527">
            <v>0</v>
          </cell>
          <cell r="P527">
            <v>22329.028730000005</v>
          </cell>
          <cell r="Q527">
            <v>0</v>
          </cell>
        </row>
        <row r="528">
          <cell r="A528">
            <v>2002</v>
          </cell>
          <cell r="B528">
            <v>0</v>
          </cell>
          <cell r="C528" t="str">
            <v>Внутри площадочн.канал.сет.</v>
          </cell>
          <cell r="F528">
            <v>1983</v>
          </cell>
          <cell r="G528">
            <v>30119</v>
          </cell>
          <cell r="H528">
            <v>8.3000000000000007</v>
          </cell>
          <cell r="I528">
            <v>65495040</v>
          </cell>
          <cell r="J528">
            <v>1.35</v>
          </cell>
          <cell r="K528">
            <v>88418.3</v>
          </cell>
          <cell r="L528">
            <v>0</v>
          </cell>
          <cell r="M528">
            <v>0</v>
          </cell>
          <cell r="N528">
            <v>139435.65910000002</v>
          </cell>
          <cell r="O528">
            <v>0</v>
          </cell>
          <cell r="P528">
            <v>51017.359100000016</v>
          </cell>
          <cell r="Q528">
            <v>0</v>
          </cell>
        </row>
        <row r="529">
          <cell r="A529">
            <v>2002</v>
          </cell>
          <cell r="B529">
            <v>0</v>
          </cell>
          <cell r="C529" t="str">
            <v>Внутри площад.тепл.сети.</v>
          </cell>
          <cell r="F529">
            <v>1983</v>
          </cell>
          <cell r="G529">
            <v>30119</v>
          </cell>
          <cell r="H529">
            <v>8.3000000000000007</v>
          </cell>
          <cell r="I529">
            <v>564724160</v>
          </cell>
          <cell r="J529">
            <v>0.06</v>
          </cell>
          <cell r="K529">
            <v>135928.56299999999</v>
          </cell>
          <cell r="L529">
            <v>0</v>
          </cell>
          <cell r="M529">
            <v>0</v>
          </cell>
          <cell r="N529">
            <v>214359.34385100001</v>
          </cell>
          <cell r="O529">
            <v>0</v>
          </cell>
          <cell r="P529">
            <v>78430.780851000018</v>
          </cell>
          <cell r="Q529">
            <v>0</v>
          </cell>
        </row>
        <row r="530">
          <cell r="A530">
            <v>2002</v>
          </cell>
          <cell r="B530">
            <v>0</v>
          </cell>
          <cell r="C530" t="str">
            <v>Внешние сети водопров.</v>
          </cell>
          <cell r="F530">
            <v>1983</v>
          </cell>
          <cell r="G530">
            <v>30119</v>
          </cell>
          <cell r="H530">
            <v>8.3000000000000007</v>
          </cell>
          <cell r="I530">
            <v>156318240</v>
          </cell>
          <cell r="J530">
            <v>0.09</v>
          </cell>
          <cell r="K530">
            <v>14384.317999999999</v>
          </cell>
          <cell r="L530">
            <v>0</v>
          </cell>
          <cell r="M530">
            <v>0</v>
          </cell>
          <cell r="N530">
            <v>22684.069486</v>
          </cell>
          <cell r="O530">
            <v>0</v>
          </cell>
          <cell r="P530">
            <v>8299.751486000001</v>
          </cell>
          <cell r="Q530">
            <v>0</v>
          </cell>
        </row>
        <row r="531">
          <cell r="A531">
            <v>2002</v>
          </cell>
          <cell r="B531">
            <v>0</v>
          </cell>
          <cell r="C531" t="str">
            <v>Водопр.с искуств. сооруж.</v>
          </cell>
          <cell r="F531">
            <v>1983</v>
          </cell>
          <cell r="G531">
            <v>30100</v>
          </cell>
          <cell r="H531">
            <v>1.7</v>
          </cell>
          <cell r="I531">
            <v>11256960</v>
          </cell>
          <cell r="J531">
            <v>1.35</v>
          </cell>
          <cell r="K531">
            <v>15196.896000000001</v>
          </cell>
          <cell r="L531">
            <v>258.34723200000002</v>
          </cell>
          <cell r="M531">
            <v>21.528936000000002</v>
          </cell>
          <cell r="N531">
            <v>4908.5974080000005</v>
          </cell>
          <cell r="O531">
            <v>10288.298591999999</v>
          </cell>
          <cell r="P531">
            <v>0</v>
          </cell>
          <cell r="Q531">
            <v>21.528936000000002</v>
          </cell>
        </row>
        <row r="532">
          <cell r="A532">
            <v>2002</v>
          </cell>
          <cell r="B532">
            <v>0</v>
          </cell>
          <cell r="C532" t="str">
            <v>Наружное освещение</v>
          </cell>
          <cell r="F532">
            <v>1983</v>
          </cell>
          <cell r="G532">
            <v>30009</v>
          </cell>
          <cell r="H532">
            <v>2</v>
          </cell>
          <cell r="I532">
            <v>37437920</v>
          </cell>
          <cell r="J532">
            <v>1.35</v>
          </cell>
          <cell r="K532">
            <v>50441.192000000003</v>
          </cell>
          <cell r="L532">
            <v>1008.82384</v>
          </cell>
          <cell r="M532">
            <v>84.06865333333333</v>
          </cell>
          <cell r="N532">
            <v>19167.652959999999</v>
          </cell>
          <cell r="O532">
            <v>31273.539040000003</v>
          </cell>
          <cell r="P532">
            <v>0</v>
          </cell>
          <cell r="Q532">
            <v>84.06865333333333</v>
          </cell>
        </row>
        <row r="533">
          <cell r="A533">
            <v>2002</v>
          </cell>
          <cell r="B533">
            <v>0</v>
          </cell>
          <cell r="C533" t="str">
            <v>Внешние сети канал.</v>
          </cell>
          <cell r="F533">
            <v>1983</v>
          </cell>
          <cell r="G533">
            <v>30119</v>
          </cell>
          <cell r="H533">
            <v>8.3000000000000007</v>
          </cell>
          <cell r="I533">
            <v>115383840</v>
          </cell>
          <cell r="J533">
            <v>1.35</v>
          </cell>
          <cell r="K533">
            <v>101497.18</v>
          </cell>
          <cell r="L533">
            <v>0</v>
          </cell>
          <cell r="M533">
            <v>0</v>
          </cell>
          <cell r="N533">
            <v>160061.05286000003</v>
          </cell>
          <cell r="O533">
            <v>0</v>
          </cell>
          <cell r="P533">
            <v>58563.872860000032</v>
          </cell>
          <cell r="Q533">
            <v>0</v>
          </cell>
        </row>
        <row r="534">
          <cell r="A534">
            <v>2002</v>
          </cell>
          <cell r="B534">
            <v>0</v>
          </cell>
          <cell r="C534" t="str">
            <v>Теплотраса Кутякова</v>
          </cell>
          <cell r="F534">
            <v>1966</v>
          </cell>
          <cell r="G534">
            <v>30119</v>
          </cell>
          <cell r="H534">
            <v>8.3000000000000007</v>
          </cell>
          <cell r="I534">
            <v>190728720</v>
          </cell>
          <cell r="J534">
            <v>1.27</v>
          </cell>
          <cell r="K534">
            <v>242225.47399999999</v>
          </cell>
          <cell r="L534">
            <v>0</v>
          </cell>
          <cell r="M534">
            <v>0</v>
          </cell>
          <cell r="N534">
            <v>723769.71631199995</v>
          </cell>
          <cell r="O534">
            <v>0</v>
          </cell>
          <cell r="P534">
            <v>481544.24231199996</v>
          </cell>
          <cell r="Q534">
            <v>0</v>
          </cell>
        </row>
        <row r="535">
          <cell r="A535">
            <v>2002</v>
          </cell>
          <cell r="B535">
            <v>0</v>
          </cell>
          <cell r="C535" t="str">
            <v>Теплотрасса</v>
          </cell>
          <cell r="E535">
            <v>12</v>
          </cell>
          <cell r="F535">
            <v>1998</v>
          </cell>
          <cell r="G535">
            <v>30119</v>
          </cell>
          <cell r="H535">
            <v>8.3000000000000007</v>
          </cell>
          <cell r="I535" t="str">
            <v/>
          </cell>
          <cell r="J535" t="str">
            <v/>
          </cell>
          <cell r="K535">
            <v>3231178.72</v>
          </cell>
          <cell r="L535">
            <v>268187.83376000007</v>
          </cell>
          <cell r="M535">
            <v>22348.986146666673</v>
          </cell>
          <cell r="N535">
            <v>1072751.3350400003</v>
          </cell>
          <cell r="O535">
            <v>2158427.3849599999</v>
          </cell>
          <cell r="P535">
            <v>0</v>
          </cell>
          <cell r="Q535">
            <v>22348.986146666673</v>
          </cell>
        </row>
        <row r="536">
          <cell r="A536">
            <v>2002</v>
          </cell>
          <cell r="B536">
            <v>0</v>
          </cell>
          <cell r="C536" t="str">
            <v>ИТОГО</v>
          </cell>
          <cell r="F536" t="str">
            <v>ПЕРЕДАТОЧНЫЕ УСТРОЙСТВА</v>
          </cell>
          <cell r="H536" t="str">
            <v/>
          </cell>
          <cell r="I536">
            <v>1206961616</v>
          </cell>
          <cell r="J536">
            <v>6.94</v>
          </cell>
          <cell r="K536">
            <v>4064702.699</v>
          </cell>
          <cell r="L536">
            <v>269455.00483200006</v>
          </cell>
          <cell r="M536">
            <v>22454.583736000008</v>
          </cell>
          <cell r="N536">
            <v>2649563.7793290005</v>
          </cell>
          <cell r="O536">
            <v>2199989.2225919999</v>
          </cell>
          <cell r="P536">
            <v>784850.30292099994</v>
          </cell>
          <cell r="Q536">
            <v>22454.583736000008</v>
          </cell>
        </row>
        <row r="537">
          <cell r="A537">
            <v>2002</v>
          </cell>
          <cell r="B537">
            <v>0</v>
          </cell>
          <cell r="C537" t="str">
            <v>МАШИНЫ И ОБОРУДОВАНИЕ</v>
          </cell>
          <cell r="H537" t="str">
            <v/>
          </cell>
          <cell r="I537" t="str">
            <v/>
          </cell>
          <cell r="J537" t="str">
            <v/>
          </cell>
          <cell r="Q537">
            <v>0</v>
          </cell>
        </row>
        <row r="538">
          <cell r="A538">
            <v>2002</v>
          </cell>
          <cell r="B538">
            <v>0</v>
          </cell>
          <cell r="C538" t="str">
            <v>Котлы ДЕ-25-14</v>
          </cell>
          <cell r="F538">
            <v>1983</v>
          </cell>
          <cell r="G538">
            <v>40000</v>
          </cell>
          <cell r="H538">
            <v>3.7</v>
          </cell>
          <cell r="I538">
            <v>598890016</v>
          </cell>
          <cell r="J538">
            <v>0.6</v>
          </cell>
          <cell r="K538">
            <v>360000</v>
          </cell>
          <cell r="L538">
            <v>13320</v>
          </cell>
          <cell r="M538">
            <v>1110</v>
          </cell>
          <cell r="N538">
            <v>253080</v>
          </cell>
          <cell r="O538">
            <v>106920</v>
          </cell>
          <cell r="P538">
            <v>0</v>
          </cell>
          <cell r="Q538">
            <v>1110</v>
          </cell>
        </row>
        <row r="539">
          <cell r="A539">
            <v>2002</v>
          </cell>
          <cell r="B539">
            <v>0</v>
          </cell>
          <cell r="C539" t="str">
            <v>Газорегуулят. ГРУ</v>
          </cell>
          <cell r="F539">
            <v>1983</v>
          </cell>
          <cell r="G539">
            <v>40000</v>
          </cell>
          <cell r="H539">
            <v>3.7</v>
          </cell>
          <cell r="I539">
            <v>43744179</v>
          </cell>
          <cell r="J539">
            <v>1.17</v>
          </cell>
          <cell r="K539">
            <v>51180.688999999998</v>
          </cell>
          <cell r="L539">
            <v>1893.6854930000002</v>
          </cell>
          <cell r="M539">
            <v>157.80712441666668</v>
          </cell>
          <cell r="N539">
            <v>35980.024367000005</v>
          </cell>
          <cell r="O539">
            <v>15200.664632999993</v>
          </cell>
          <cell r="P539">
            <v>0</v>
          </cell>
          <cell r="Q539">
            <v>157.80712441666668</v>
          </cell>
        </row>
        <row r="540">
          <cell r="A540">
            <v>2002</v>
          </cell>
          <cell r="B540">
            <v>0</v>
          </cell>
          <cell r="C540" t="str">
            <v>Теплообменник</v>
          </cell>
          <cell r="F540">
            <v>1992</v>
          </cell>
          <cell r="G540">
            <v>40000</v>
          </cell>
          <cell r="H540">
            <v>3.7</v>
          </cell>
          <cell r="I540">
            <v>112564633</v>
          </cell>
          <cell r="J540">
            <v>1.07</v>
          </cell>
          <cell r="K540">
            <v>120000</v>
          </cell>
          <cell r="L540">
            <v>4440</v>
          </cell>
          <cell r="M540">
            <v>370</v>
          </cell>
          <cell r="N540">
            <v>44400</v>
          </cell>
          <cell r="O540">
            <v>75600</v>
          </cell>
          <cell r="P540">
            <v>0</v>
          </cell>
          <cell r="Q540">
            <v>370</v>
          </cell>
        </row>
        <row r="541">
          <cell r="A541">
            <v>2002</v>
          </cell>
          <cell r="B541">
            <v>0</v>
          </cell>
          <cell r="C541" t="str">
            <v>Теплообменник</v>
          </cell>
          <cell r="F541">
            <v>1992</v>
          </cell>
          <cell r="G541">
            <v>40000</v>
          </cell>
          <cell r="H541">
            <v>3.7</v>
          </cell>
          <cell r="I541">
            <v>173952204</v>
          </cell>
          <cell r="J541">
            <v>0.86</v>
          </cell>
          <cell r="K541">
            <v>150000</v>
          </cell>
          <cell r="L541">
            <v>5550</v>
          </cell>
          <cell r="M541">
            <v>462.5</v>
          </cell>
          <cell r="N541">
            <v>55500</v>
          </cell>
          <cell r="O541">
            <v>94500</v>
          </cell>
          <cell r="P541">
            <v>0</v>
          </cell>
          <cell r="Q541">
            <v>462.5</v>
          </cell>
        </row>
        <row r="542">
          <cell r="A542">
            <v>2002</v>
          </cell>
          <cell r="B542">
            <v>0</v>
          </cell>
          <cell r="C542" t="str">
            <v>Теплообменник АСВ -200</v>
          </cell>
          <cell r="F542">
            <v>1997</v>
          </cell>
          <cell r="G542">
            <v>40000</v>
          </cell>
          <cell r="H542">
            <v>3.7</v>
          </cell>
          <cell r="I542">
            <v>161666667</v>
          </cell>
          <cell r="J542">
            <v>0.85</v>
          </cell>
          <cell r="K542">
            <v>137416.66699999999</v>
          </cell>
          <cell r="L542">
            <v>5084.4166789999999</v>
          </cell>
          <cell r="M542">
            <v>423.70138991666664</v>
          </cell>
          <cell r="N542">
            <v>25422.083395000001</v>
          </cell>
          <cell r="O542">
            <v>111994.58360499999</v>
          </cell>
          <cell r="P542">
            <v>0</v>
          </cell>
          <cell r="Q542">
            <v>423.70138991666664</v>
          </cell>
        </row>
        <row r="543">
          <cell r="A543">
            <v>2002</v>
          </cell>
          <cell r="B543">
            <v>0</v>
          </cell>
          <cell r="C543" t="str">
            <v>Насос 6ВДВ с мазут.</v>
          </cell>
          <cell r="F543">
            <v>1992</v>
          </cell>
          <cell r="G543">
            <v>41502</v>
          </cell>
          <cell r="H543">
            <v>12.5</v>
          </cell>
          <cell r="I543">
            <v>14776550</v>
          </cell>
          <cell r="J543">
            <v>0.95</v>
          </cell>
          <cell r="K543">
            <v>14000</v>
          </cell>
          <cell r="L543">
            <v>0</v>
          </cell>
          <cell r="M543">
            <v>0</v>
          </cell>
          <cell r="N543">
            <v>17500</v>
          </cell>
          <cell r="O543">
            <v>0</v>
          </cell>
          <cell r="P543">
            <v>3500</v>
          </cell>
          <cell r="Q543">
            <v>0</v>
          </cell>
        </row>
        <row r="544">
          <cell r="A544">
            <v>2002</v>
          </cell>
          <cell r="B544">
            <v>0</v>
          </cell>
          <cell r="C544" t="str">
            <v>ЗЕВЕ СУПЕР 5 KB 80</v>
          </cell>
          <cell r="E544">
            <v>12</v>
          </cell>
          <cell r="F544">
            <v>2000</v>
          </cell>
          <cell r="G544">
            <v>40200</v>
          </cell>
          <cell r="H544">
            <v>6.6</v>
          </cell>
          <cell r="K544">
            <v>45000</v>
          </cell>
          <cell r="L544">
            <v>2970</v>
          </cell>
          <cell r="M544">
            <v>247.5</v>
          </cell>
          <cell r="N544">
            <v>5940</v>
          </cell>
          <cell r="O544">
            <v>39060</v>
          </cell>
          <cell r="P544">
            <v>0</v>
          </cell>
          <cell r="Q544">
            <v>247.5</v>
          </cell>
          <cell r="R544">
            <v>45000</v>
          </cell>
        </row>
        <row r="545">
          <cell r="A545">
            <v>2002</v>
          </cell>
          <cell r="B545">
            <v>0</v>
          </cell>
          <cell r="C545" t="str">
            <v>Насос уисг 36*223</v>
          </cell>
          <cell r="F545">
            <v>1992</v>
          </cell>
          <cell r="G545">
            <v>41502</v>
          </cell>
          <cell r="H545">
            <v>12.5</v>
          </cell>
          <cell r="I545">
            <v>57224931</v>
          </cell>
          <cell r="J545">
            <v>0.79</v>
          </cell>
          <cell r="K545">
            <v>45000</v>
          </cell>
          <cell r="L545">
            <v>0</v>
          </cell>
          <cell r="M545">
            <v>0</v>
          </cell>
          <cell r="N545">
            <v>56250</v>
          </cell>
          <cell r="O545">
            <v>0</v>
          </cell>
          <cell r="P545">
            <v>11250</v>
          </cell>
          <cell r="Q545">
            <v>0</v>
          </cell>
        </row>
        <row r="546">
          <cell r="A546">
            <v>2002</v>
          </cell>
          <cell r="B546">
            <v>0</v>
          </cell>
          <cell r="C546" t="str">
            <v>Насос 250/55</v>
          </cell>
          <cell r="F546">
            <v>1993</v>
          </cell>
          <cell r="G546">
            <v>41502</v>
          </cell>
          <cell r="H546">
            <v>12.5</v>
          </cell>
          <cell r="I546">
            <v>16307200</v>
          </cell>
          <cell r="J546">
            <v>1.06</v>
          </cell>
          <cell r="K546">
            <v>17285.632000000001</v>
          </cell>
          <cell r="L546">
            <v>0</v>
          </cell>
          <cell r="M546">
            <v>0</v>
          </cell>
          <cell r="N546">
            <v>19446.336000000003</v>
          </cell>
          <cell r="O546">
            <v>0</v>
          </cell>
          <cell r="P546">
            <v>2160.7040000000015</v>
          </cell>
          <cell r="Q546">
            <v>0</v>
          </cell>
        </row>
        <row r="547">
          <cell r="A547">
            <v>2002</v>
          </cell>
          <cell r="B547">
            <v>0</v>
          </cell>
          <cell r="C547" t="str">
            <v>Насос 45/55</v>
          </cell>
          <cell r="F547">
            <v>1992</v>
          </cell>
          <cell r="G547">
            <v>41502</v>
          </cell>
          <cell r="H547">
            <v>12.5</v>
          </cell>
          <cell r="I547">
            <v>2134080</v>
          </cell>
          <cell r="J547">
            <v>0.86</v>
          </cell>
          <cell r="K547">
            <v>1837.1079999999999</v>
          </cell>
          <cell r="L547">
            <v>0</v>
          </cell>
          <cell r="M547">
            <v>0</v>
          </cell>
          <cell r="N547">
            <v>2296.3849999999998</v>
          </cell>
          <cell r="O547">
            <v>0</v>
          </cell>
          <cell r="P547">
            <v>459.27699999999982</v>
          </cell>
          <cell r="Q547">
            <v>0</v>
          </cell>
        </row>
        <row r="548">
          <cell r="A548">
            <v>2002</v>
          </cell>
          <cell r="B548">
            <v>0</v>
          </cell>
          <cell r="C548" t="str">
            <v>Насос центроб.с электром.</v>
          </cell>
          <cell r="F548">
            <v>1983</v>
          </cell>
          <cell r="G548">
            <v>41205</v>
          </cell>
          <cell r="H548">
            <v>12.5</v>
          </cell>
          <cell r="I548">
            <v>15715129</v>
          </cell>
          <cell r="J548">
            <v>0.86</v>
          </cell>
          <cell r="K548">
            <v>13491.438</v>
          </cell>
          <cell r="L548">
            <v>0</v>
          </cell>
          <cell r="M548">
            <v>0</v>
          </cell>
          <cell r="N548">
            <v>13491.438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2002</v>
          </cell>
          <cell r="B549">
            <v>0</v>
          </cell>
          <cell r="C549" t="str">
            <v>Насос КЦ-140-с электр.</v>
          </cell>
          <cell r="F549">
            <v>1983</v>
          </cell>
          <cell r="G549">
            <v>41502</v>
          </cell>
          <cell r="H549">
            <v>12.5</v>
          </cell>
          <cell r="I549">
            <v>16108390</v>
          </cell>
          <cell r="J549">
            <v>0.86</v>
          </cell>
          <cell r="K549">
            <v>13829.053</v>
          </cell>
          <cell r="L549">
            <v>0</v>
          </cell>
          <cell r="M549">
            <v>0</v>
          </cell>
          <cell r="N549">
            <v>13829.053</v>
          </cell>
          <cell r="O549">
            <v>0</v>
          </cell>
          <cell r="P549">
            <v>0</v>
          </cell>
          <cell r="Q549">
            <v>0</v>
          </cell>
        </row>
        <row r="550">
          <cell r="A550">
            <v>2002</v>
          </cell>
          <cell r="B550">
            <v>0</v>
          </cell>
          <cell r="C550" t="str">
            <v>Насос Сетевой 400/105</v>
          </cell>
          <cell r="F550">
            <v>1983</v>
          </cell>
          <cell r="G550">
            <v>41502</v>
          </cell>
          <cell r="H550">
            <v>12.5</v>
          </cell>
          <cell r="I550">
            <v>45020425</v>
          </cell>
          <cell r="J550">
            <v>0.86</v>
          </cell>
          <cell r="K550">
            <v>386500.35499999998</v>
          </cell>
          <cell r="L550">
            <v>0</v>
          </cell>
          <cell r="M550">
            <v>0</v>
          </cell>
          <cell r="N550">
            <v>386500.35499999998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2002</v>
          </cell>
          <cell r="B551">
            <v>0</v>
          </cell>
          <cell r="C551" t="str">
            <v>Насос К-100-80-1605</v>
          </cell>
          <cell r="F551">
            <v>1992</v>
          </cell>
          <cell r="G551">
            <v>41502</v>
          </cell>
          <cell r="H551">
            <v>12.5</v>
          </cell>
          <cell r="I551">
            <v>1126501</v>
          </cell>
          <cell r="J551">
            <v>0.9</v>
          </cell>
          <cell r="K551">
            <v>1014.977</v>
          </cell>
          <cell r="L551">
            <v>0</v>
          </cell>
          <cell r="M551">
            <v>0</v>
          </cell>
          <cell r="N551">
            <v>1268.7212500000001</v>
          </cell>
          <cell r="O551">
            <v>0</v>
          </cell>
          <cell r="P551">
            <v>253.74425000000008</v>
          </cell>
          <cell r="Q551">
            <v>0</v>
          </cell>
        </row>
        <row r="552">
          <cell r="A552">
            <v>2002</v>
          </cell>
          <cell r="B552">
            <v>0</v>
          </cell>
          <cell r="C552" t="str">
            <v>Насос К20/30 150н</v>
          </cell>
          <cell r="F552">
            <v>1992</v>
          </cell>
          <cell r="G552">
            <v>41502</v>
          </cell>
          <cell r="H552">
            <v>12.5</v>
          </cell>
          <cell r="I552">
            <v>812382</v>
          </cell>
          <cell r="J552">
            <v>0.9</v>
          </cell>
          <cell r="K552">
            <v>731.95600000000002</v>
          </cell>
          <cell r="L552">
            <v>0</v>
          </cell>
          <cell r="M552">
            <v>0</v>
          </cell>
          <cell r="N552">
            <v>914.94500000000005</v>
          </cell>
          <cell r="O552">
            <v>0</v>
          </cell>
          <cell r="P552">
            <v>182.98900000000003</v>
          </cell>
          <cell r="Q552">
            <v>0</v>
          </cell>
        </row>
        <row r="553">
          <cell r="A553">
            <v>2002</v>
          </cell>
          <cell r="B553">
            <v>0</v>
          </cell>
          <cell r="C553" t="str">
            <v>Насос А*50 32*160</v>
          </cell>
          <cell r="F553">
            <v>1995</v>
          </cell>
          <cell r="G553">
            <v>41502</v>
          </cell>
          <cell r="H553">
            <v>12.5</v>
          </cell>
          <cell r="I553">
            <v>6276700</v>
          </cell>
          <cell r="J553">
            <v>0.9</v>
          </cell>
          <cell r="K553">
            <v>5655.3069999999998</v>
          </cell>
          <cell r="L553">
            <v>706.91337499999997</v>
          </cell>
          <cell r="M553">
            <v>58.909447916666664</v>
          </cell>
          <cell r="N553">
            <v>4948.3936249999997</v>
          </cell>
          <cell r="O553">
            <v>706.91337500000009</v>
          </cell>
          <cell r="P553">
            <v>0</v>
          </cell>
          <cell r="Q553">
            <v>58.909447916666664</v>
          </cell>
        </row>
        <row r="554">
          <cell r="A554">
            <v>2002</v>
          </cell>
          <cell r="B554">
            <v>0</v>
          </cell>
          <cell r="C554" t="str">
            <v>Электродвигатель</v>
          </cell>
          <cell r="F554">
            <v>1994</v>
          </cell>
          <cell r="G554">
            <v>40200</v>
          </cell>
          <cell r="H554">
            <v>6.6</v>
          </cell>
          <cell r="I554">
            <v>3593750</v>
          </cell>
          <cell r="J554">
            <v>0.9</v>
          </cell>
          <cell r="K554">
            <v>3237.9690000000001</v>
          </cell>
          <cell r="L554">
            <v>213.70595399999999</v>
          </cell>
          <cell r="M554">
            <v>17.808829499999998</v>
          </cell>
          <cell r="N554">
            <v>1709.6476319999999</v>
          </cell>
          <cell r="O554">
            <v>1528.3213680000001</v>
          </cell>
          <cell r="P554">
            <v>0</v>
          </cell>
          <cell r="Q554">
            <v>17.808829499999998</v>
          </cell>
        </row>
        <row r="555">
          <cell r="A555">
            <v>2002</v>
          </cell>
          <cell r="B555">
            <v>0</v>
          </cell>
          <cell r="C555" t="str">
            <v>Электромотор</v>
          </cell>
          <cell r="F555">
            <v>1997</v>
          </cell>
          <cell r="G555">
            <v>40200</v>
          </cell>
          <cell r="H555">
            <v>3.7</v>
          </cell>
          <cell r="I555">
            <v>20833333</v>
          </cell>
          <cell r="J555">
            <v>0.85</v>
          </cell>
          <cell r="K555">
            <v>17708.332999999999</v>
          </cell>
          <cell r="L555">
            <v>655.20832099999996</v>
          </cell>
          <cell r="M555">
            <v>54.600693416666665</v>
          </cell>
          <cell r="N555">
            <v>3276.0416049999999</v>
          </cell>
          <cell r="O555">
            <v>14432.291394999998</v>
          </cell>
          <cell r="P555">
            <v>0</v>
          </cell>
          <cell r="Q555">
            <v>54.600693416666665</v>
          </cell>
        </row>
        <row r="556">
          <cell r="A556">
            <v>2002</v>
          </cell>
          <cell r="B556">
            <v>0</v>
          </cell>
          <cell r="C556" t="str">
            <v>Котел Д-721 Г-ф</v>
          </cell>
          <cell r="E556">
            <v>3</v>
          </cell>
          <cell r="F556">
            <v>1998</v>
          </cell>
          <cell r="G556">
            <v>49002</v>
          </cell>
          <cell r="H556">
            <v>5</v>
          </cell>
          <cell r="K556">
            <v>40000</v>
          </cell>
          <cell r="L556">
            <v>2000</v>
          </cell>
          <cell r="M556">
            <v>166.66666666666666</v>
          </cell>
          <cell r="N556">
            <v>8000</v>
          </cell>
          <cell r="O556">
            <v>32000</v>
          </cell>
          <cell r="P556">
            <v>0</v>
          </cell>
          <cell r="Q556">
            <v>166.66666666666666</v>
          </cell>
        </row>
        <row r="557">
          <cell r="A557">
            <v>2002</v>
          </cell>
          <cell r="B557">
            <v>0</v>
          </cell>
          <cell r="C557" t="str">
            <v>Насос НКУ-140с эл.дв.</v>
          </cell>
          <cell r="F557">
            <v>1983</v>
          </cell>
          <cell r="G557">
            <v>40717</v>
          </cell>
          <cell r="H557">
            <v>10</v>
          </cell>
          <cell r="I557">
            <v>6000000</v>
          </cell>
          <cell r="J557">
            <v>1.05</v>
          </cell>
          <cell r="K557">
            <v>63000</v>
          </cell>
          <cell r="L557">
            <v>0</v>
          </cell>
          <cell r="M557">
            <v>0</v>
          </cell>
          <cell r="N557">
            <v>63000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2002</v>
          </cell>
          <cell r="B558">
            <v>0</v>
          </cell>
          <cell r="C558" t="str">
            <v>Трансформат.подст.</v>
          </cell>
          <cell r="F558">
            <v>1983</v>
          </cell>
          <cell r="G558">
            <v>40717</v>
          </cell>
          <cell r="H558">
            <v>10</v>
          </cell>
          <cell r="I558">
            <v>35000000</v>
          </cell>
          <cell r="J558">
            <v>0.86</v>
          </cell>
          <cell r="K558">
            <v>30047.5</v>
          </cell>
          <cell r="L558">
            <v>0</v>
          </cell>
          <cell r="M558">
            <v>0</v>
          </cell>
          <cell r="N558">
            <v>30047.5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2002</v>
          </cell>
          <cell r="B559">
            <v>0</v>
          </cell>
          <cell r="C559" t="str">
            <v>Вентилятор ВДН 11.2</v>
          </cell>
          <cell r="F559">
            <v>1983</v>
          </cell>
          <cell r="G559">
            <v>41600</v>
          </cell>
          <cell r="H559">
            <v>10</v>
          </cell>
          <cell r="I559">
            <v>27378042</v>
          </cell>
          <cell r="J559">
            <v>0.77</v>
          </cell>
          <cell r="K559">
            <v>121081.554</v>
          </cell>
          <cell r="L559">
            <v>0</v>
          </cell>
          <cell r="M559">
            <v>0</v>
          </cell>
          <cell r="N559">
            <v>121081.554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2002</v>
          </cell>
          <cell r="B560">
            <v>0</v>
          </cell>
          <cell r="C560" t="str">
            <v>ДымососАД 41/50</v>
          </cell>
          <cell r="F560">
            <v>1983</v>
          </cell>
          <cell r="G560">
            <v>41600</v>
          </cell>
          <cell r="H560">
            <v>10</v>
          </cell>
          <cell r="I560">
            <v>47518717</v>
          </cell>
          <cell r="J560">
            <v>0.99</v>
          </cell>
          <cell r="K560">
            <v>147043.53</v>
          </cell>
          <cell r="L560">
            <v>0</v>
          </cell>
          <cell r="M560">
            <v>0</v>
          </cell>
          <cell r="N560">
            <v>147043.53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2002</v>
          </cell>
          <cell r="B561">
            <v>0</v>
          </cell>
          <cell r="C561" t="str">
            <v>Сверлильный станок.</v>
          </cell>
          <cell r="F561">
            <v>1983</v>
          </cell>
          <cell r="G561">
            <v>41002</v>
          </cell>
          <cell r="H561">
            <v>8.3000000000000007</v>
          </cell>
          <cell r="I561">
            <v>3701084</v>
          </cell>
          <cell r="J561">
            <v>1.08</v>
          </cell>
          <cell r="K561">
            <v>4000</v>
          </cell>
          <cell r="L561">
            <v>0</v>
          </cell>
          <cell r="M561">
            <v>0</v>
          </cell>
          <cell r="N561">
            <v>4000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2002</v>
          </cell>
          <cell r="B562">
            <v>0</v>
          </cell>
          <cell r="C562" t="str">
            <v>Точил.шлифов.станок</v>
          </cell>
          <cell r="F562">
            <v>1981</v>
          </cell>
          <cell r="G562">
            <v>41002</v>
          </cell>
          <cell r="H562">
            <v>8.3000000000000007</v>
          </cell>
          <cell r="I562">
            <v>2484471</v>
          </cell>
          <cell r="J562">
            <v>1.1599999999999999</v>
          </cell>
          <cell r="K562">
            <v>2872.0720000000001</v>
          </cell>
          <cell r="L562">
            <v>0</v>
          </cell>
          <cell r="M562">
            <v>0</v>
          </cell>
          <cell r="N562">
            <v>2872.0720000000001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2002</v>
          </cell>
          <cell r="B563">
            <v>0</v>
          </cell>
          <cell r="C563" t="str">
            <v>Токарный станок</v>
          </cell>
          <cell r="F563">
            <v>1983</v>
          </cell>
          <cell r="G563">
            <v>41002</v>
          </cell>
          <cell r="H563">
            <v>8.3000000000000007</v>
          </cell>
          <cell r="I563">
            <v>80000000</v>
          </cell>
          <cell r="J563">
            <v>0.75</v>
          </cell>
          <cell r="K563">
            <v>60000</v>
          </cell>
          <cell r="L563">
            <v>0</v>
          </cell>
          <cell r="M563">
            <v>0</v>
          </cell>
          <cell r="N563">
            <v>60000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2002</v>
          </cell>
          <cell r="B564">
            <v>0</v>
          </cell>
          <cell r="C564" t="str">
            <v>Фрезерный  станок</v>
          </cell>
          <cell r="F564">
            <v>1983</v>
          </cell>
          <cell r="G564">
            <v>41002</v>
          </cell>
          <cell r="H564">
            <v>8.3000000000000007</v>
          </cell>
          <cell r="I564">
            <v>53500000</v>
          </cell>
          <cell r="J564">
            <v>0.84</v>
          </cell>
          <cell r="K564">
            <v>45000</v>
          </cell>
          <cell r="L564">
            <v>0</v>
          </cell>
          <cell r="M564">
            <v>0</v>
          </cell>
          <cell r="N564">
            <v>45000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2002</v>
          </cell>
          <cell r="B565">
            <v>0</v>
          </cell>
          <cell r="C565" t="str">
            <v>Нефтеловушка</v>
          </cell>
          <cell r="F565">
            <v>1983</v>
          </cell>
          <cell r="G565">
            <v>43811</v>
          </cell>
          <cell r="H565">
            <v>6.7</v>
          </cell>
          <cell r="I565">
            <v>42055200</v>
          </cell>
          <cell r="J565">
            <v>0.99</v>
          </cell>
          <cell r="K565">
            <v>41823.896000000001</v>
          </cell>
          <cell r="L565">
            <v>0</v>
          </cell>
          <cell r="M565">
            <v>0</v>
          </cell>
          <cell r="N565">
            <v>41823.896000000001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2002</v>
          </cell>
          <cell r="B566">
            <v>0</v>
          </cell>
          <cell r="C566" t="str">
            <v>Приборы КИП и А</v>
          </cell>
          <cell r="F566">
            <v>1983</v>
          </cell>
          <cell r="G566">
            <v>43807</v>
          </cell>
          <cell r="H566">
            <v>25</v>
          </cell>
          <cell r="I566">
            <v>310889334</v>
          </cell>
          <cell r="J566">
            <v>0.19</v>
          </cell>
          <cell r="K566">
            <v>60000</v>
          </cell>
          <cell r="L566">
            <v>0</v>
          </cell>
          <cell r="M566">
            <v>0</v>
          </cell>
          <cell r="N566">
            <v>60000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2002</v>
          </cell>
          <cell r="B567">
            <v>0</v>
          </cell>
          <cell r="C567" t="str">
            <v>Щиты регистраторы</v>
          </cell>
          <cell r="F567">
            <v>1983</v>
          </cell>
          <cell r="G567">
            <v>43807</v>
          </cell>
          <cell r="H567">
            <v>25</v>
          </cell>
          <cell r="I567">
            <v>80769834</v>
          </cell>
          <cell r="J567">
            <v>0.56000000000000005</v>
          </cell>
          <cell r="K567">
            <v>45231.118000000002</v>
          </cell>
          <cell r="L567">
            <v>0</v>
          </cell>
          <cell r="M567">
            <v>0</v>
          </cell>
          <cell r="N567">
            <v>45231.118000000002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2002</v>
          </cell>
          <cell r="B568">
            <v>0</v>
          </cell>
          <cell r="C568" t="str">
            <v>Баки декорбанат. воды</v>
          </cell>
          <cell r="F568">
            <v>1983</v>
          </cell>
          <cell r="G568">
            <v>42906</v>
          </cell>
          <cell r="H568">
            <v>11</v>
          </cell>
          <cell r="I568">
            <v>14550054</v>
          </cell>
          <cell r="J568">
            <v>0.99</v>
          </cell>
          <cell r="K568">
            <v>14470.029</v>
          </cell>
          <cell r="L568">
            <v>0</v>
          </cell>
          <cell r="M568">
            <v>0</v>
          </cell>
          <cell r="N568">
            <v>14470.029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2002</v>
          </cell>
          <cell r="B569">
            <v>0</v>
          </cell>
          <cell r="C569" t="str">
            <v>Оборудован.хим вод.очист.</v>
          </cell>
          <cell r="F569">
            <v>1983</v>
          </cell>
          <cell r="G569">
            <v>42910</v>
          </cell>
          <cell r="H569">
            <v>5</v>
          </cell>
          <cell r="I569">
            <v>663972487</v>
          </cell>
          <cell r="J569">
            <v>0.78</v>
          </cell>
          <cell r="K569">
            <v>520000</v>
          </cell>
          <cell r="L569">
            <v>26000</v>
          </cell>
          <cell r="M569">
            <v>2166.6666666666665</v>
          </cell>
          <cell r="N569">
            <v>494000</v>
          </cell>
          <cell r="O569">
            <v>26000</v>
          </cell>
          <cell r="P569">
            <v>0</v>
          </cell>
          <cell r="Q569">
            <v>2166.6666666666665</v>
          </cell>
        </row>
        <row r="570">
          <cell r="A570">
            <v>2002</v>
          </cell>
          <cell r="C570" t="str">
            <v>Электродвигатель 1,5 кв</v>
          </cell>
          <cell r="E570">
            <v>9</v>
          </cell>
          <cell r="F570">
            <v>2002</v>
          </cell>
          <cell r="G570">
            <v>40200</v>
          </cell>
          <cell r="H570">
            <v>6.6</v>
          </cell>
          <cell r="K570">
            <v>6200</v>
          </cell>
          <cell r="L570">
            <v>409.2</v>
          </cell>
          <cell r="M570">
            <v>34.1</v>
          </cell>
          <cell r="N570">
            <v>0</v>
          </cell>
          <cell r="O570">
            <v>6200</v>
          </cell>
          <cell r="P570">
            <v>0</v>
          </cell>
          <cell r="Q570">
            <v>34.1</v>
          </cell>
        </row>
        <row r="571">
          <cell r="A571">
            <v>2002</v>
          </cell>
          <cell r="B571">
            <v>0</v>
          </cell>
          <cell r="C571" t="str">
            <v>Бак Аккумулят.</v>
          </cell>
          <cell r="F571">
            <v>1983</v>
          </cell>
          <cell r="G571">
            <v>42906</v>
          </cell>
          <cell r="H571">
            <v>11</v>
          </cell>
          <cell r="I571">
            <v>85583520</v>
          </cell>
          <cell r="J571">
            <v>0.35</v>
          </cell>
          <cell r="K571">
            <v>30000</v>
          </cell>
          <cell r="L571">
            <v>0</v>
          </cell>
          <cell r="M571">
            <v>0</v>
          </cell>
          <cell r="N571">
            <v>30000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2002</v>
          </cell>
          <cell r="B572">
            <v>0</v>
          </cell>
          <cell r="C572" t="str">
            <v>ИТОГО</v>
          </cell>
          <cell r="F572" t="str">
            <v>МАШИНЫ И ОБОРУДОВАНИЕ</v>
          </cell>
          <cell r="I572">
            <v>1412402743</v>
          </cell>
          <cell r="J572">
            <v>9.4499999999999993</v>
          </cell>
          <cell r="K572">
            <v>2614659.1830000002</v>
          </cell>
          <cell r="L572">
            <v>63243.129821999988</v>
          </cell>
          <cell r="M572">
            <v>5270.2608184999999</v>
          </cell>
          <cell r="N572">
            <v>2108323.1228740001</v>
          </cell>
          <cell r="O572">
            <v>524142.77437599999</v>
          </cell>
          <cell r="P572">
            <v>17806.714250000001</v>
          </cell>
          <cell r="Q572">
            <v>5270.2608184999999</v>
          </cell>
          <cell r="R572">
            <v>45000</v>
          </cell>
        </row>
        <row r="573">
          <cell r="A573">
            <v>2002</v>
          </cell>
          <cell r="B573">
            <v>0</v>
          </cell>
          <cell r="C573" t="str">
            <v>ИТОГО</v>
          </cell>
          <cell r="F573" t="str">
            <v>ПО СЗМР</v>
          </cell>
          <cell r="I573">
            <v>12542119384</v>
          </cell>
          <cell r="J573">
            <v>38.17</v>
          </cell>
          <cell r="K573">
            <v>13210585.893000001</v>
          </cell>
          <cell r="L573">
            <v>453248.80326100002</v>
          </cell>
          <cell r="M573">
            <v>37770.73360508334</v>
          </cell>
          <cell r="N573">
            <v>7048349.6057360005</v>
          </cell>
          <cell r="O573">
            <v>6964893.3044349998</v>
          </cell>
          <cell r="P573">
            <v>802657.0171709999</v>
          </cell>
          <cell r="Q573">
            <v>37770.73360508334</v>
          </cell>
          <cell r="R573">
            <v>45000</v>
          </cell>
        </row>
        <row r="574">
          <cell r="A574">
            <v>2002</v>
          </cell>
          <cell r="B574">
            <v>0</v>
          </cell>
          <cell r="F574" t="str">
            <v>ЖЭУ</v>
          </cell>
        </row>
        <row r="575">
          <cell r="C575" t="str">
            <v>ЗДАНИЕ</v>
          </cell>
        </row>
        <row r="576">
          <cell r="A576">
            <v>2002</v>
          </cell>
          <cell r="B576">
            <v>0</v>
          </cell>
          <cell r="C576" t="str">
            <v>Вагончики</v>
          </cell>
          <cell r="F576">
            <v>1994</v>
          </cell>
          <cell r="G576">
            <v>10010</v>
          </cell>
          <cell r="H576">
            <v>12.5</v>
          </cell>
          <cell r="K576">
            <v>1418.5999999999995</v>
          </cell>
          <cell r="L576">
            <v>177.32499999999993</v>
          </cell>
          <cell r="M576">
            <v>0</v>
          </cell>
          <cell r="N576">
            <v>1418.5999999999995</v>
          </cell>
          <cell r="O576">
            <v>0</v>
          </cell>
          <cell r="P576">
            <v>0</v>
          </cell>
          <cell r="Q576">
            <v>0</v>
          </cell>
        </row>
        <row r="577">
          <cell r="A577">
            <v>2002</v>
          </cell>
          <cell r="B577">
            <v>0</v>
          </cell>
          <cell r="C577" t="str">
            <v>Контора ОКИИС</v>
          </cell>
          <cell r="F577">
            <v>1971</v>
          </cell>
          <cell r="G577">
            <v>10005</v>
          </cell>
          <cell r="H577">
            <v>5</v>
          </cell>
          <cell r="I577">
            <v>43295380</v>
          </cell>
          <cell r="J577">
            <v>1.23</v>
          </cell>
          <cell r="K577">
            <v>53253.317000000003</v>
          </cell>
          <cell r="L577">
            <v>0</v>
          </cell>
          <cell r="M577">
            <v>0</v>
          </cell>
          <cell r="N577">
            <v>82542.641350000005</v>
          </cell>
          <cell r="O577">
            <v>0</v>
          </cell>
          <cell r="P577">
            <v>29289.324350000003</v>
          </cell>
          <cell r="Q577">
            <v>0</v>
          </cell>
        </row>
        <row r="578">
          <cell r="A578">
            <v>2002</v>
          </cell>
          <cell r="B578">
            <v>0</v>
          </cell>
          <cell r="C578" t="str">
            <v>ИТОГО</v>
          </cell>
          <cell r="F578" t="str">
            <v>Здание.</v>
          </cell>
          <cell r="I578">
            <v>243266146</v>
          </cell>
          <cell r="J578">
            <v>6.45</v>
          </cell>
          <cell r="K578">
            <v>54671.917000000001</v>
          </cell>
          <cell r="L578">
            <v>177.32499999999993</v>
          </cell>
          <cell r="M578">
            <v>0</v>
          </cell>
          <cell r="N578">
            <v>83961.241350000011</v>
          </cell>
          <cell r="O578">
            <v>0</v>
          </cell>
          <cell r="P578">
            <v>29289.324350000003</v>
          </cell>
          <cell r="Q578">
            <v>0</v>
          </cell>
        </row>
        <row r="579">
          <cell r="A579">
            <v>2002</v>
          </cell>
          <cell r="B579">
            <v>0</v>
          </cell>
          <cell r="C579" t="str">
            <v>МАШИНЫ И ОБОРУДОВАНИЕ</v>
          </cell>
          <cell r="J579" t="str">
            <v/>
          </cell>
        </row>
        <row r="580">
          <cell r="A580">
            <v>2002</v>
          </cell>
          <cell r="B580">
            <v>0</v>
          </cell>
          <cell r="C580" t="str">
            <v>Газ. оборудов. с/х Пугачевский</v>
          </cell>
          <cell r="F580">
            <v>2001</v>
          </cell>
          <cell r="H580">
            <v>12.5</v>
          </cell>
          <cell r="K580">
            <v>32800</v>
          </cell>
          <cell r="L580">
            <v>4100</v>
          </cell>
          <cell r="M580">
            <v>341.66666666666669</v>
          </cell>
          <cell r="N580">
            <v>4100</v>
          </cell>
          <cell r="O580">
            <v>28700</v>
          </cell>
          <cell r="P580">
            <v>0</v>
          </cell>
          <cell r="Q580">
            <v>341.66666666666669</v>
          </cell>
        </row>
        <row r="581">
          <cell r="A581">
            <v>2002</v>
          </cell>
          <cell r="B581">
            <v>0</v>
          </cell>
          <cell r="C581" t="str">
            <v>Растворосмеситель</v>
          </cell>
          <cell r="F581">
            <v>1991</v>
          </cell>
          <cell r="G581">
            <v>42000</v>
          </cell>
          <cell r="H581">
            <v>12.5</v>
          </cell>
          <cell r="I581">
            <v>16437657</v>
          </cell>
          <cell r="J581">
            <v>1.61</v>
          </cell>
          <cell r="K581">
            <v>26464.628000000001</v>
          </cell>
          <cell r="L581">
            <v>0</v>
          </cell>
          <cell r="M581">
            <v>0</v>
          </cell>
          <cell r="N581">
            <v>36388.863500000007</v>
          </cell>
          <cell r="O581">
            <v>0</v>
          </cell>
          <cell r="P581">
            <v>9924.2355000000061</v>
          </cell>
          <cell r="Q581">
            <v>0</v>
          </cell>
        </row>
        <row r="582">
          <cell r="A582">
            <v>2002</v>
          </cell>
          <cell r="B582">
            <v>0</v>
          </cell>
          <cell r="C582" t="str">
            <v>эл. воздуш. нагреватель</v>
          </cell>
          <cell r="E582">
            <v>12</v>
          </cell>
          <cell r="F582">
            <v>2000</v>
          </cell>
          <cell r="G582">
            <v>40200</v>
          </cell>
          <cell r="H582">
            <v>6.6</v>
          </cell>
          <cell r="I582">
            <v>4000000</v>
          </cell>
          <cell r="J582">
            <v>1</v>
          </cell>
          <cell r="K582">
            <v>50000</v>
          </cell>
          <cell r="L582">
            <v>3300</v>
          </cell>
          <cell r="M582">
            <v>275</v>
          </cell>
          <cell r="N582">
            <v>6600</v>
          </cell>
          <cell r="O582">
            <v>43400</v>
          </cell>
          <cell r="P582">
            <v>0</v>
          </cell>
          <cell r="Q582">
            <v>275</v>
          </cell>
          <cell r="R582">
            <v>50000</v>
          </cell>
        </row>
        <row r="583">
          <cell r="A583">
            <v>2002</v>
          </cell>
          <cell r="B583">
            <v>0</v>
          </cell>
          <cell r="C583" t="str">
            <v>Сварочный агрегат</v>
          </cell>
          <cell r="F583">
            <v>1990</v>
          </cell>
          <cell r="G583">
            <v>40701</v>
          </cell>
          <cell r="H583">
            <v>4.4000000000000004</v>
          </cell>
          <cell r="I583">
            <v>4160930</v>
          </cell>
          <cell r="J583">
            <v>0.84</v>
          </cell>
          <cell r="K583">
            <v>3500</v>
          </cell>
          <cell r="L583">
            <v>154.00000000000003</v>
          </cell>
          <cell r="M583">
            <v>12.833333333333336</v>
          </cell>
          <cell r="N583">
            <v>1848.0000000000005</v>
          </cell>
          <cell r="O583">
            <v>1651.9999999999995</v>
          </cell>
          <cell r="P583">
            <v>0</v>
          </cell>
          <cell r="Q583">
            <v>12.833333333333336</v>
          </cell>
        </row>
        <row r="584">
          <cell r="A584">
            <v>2002</v>
          </cell>
          <cell r="B584">
            <v>0</v>
          </cell>
          <cell r="C584" t="str">
            <v>Станок Строгальный</v>
          </cell>
          <cell r="F584">
            <v>1974</v>
          </cell>
          <cell r="G584">
            <v>44502</v>
          </cell>
          <cell r="H584">
            <v>8.3000000000000007</v>
          </cell>
          <cell r="I584">
            <v>2011425</v>
          </cell>
          <cell r="J584">
            <v>0.85</v>
          </cell>
          <cell r="K584">
            <v>1709.711</v>
          </cell>
          <cell r="L584">
            <v>0</v>
          </cell>
          <cell r="M584">
            <v>0</v>
          </cell>
          <cell r="N584">
            <v>1709.711</v>
          </cell>
          <cell r="O584">
            <v>0</v>
          </cell>
          <cell r="P584">
            <v>0</v>
          </cell>
          <cell r="Q584">
            <v>0</v>
          </cell>
        </row>
        <row r="585">
          <cell r="A585">
            <v>2002</v>
          </cell>
          <cell r="B585">
            <v>0</v>
          </cell>
          <cell r="C585" t="str">
            <v>Газогенератор</v>
          </cell>
          <cell r="F585">
            <v>1994</v>
          </cell>
          <cell r="G585">
            <v>42509</v>
          </cell>
          <cell r="H585">
            <v>10</v>
          </cell>
          <cell r="I585">
            <v>1406227</v>
          </cell>
          <cell r="J585">
            <v>1.21</v>
          </cell>
          <cell r="K585">
            <v>1701.5350000000001</v>
          </cell>
          <cell r="L585">
            <v>170.15350000000001</v>
          </cell>
          <cell r="M585">
            <v>14.179458333333335</v>
          </cell>
          <cell r="N585">
            <v>1361.2280000000001</v>
          </cell>
          <cell r="O585">
            <v>340.30700000000002</v>
          </cell>
          <cell r="P585">
            <v>0</v>
          </cell>
          <cell r="Q585">
            <v>14.179458333333335</v>
          </cell>
        </row>
        <row r="586">
          <cell r="A586">
            <v>2002</v>
          </cell>
          <cell r="B586">
            <v>0</v>
          </cell>
          <cell r="C586" t="str">
            <v>Станок Фуговальный</v>
          </cell>
          <cell r="F586">
            <v>1978</v>
          </cell>
          <cell r="G586">
            <v>44502</v>
          </cell>
          <cell r="H586">
            <v>8.3000000000000007</v>
          </cell>
          <cell r="I586">
            <v>8563538</v>
          </cell>
          <cell r="J586">
            <v>0.85</v>
          </cell>
          <cell r="K586">
            <v>7279.0069999999996</v>
          </cell>
          <cell r="L586">
            <v>0</v>
          </cell>
          <cell r="M586">
            <v>0</v>
          </cell>
          <cell r="N586">
            <v>7279.0069999999996</v>
          </cell>
          <cell r="O586">
            <v>0</v>
          </cell>
          <cell r="P586">
            <v>0</v>
          </cell>
          <cell r="Q586">
            <v>0</v>
          </cell>
        </row>
        <row r="587">
          <cell r="A587">
            <v>2002</v>
          </cell>
          <cell r="B587">
            <v>0</v>
          </cell>
          <cell r="C587" t="str">
            <v>ГазоцетиленовыйГенерат.</v>
          </cell>
          <cell r="F587">
            <v>1992</v>
          </cell>
          <cell r="G587">
            <v>42509</v>
          </cell>
          <cell r="H587">
            <v>10</v>
          </cell>
          <cell r="I587">
            <v>1092649</v>
          </cell>
          <cell r="J587">
            <v>1.21</v>
          </cell>
          <cell r="K587">
            <v>1322.105</v>
          </cell>
          <cell r="L587">
            <v>132.2105</v>
          </cell>
          <cell r="M587">
            <v>0</v>
          </cell>
          <cell r="N587">
            <v>1322.105</v>
          </cell>
          <cell r="O587">
            <v>0</v>
          </cell>
          <cell r="P587">
            <v>0</v>
          </cell>
          <cell r="Q587">
            <v>0</v>
          </cell>
        </row>
        <row r="588">
          <cell r="A588">
            <v>2002</v>
          </cell>
          <cell r="B588">
            <v>0</v>
          </cell>
          <cell r="C588" t="str">
            <v>Станок Сверлильный</v>
          </cell>
          <cell r="F588">
            <v>1993</v>
          </cell>
          <cell r="G588">
            <v>44502</v>
          </cell>
          <cell r="H588">
            <v>8.3000000000000007</v>
          </cell>
          <cell r="I588">
            <v>787201</v>
          </cell>
          <cell r="J588">
            <v>1.41</v>
          </cell>
          <cell r="K588">
            <v>1109.953</v>
          </cell>
          <cell r="L588">
            <v>92.126099000000011</v>
          </cell>
          <cell r="M588">
            <v>7.6771749166666678</v>
          </cell>
          <cell r="N588">
            <v>829.13489100000015</v>
          </cell>
          <cell r="O588">
            <v>280.81810899999982</v>
          </cell>
          <cell r="P588">
            <v>0</v>
          </cell>
          <cell r="Q588">
            <v>7.6771749166666678</v>
          </cell>
        </row>
        <row r="589">
          <cell r="A589">
            <v>2002</v>
          </cell>
          <cell r="B589">
            <v>0</v>
          </cell>
          <cell r="C589" t="str">
            <v>Емкость Металич.</v>
          </cell>
          <cell r="F589">
            <v>1995</v>
          </cell>
          <cell r="G589">
            <v>42910</v>
          </cell>
          <cell r="H589">
            <v>5</v>
          </cell>
          <cell r="I589">
            <v>3600000</v>
          </cell>
          <cell r="J589">
            <v>1.21</v>
          </cell>
          <cell r="K589">
            <v>4356</v>
          </cell>
          <cell r="L589">
            <v>217.8</v>
          </cell>
          <cell r="M589">
            <v>18.150000000000002</v>
          </cell>
          <cell r="N589">
            <v>1524.6000000000001</v>
          </cell>
          <cell r="O589">
            <v>2831.3999999999996</v>
          </cell>
          <cell r="P589">
            <v>0</v>
          </cell>
          <cell r="Q589">
            <v>18.150000000000002</v>
          </cell>
        </row>
        <row r="590">
          <cell r="A590">
            <v>2002</v>
          </cell>
          <cell r="B590">
            <v>0</v>
          </cell>
          <cell r="C590" t="str">
            <v>Станок Деревообраб.</v>
          </cell>
          <cell r="F590">
            <v>1996</v>
          </cell>
          <cell r="G590">
            <v>44502</v>
          </cell>
          <cell r="H590">
            <v>8.3000000000000007</v>
          </cell>
          <cell r="I590">
            <v>18170832</v>
          </cell>
          <cell r="J590">
            <v>1.41</v>
          </cell>
          <cell r="K590">
            <v>25620.87312</v>
          </cell>
          <cell r="L590">
            <v>2126.5324689600002</v>
          </cell>
          <cell r="M590">
            <v>177.21103908000001</v>
          </cell>
          <cell r="N590">
            <v>12759.194813760001</v>
          </cell>
          <cell r="O590">
            <v>12861.678306239999</v>
          </cell>
          <cell r="P590">
            <v>0</v>
          </cell>
          <cell r="Q590">
            <v>177.21103908000001</v>
          </cell>
        </row>
        <row r="591">
          <cell r="A591">
            <v>2002</v>
          </cell>
          <cell r="B591">
            <v>0</v>
          </cell>
          <cell r="C591" t="str">
            <v>ИТОГО</v>
          </cell>
          <cell r="F591" t="str">
            <v>МАШИНЫ И ОБОРУДОВАНИЕ</v>
          </cell>
          <cell r="I591">
            <v>41631415</v>
          </cell>
          <cell r="J591">
            <v>10.49</v>
          </cell>
          <cell r="K591">
            <v>155863.81211999999</v>
          </cell>
          <cell r="L591">
            <v>10292.82256796</v>
          </cell>
          <cell r="M591">
            <v>846.71767233000003</v>
          </cell>
          <cell r="N591">
            <v>75721.844204760011</v>
          </cell>
          <cell r="O591">
            <v>90066.203415239986</v>
          </cell>
          <cell r="P591">
            <v>9924.2355000000061</v>
          </cell>
          <cell r="Q591">
            <v>846.71767233000003</v>
          </cell>
        </row>
        <row r="592">
          <cell r="A592">
            <v>2002</v>
          </cell>
          <cell r="B592">
            <v>0</v>
          </cell>
          <cell r="C592" t="str">
            <v>ИТОГО</v>
          </cell>
          <cell r="F592" t="str">
            <v>по ЖЭУ</v>
          </cell>
          <cell r="K592">
            <v>210535.72911999997</v>
          </cell>
          <cell r="L592">
            <v>10470.147567960001</v>
          </cell>
          <cell r="M592">
            <v>846.71767233000003</v>
          </cell>
          <cell r="N592">
            <v>159683.08555476001</v>
          </cell>
          <cell r="O592">
            <v>90066.203415239986</v>
          </cell>
          <cell r="P592">
            <v>39213.559850000005</v>
          </cell>
          <cell r="Q592">
            <v>846.71767233000003</v>
          </cell>
        </row>
        <row r="593">
          <cell r="A593">
            <v>2002</v>
          </cell>
          <cell r="B593">
            <v>0</v>
          </cell>
          <cell r="F593" t="str">
            <v>БАЗА Спец. АТХ</v>
          </cell>
        </row>
        <row r="594">
          <cell r="C594" t="str">
            <v>ЗДАНИЕ</v>
          </cell>
        </row>
        <row r="595">
          <cell r="A595">
            <v>2002</v>
          </cell>
          <cell r="B595">
            <v>0</v>
          </cell>
          <cell r="C595" t="str">
            <v>мастерская 1</v>
          </cell>
          <cell r="F595">
            <v>1995</v>
          </cell>
          <cell r="G595">
            <v>10002</v>
          </cell>
          <cell r="H595">
            <v>1.2</v>
          </cell>
          <cell r="I595">
            <v>431662411</v>
          </cell>
          <cell r="J595">
            <v>1.08</v>
          </cell>
          <cell r="K595">
            <v>468228.21500000003</v>
          </cell>
          <cell r="L595">
            <v>5618.7385800000002</v>
          </cell>
          <cell r="M595">
            <v>468.22821500000003</v>
          </cell>
          <cell r="N595">
            <v>39331.170060000004</v>
          </cell>
          <cell r="O595">
            <v>428897.04494000005</v>
          </cell>
          <cell r="P595">
            <v>0</v>
          </cell>
          <cell r="Q595">
            <v>468.22821500000003</v>
          </cell>
        </row>
        <row r="596">
          <cell r="A596">
            <v>2002</v>
          </cell>
          <cell r="B596">
            <v>0</v>
          </cell>
          <cell r="C596" t="str">
            <v>диспетчерская</v>
          </cell>
          <cell r="F596">
            <v>1995</v>
          </cell>
          <cell r="G596">
            <v>10002</v>
          </cell>
          <cell r="H596">
            <v>1.2</v>
          </cell>
          <cell r="I596">
            <v>11720503</v>
          </cell>
          <cell r="J596">
            <v>1.39</v>
          </cell>
          <cell r="K596">
            <v>20724.048999999999</v>
          </cell>
          <cell r="L596">
            <v>248.68858799999998</v>
          </cell>
          <cell r="M596">
            <v>20.724048999999997</v>
          </cell>
          <cell r="N596">
            <v>1740.8201159999999</v>
          </cell>
          <cell r="O596">
            <v>18983.228884</v>
          </cell>
          <cell r="P596">
            <v>0</v>
          </cell>
          <cell r="Q596">
            <v>20.724048999999997</v>
          </cell>
          <cell r="R596">
            <v>4432.55</v>
          </cell>
        </row>
        <row r="597">
          <cell r="A597">
            <v>2002</v>
          </cell>
          <cell r="B597">
            <v>0</v>
          </cell>
          <cell r="C597" t="str">
            <v>Склад зап.частей</v>
          </cell>
          <cell r="F597">
            <v>1995</v>
          </cell>
          <cell r="G597">
            <v>10002</v>
          </cell>
          <cell r="H597">
            <v>1.2</v>
          </cell>
          <cell r="I597">
            <v>7146506</v>
          </cell>
          <cell r="J597">
            <v>1.39</v>
          </cell>
          <cell r="K597">
            <v>9993.64</v>
          </cell>
          <cell r="L597">
            <v>119.92367999999999</v>
          </cell>
          <cell r="M597">
            <v>9.9936399999999992</v>
          </cell>
          <cell r="N597">
            <v>839.46575999999993</v>
          </cell>
          <cell r="O597">
            <v>9154.1742400000003</v>
          </cell>
          <cell r="P597">
            <v>0</v>
          </cell>
          <cell r="Q597">
            <v>9.9936399999999992</v>
          </cell>
        </row>
        <row r="598">
          <cell r="A598">
            <v>2002</v>
          </cell>
          <cell r="B598">
            <v>0</v>
          </cell>
          <cell r="C598" t="str">
            <v>Мастерская 2</v>
          </cell>
          <cell r="F598">
            <v>1995</v>
          </cell>
          <cell r="G598">
            <v>10002</v>
          </cell>
          <cell r="H598">
            <v>1.2</v>
          </cell>
          <cell r="I598">
            <v>122952073</v>
          </cell>
          <cell r="J598">
            <v>1.39</v>
          </cell>
          <cell r="K598">
            <v>170903.38099999999</v>
          </cell>
          <cell r="L598">
            <v>2050.8405719999996</v>
          </cell>
          <cell r="M598">
            <v>170.90338099999997</v>
          </cell>
          <cell r="N598">
            <v>14355.884003999998</v>
          </cell>
          <cell r="O598">
            <v>156547.496996</v>
          </cell>
          <cell r="P598">
            <v>0</v>
          </cell>
          <cell r="Q598">
            <v>170.90338099999997</v>
          </cell>
        </row>
        <row r="599">
          <cell r="A599">
            <v>2002</v>
          </cell>
          <cell r="B599">
            <v>0</v>
          </cell>
          <cell r="C599" t="str">
            <v>ИТОГО</v>
          </cell>
          <cell r="F599" t="str">
            <v>Здание.</v>
          </cell>
          <cell r="I599">
            <v>576670404</v>
          </cell>
          <cell r="J599">
            <v>6.64</v>
          </cell>
          <cell r="K599">
            <v>669849.28500000003</v>
          </cell>
          <cell r="L599">
            <v>8038.1914199999992</v>
          </cell>
          <cell r="M599">
            <v>669.84928500000001</v>
          </cell>
          <cell r="N599">
            <v>56267.339940000005</v>
          </cell>
          <cell r="O599">
            <v>0</v>
          </cell>
          <cell r="P599">
            <v>0</v>
          </cell>
          <cell r="Q599">
            <v>669.84928500000001</v>
          </cell>
        </row>
        <row r="600">
          <cell r="A600">
            <v>2002</v>
          </cell>
          <cell r="B600">
            <v>0</v>
          </cell>
          <cell r="C600" t="str">
            <v>Сооружения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>
            <v>2002</v>
          </cell>
          <cell r="B601">
            <v>0</v>
          </cell>
          <cell r="C601" t="str">
            <v>Благ- во територ.</v>
          </cell>
          <cell r="F601">
            <v>1995</v>
          </cell>
          <cell r="G601">
            <v>20223</v>
          </cell>
          <cell r="H601">
            <v>3.2</v>
          </cell>
          <cell r="I601">
            <v>93588952</v>
          </cell>
          <cell r="J601">
            <v>1.08</v>
          </cell>
          <cell r="K601">
            <v>101076.06816</v>
          </cell>
          <cell r="L601">
            <v>3234.4341811199997</v>
          </cell>
          <cell r="M601">
            <v>269.53618175999998</v>
          </cell>
          <cell r="N601">
            <v>22641.039267839999</v>
          </cell>
          <cell r="O601">
            <v>78435.02889216</v>
          </cell>
          <cell r="P601">
            <v>0</v>
          </cell>
          <cell r="Q601">
            <v>269.53618175999998</v>
          </cell>
        </row>
        <row r="602">
          <cell r="A602">
            <v>2002</v>
          </cell>
          <cell r="B602">
            <v>0</v>
          </cell>
          <cell r="C602" t="str">
            <v>ИТОГО</v>
          </cell>
          <cell r="F602" t="str">
            <v>СООРУЖЕНИЯ</v>
          </cell>
          <cell r="I602">
            <v>93588952</v>
          </cell>
          <cell r="J602">
            <v>1.08</v>
          </cell>
          <cell r="K602">
            <v>101076.06816</v>
          </cell>
          <cell r="L602">
            <v>3234.4341811199997</v>
          </cell>
          <cell r="M602">
            <v>269.53618175999998</v>
          </cell>
          <cell r="N602">
            <v>22641.039267839999</v>
          </cell>
          <cell r="O602">
            <v>0</v>
          </cell>
          <cell r="P602">
            <v>0</v>
          </cell>
          <cell r="Q602">
            <v>269.53618175999998</v>
          </cell>
        </row>
        <row r="603">
          <cell r="A603">
            <v>2002</v>
          </cell>
          <cell r="B603">
            <v>0</v>
          </cell>
          <cell r="C603" t="str">
            <v>ИТОГО</v>
          </cell>
          <cell r="F603" t="str">
            <v>по базе Спец АТХ</v>
          </cell>
          <cell r="I603">
            <v>1732520758</v>
          </cell>
          <cell r="J603">
            <v>49.16</v>
          </cell>
          <cell r="K603">
            <v>770925.35316000006</v>
          </cell>
          <cell r="L603">
            <v>11272.625601119998</v>
          </cell>
          <cell r="M603">
            <v>939.38546675999999</v>
          </cell>
          <cell r="N603">
            <v>78908.37920784</v>
          </cell>
          <cell r="O603">
            <v>0</v>
          </cell>
          <cell r="P603">
            <v>0</v>
          </cell>
          <cell r="Q603">
            <v>939.38546675999999</v>
          </cell>
        </row>
        <row r="604">
          <cell r="A604">
            <v>2002</v>
          </cell>
          <cell r="B604">
            <v>0</v>
          </cell>
          <cell r="F604" t="str">
            <v>СЕНИЦА</v>
          </cell>
        </row>
        <row r="605">
          <cell r="A605">
            <v>2002</v>
          </cell>
          <cell r="B605">
            <v>0</v>
          </cell>
          <cell r="C605" t="str">
            <v>ЗДАНИЯ</v>
          </cell>
          <cell r="N605" t="str">
            <v xml:space="preserve"> </v>
          </cell>
        </row>
        <row r="606">
          <cell r="A606">
            <v>2002</v>
          </cell>
          <cell r="B606">
            <v>0</v>
          </cell>
          <cell r="C606" t="str">
            <v>ГРП КОтельн.</v>
          </cell>
          <cell r="F606">
            <v>1991</v>
          </cell>
          <cell r="G606">
            <v>10001</v>
          </cell>
          <cell r="H606">
            <v>1</v>
          </cell>
          <cell r="I606">
            <v>203434784</v>
          </cell>
          <cell r="J606">
            <v>0.44</v>
          </cell>
          <cell r="K606">
            <v>89814.960999999996</v>
          </cell>
          <cell r="L606">
            <v>898.14960999999994</v>
          </cell>
          <cell r="M606">
            <v>74.845800833333328</v>
          </cell>
          <cell r="N606">
            <v>9879.6457099999989</v>
          </cell>
          <cell r="O606">
            <v>79935.315289999999</v>
          </cell>
          <cell r="P606">
            <v>0</v>
          </cell>
          <cell r="Q606">
            <v>74.845800833333328</v>
          </cell>
        </row>
        <row r="607">
          <cell r="A607">
            <v>2002</v>
          </cell>
          <cell r="B607">
            <v>0</v>
          </cell>
          <cell r="C607" t="str">
            <v>Здание Кот. Сенницы</v>
          </cell>
          <cell r="F607">
            <v>1991</v>
          </cell>
          <cell r="G607">
            <v>10003</v>
          </cell>
          <cell r="H607">
            <v>1.7</v>
          </cell>
          <cell r="I607">
            <v>3010893948</v>
          </cell>
          <cell r="J607">
            <v>0.5</v>
          </cell>
          <cell r="K607">
            <v>1500729.33</v>
          </cell>
          <cell r="L607">
            <v>25512.39861</v>
          </cell>
          <cell r="M607">
            <v>2126.0332174999999</v>
          </cell>
          <cell r="N607">
            <v>280636.38471000001</v>
          </cell>
          <cell r="O607">
            <v>1220092.9452900002</v>
          </cell>
          <cell r="P607">
            <v>0</v>
          </cell>
          <cell r="Q607">
            <v>2126.0332174999999</v>
          </cell>
        </row>
        <row r="608">
          <cell r="A608">
            <v>2002</v>
          </cell>
          <cell r="B608">
            <v>0</v>
          </cell>
          <cell r="C608" t="str">
            <v>Мазутонасосная</v>
          </cell>
          <cell r="F608">
            <v>1991</v>
          </cell>
          <cell r="G608">
            <v>10004</v>
          </cell>
          <cell r="H608">
            <v>2.5</v>
          </cell>
          <cell r="I608">
            <v>169059072</v>
          </cell>
          <cell r="J608">
            <v>0.76</v>
          </cell>
          <cell r="K608">
            <v>127801.268</v>
          </cell>
          <cell r="L608">
            <v>3195.0317</v>
          </cell>
          <cell r="M608">
            <v>266.25264166666665</v>
          </cell>
          <cell r="N608">
            <v>35145.348700000002</v>
          </cell>
          <cell r="O608">
            <v>92655.919299999994</v>
          </cell>
          <cell r="P608">
            <v>0</v>
          </cell>
          <cell r="Q608">
            <v>266.25264166666665</v>
          </cell>
        </row>
        <row r="609">
          <cell r="A609">
            <v>2002</v>
          </cell>
          <cell r="B609">
            <v>0</v>
          </cell>
          <cell r="C609" t="str">
            <v>ИТОГО</v>
          </cell>
          <cell r="I609">
            <v>3383387804</v>
          </cell>
          <cell r="J609">
            <v>1.7</v>
          </cell>
          <cell r="K609">
            <v>1718345.5589999999</v>
          </cell>
          <cell r="L609">
            <v>29605.57992</v>
          </cell>
          <cell r="M609">
            <v>2467.1316599999996</v>
          </cell>
          <cell r="N609">
            <v>325661.37912000006</v>
          </cell>
          <cell r="O609">
            <v>1392684.1798800002</v>
          </cell>
          <cell r="P609">
            <v>0</v>
          </cell>
          <cell r="Q609">
            <v>2467.1316599999996</v>
          </cell>
        </row>
        <row r="610">
          <cell r="A610">
            <v>2002</v>
          </cell>
          <cell r="B610">
            <v>0</v>
          </cell>
          <cell r="C610" t="str">
            <v>МАШИНЫ И ОБОРУДОВАНИЕ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</row>
        <row r="611">
          <cell r="A611">
            <v>2002</v>
          </cell>
          <cell r="B611">
            <v>0</v>
          </cell>
          <cell r="C611" t="str">
            <v>Водонагреватель</v>
          </cell>
          <cell r="F611">
            <v>1991</v>
          </cell>
          <cell r="G611">
            <v>40000</v>
          </cell>
          <cell r="H611">
            <v>3.7</v>
          </cell>
          <cell r="I611">
            <v>20576132</v>
          </cell>
          <cell r="J611">
            <v>0.44</v>
          </cell>
          <cell r="K611">
            <v>9000</v>
          </cell>
          <cell r="L611">
            <v>333</v>
          </cell>
          <cell r="M611">
            <v>27.75</v>
          </cell>
          <cell r="N611">
            <v>3663</v>
          </cell>
          <cell r="O611">
            <v>5337</v>
          </cell>
          <cell r="P611">
            <v>0</v>
          </cell>
          <cell r="Q611">
            <v>27.75</v>
          </cell>
        </row>
        <row r="612">
          <cell r="A612">
            <v>2002</v>
          </cell>
          <cell r="C612" t="str">
            <v>Блок химводочистки</v>
          </cell>
          <cell r="F612">
            <v>1991</v>
          </cell>
          <cell r="G612">
            <v>40000</v>
          </cell>
          <cell r="H612">
            <v>3.7</v>
          </cell>
          <cell r="K612">
            <v>21249</v>
          </cell>
          <cell r="L612">
            <v>786.21300000000008</v>
          </cell>
          <cell r="M612">
            <v>65.517750000000007</v>
          </cell>
          <cell r="N612">
            <v>8648.3430000000008</v>
          </cell>
          <cell r="O612">
            <v>12600.656999999999</v>
          </cell>
          <cell r="P612">
            <v>0</v>
          </cell>
          <cell r="Q612">
            <v>65.517750000000007</v>
          </cell>
        </row>
        <row r="613">
          <cell r="A613">
            <v>2002</v>
          </cell>
          <cell r="C613" t="str">
            <v>Дистилятор</v>
          </cell>
          <cell r="F613">
            <v>1991</v>
          </cell>
          <cell r="G613">
            <v>40000</v>
          </cell>
          <cell r="H613">
            <v>3.7</v>
          </cell>
          <cell r="K613">
            <v>8825</v>
          </cell>
          <cell r="L613">
            <v>326.52499999999998</v>
          </cell>
          <cell r="M613">
            <v>27.210416666666664</v>
          </cell>
          <cell r="N613">
            <v>3591.7749999999996</v>
          </cell>
          <cell r="O613">
            <v>5233.2250000000004</v>
          </cell>
          <cell r="P613">
            <v>0</v>
          </cell>
          <cell r="Q613">
            <v>27.210416666666664</v>
          </cell>
        </row>
        <row r="614">
          <cell r="A614">
            <v>2002</v>
          </cell>
          <cell r="C614" t="str">
            <v>Деерационная кол</v>
          </cell>
          <cell r="F614">
            <v>1991</v>
          </cell>
          <cell r="G614">
            <v>40000</v>
          </cell>
          <cell r="H614">
            <v>3.7</v>
          </cell>
          <cell r="K614">
            <v>7464</v>
          </cell>
          <cell r="L614">
            <v>276.16800000000001</v>
          </cell>
          <cell r="M614">
            <v>23.013999999999999</v>
          </cell>
          <cell r="N614">
            <v>3037.848</v>
          </cell>
          <cell r="O614">
            <v>4426.152</v>
          </cell>
          <cell r="P614">
            <v>0</v>
          </cell>
          <cell r="Q614">
            <v>23.013999999999999</v>
          </cell>
        </row>
        <row r="615">
          <cell r="A615">
            <v>2002</v>
          </cell>
          <cell r="C615" t="str">
            <v>Водонагреватель</v>
          </cell>
          <cell r="F615">
            <v>1991</v>
          </cell>
          <cell r="G615">
            <v>40000</v>
          </cell>
          <cell r="H615">
            <v>3.7</v>
          </cell>
          <cell r="K615">
            <v>22230</v>
          </cell>
          <cell r="L615">
            <v>822.51</v>
          </cell>
          <cell r="M615">
            <v>68.542500000000004</v>
          </cell>
          <cell r="N615">
            <v>9047.61</v>
          </cell>
          <cell r="O615">
            <v>13182.39</v>
          </cell>
          <cell r="P615">
            <v>0</v>
          </cell>
          <cell r="Q615">
            <v>68.542500000000004</v>
          </cell>
        </row>
        <row r="616">
          <cell r="A616">
            <v>2002</v>
          </cell>
          <cell r="C616" t="str">
            <v>Металорезка</v>
          </cell>
          <cell r="F616">
            <v>1994</v>
          </cell>
          <cell r="G616">
            <v>49000</v>
          </cell>
          <cell r="H616">
            <v>12.5</v>
          </cell>
          <cell r="K616">
            <v>3302</v>
          </cell>
          <cell r="L616">
            <v>412.75</v>
          </cell>
          <cell r="M616">
            <v>0</v>
          </cell>
          <cell r="N616">
            <v>3302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2002</v>
          </cell>
          <cell r="C617" t="str">
            <v>Насос КНЦ</v>
          </cell>
          <cell r="F617">
            <v>1994</v>
          </cell>
          <cell r="G617">
            <v>41502</v>
          </cell>
          <cell r="H617">
            <v>12.5</v>
          </cell>
          <cell r="K617">
            <v>1613</v>
          </cell>
          <cell r="L617">
            <v>201.625</v>
          </cell>
          <cell r="M617">
            <v>0</v>
          </cell>
          <cell r="N617">
            <v>1613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2002</v>
          </cell>
          <cell r="C618" t="str">
            <v>Насос МНД</v>
          </cell>
          <cell r="F618">
            <v>1994</v>
          </cell>
          <cell r="G618">
            <v>41502</v>
          </cell>
          <cell r="H618">
            <v>12.5</v>
          </cell>
          <cell r="K618">
            <v>4562</v>
          </cell>
          <cell r="L618">
            <v>570.25</v>
          </cell>
          <cell r="M618">
            <v>0</v>
          </cell>
          <cell r="N618">
            <v>4562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2002</v>
          </cell>
          <cell r="C619" t="str">
            <v>Насос химводочистки</v>
          </cell>
          <cell r="F619">
            <v>1994</v>
          </cell>
          <cell r="G619">
            <v>41502</v>
          </cell>
          <cell r="H619">
            <v>12.5</v>
          </cell>
          <cell r="K619">
            <v>3431</v>
          </cell>
          <cell r="L619">
            <v>428.875</v>
          </cell>
          <cell r="M619">
            <v>0</v>
          </cell>
          <cell r="N619">
            <v>3431</v>
          </cell>
          <cell r="O619">
            <v>0</v>
          </cell>
          <cell r="P619">
            <v>0</v>
          </cell>
          <cell r="Q619">
            <v>0</v>
          </cell>
        </row>
        <row r="620">
          <cell r="A620">
            <v>2002</v>
          </cell>
          <cell r="C620" t="str">
            <v>Насос к элелтроматору</v>
          </cell>
          <cell r="F620">
            <v>1994</v>
          </cell>
          <cell r="G620">
            <v>41502</v>
          </cell>
          <cell r="H620">
            <v>12.5</v>
          </cell>
          <cell r="K620">
            <v>1750</v>
          </cell>
          <cell r="L620">
            <v>218.75</v>
          </cell>
          <cell r="M620">
            <v>0</v>
          </cell>
          <cell r="N620">
            <v>1750</v>
          </cell>
          <cell r="O620">
            <v>0</v>
          </cell>
          <cell r="P620">
            <v>0</v>
          </cell>
          <cell r="Q620">
            <v>0</v>
          </cell>
        </row>
        <row r="621">
          <cell r="A621">
            <v>2002</v>
          </cell>
          <cell r="C621" t="str">
            <v>Трансформатор</v>
          </cell>
          <cell r="F621">
            <v>1992</v>
          </cell>
          <cell r="G621">
            <v>40717</v>
          </cell>
          <cell r="H621">
            <v>10</v>
          </cell>
          <cell r="K621">
            <v>1085</v>
          </cell>
          <cell r="L621">
            <v>108.5</v>
          </cell>
          <cell r="M621">
            <v>0</v>
          </cell>
          <cell r="N621">
            <v>1085</v>
          </cell>
          <cell r="O621">
            <v>0</v>
          </cell>
          <cell r="P621">
            <v>0</v>
          </cell>
          <cell r="Q621">
            <v>0</v>
          </cell>
        </row>
        <row r="622">
          <cell r="A622">
            <v>2002</v>
          </cell>
          <cell r="C622" t="str">
            <v>Шкаф ТРП</v>
          </cell>
          <cell r="F622">
            <v>1994</v>
          </cell>
          <cell r="G622">
            <v>49020</v>
          </cell>
          <cell r="H622">
            <v>5</v>
          </cell>
          <cell r="K622">
            <v>6146</v>
          </cell>
          <cell r="L622">
            <v>307.3</v>
          </cell>
          <cell r="M622">
            <v>25.608333333333334</v>
          </cell>
          <cell r="N622">
            <v>2458.4</v>
          </cell>
          <cell r="O622">
            <v>3687.6</v>
          </cell>
          <cell r="P622">
            <v>0</v>
          </cell>
          <cell r="Q622">
            <v>25.608333333333334</v>
          </cell>
        </row>
        <row r="623">
          <cell r="A623">
            <v>2002</v>
          </cell>
          <cell r="C623" t="str">
            <v>Сигнализатор</v>
          </cell>
          <cell r="F623">
            <v>1998</v>
          </cell>
          <cell r="H623">
            <v>25</v>
          </cell>
          <cell r="K623">
            <v>4340</v>
          </cell>
          <cell r="L623">
            <v>1085</v>
          </cell>
          <cell r="M623">
            <v>0</v>
          </cell>
          <cell r="N623">
            <v>4340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>
            <v>2002</v>
          </cell>
          <cell r="B624">
            <v>0</v>
          </cell>
          <cell r="C624" t="str">
            <v>Водонагреватель</v>
          </cell>
          <cell r="F624">
            <v>1996</v>
          </cell>
          <cell r="G624">
            <v>40002</v>
          </cell>
          <cell r="H624">
            <v>3.7</v>
          </cell>
          <cell r="I624">
            <v>99166669</v>
          </cell>
          <cell r="J624">
            <v>0.42</v>
          </cell>
          <cell r="K624">
            <v>42000</v>
          </cell>
          <cell r="L624">
            <v>1554</v>
          </cell>
          <cell r="M624">
            <v>129.5</v>
          </cell>
          <cell r="N624">
            <v>9324</v>
          </cell>
          <cell r="O624">
            <v>32676</v>
          </cell>
          <cell r="P624">
            <v>0</v>
          </cell>
          <cell r="Q624">
            <v>129.5</v>
          </cell>
        </row>
        <row r="625">
          <cell r="A625">
            <v>2002</v>
          </cell>
          <cell r="B625">
            <v>0</v>
          </cell>
          <cell r="C625" t="str">
            <v>Котел</v>
          </cell>
          <cell r="F625">
            <v>1996</v>
          </cell>
          <cell r="G625">
            <v>40002</v>
          </cell>
          <cell r="H625">
            <v>5</v>
          </cell>
          <cell r="I625">
            <v>191666667</v>
          </cell>
          <cell r="J625">
            <v>0.78</v>
          </cell>
          <cell r="K625">
            <v>150000</v>
          </cell>
          <cell r="L625">
            <v>7500</v>
          </cell>
          <cell r="M625">
            <v>625</v>
          </cell>
          <cell r="N625">
            <v>45000</v>
          </cell>
          <cell r="O625">
            <v>105000</v>
          </cell>
          <cell r="P625">
            <v>0</v>
          </cell>
          <cell r="Q625">
            <v>625</v>
          </cell>
        </row>
        <row r="626">
          <cell r="A626">
            <v>2002</v>
          </cell>
          <cell r="B626">
            <v>0</v>
          </cell>
          <cell r="C626" t="str">
            <v>ПриборыКСУ-2</v>
          </cell>
          <cell r="F626">
            <v>1990</v>
          </cell>
          <cell r="G626">
            <v>43807</v>
          </cell>
          <cell r="H626">
            <v>25</v>
          </cell>
          <cell r="I626">
            <v>18503149</v>
          </cell>
          <cell r="J626">
            <v>1.17</v>
          </cell>
          <cell r="K626">
            <v>21648.684000000001</v>
          </cell>
          <cell r="L626">
            <v>0</v>
          </cell>
          <cell r="M626">
            <v>0</v>
          </cell>
          <cell r="N626">
            <v>21648.684000000001</v>
          </cell>
          <cell r="O626">
            <v>0</v>
          </cell>
          <cell r="P626">
            <v>0</v>
          </cell>
          <cell r="Q626">
            <v>0</v>
          </cell>
        </row>
        <row r="627">
          <cell r="A627">
            <v>2002</v>
          </cell>
          <cell r="B627">
            <v>0</v>
          </cell>
          <cell r="C627" t="str">
            <v>Котел водогрейный КВГМ50-150</v>
          </cell>
          <cell r="E627">
            <v>8</v>
          </cell>
          <cell r="F627">
            <v>1998</v>
          </cell>
          <cell r="G627">
            <v>40002</v>
          </cell>
          <cell r="H627">
            <v>5</v>
          </cell>
          <cell r="I627" t="str">
            <v/>
          </cell>
          <cell r="K627">
            <v>208325</v>
          </cell>
          <cell r="L627">
            <v>10416.25</v>
          </cell>
          <cell r="M627">
            <v>868.02083333333337</v>
          </cell>
          <cell r="N627">
            <v>41665</v>
          </cell>
          <cell r="O627">
            <v>166660</v>
          </cell>
          <cell r="P627">
            <v>0</v>
          </cell>
          <cell r="Q627">
            <v>868.02083333333337</v>
          </cell>
        </row>
        <row r="628">
          <cell r="A628">
            <v>2002</v>
          </cell>
          <cell r="B628">
            <v>0</v>
          </cell>
          <cell r="C628" t="str">
            <v>Водонагреватель</v>
          </cell>
          <cell r="F628">
            <v>1996</v>
          </cell>
          <cell r="G628">
            <v>40000</v>
          </cell>
          <cell r="H628">
            <v>3.7</v>
          </cell>
          <cell r="I628">
            <v>70833335</v>
          </cell>
          <cell r="J628">
            <v>0.42</v>
          </cell>
          <cell r="K628">
            <v>30000</v>
          </cell>
          <cell r="L628">
            <v>1110</v>
          </cell>
          <cell r="M628">
            <v>92.5</v>
          </cell>
          <cell r="N628">
            <v>6660</v>
          </cell>
          <cell r="O628">
            <v>23340</v>
          </cell>
          <cell r="P628">
            <v>0</v>
          </cell>
          <cell r="Q628">
            <v>92.5</v>
          </cell>
        </row>
        <row r="629">
          <cell r="A629">
            <v>2002</v>
          </cell>
          <cell r="B629">
            <v>0</v>
          </cell>
          <cell r="C629" t="str">
            <v>Водонагреватель</v>
          </cell>
          <cell r="F629">
            <v>1996</v>
          </cell>
          <cell r="G629">
            <v>40000</v>
          </cell>
          <cell r="H629">
            <v>3.7</v>
          </cell>
          <cell r="I629">
            <v>13631629</v>
          </cell>
          <cell r="J629">
            <v>0.44</v>
          </cell>
          <cell r="K629">
            <v>6000</v>
          </cell>
          <cell r="L629">
            <v>222</v>
          </cell>
          <cell r="M629">
            <v>18.5</v>
          </cell>
          <cell r="N629">
            <v>1332</v>
          </cell>
          <cell r="O629">
            <v>4668</v>
          </cell>
          <cell r="P629">
            <v>0</v>
          </cell>
          <cell r="Q629">
            <v>18.5</v>
          </cell>
        </row>
        <row r="630">
          <cell r="A630">
            <v>2002</v>
          </cell>
          <cell r="B630">
            <v>0</v>
          </cell>
          <cell r="C630" t="str">
            <v>ИТОГО</v>
          </cell>
          <cell r="F630" t="str">
            <v>МАШИНЫ И ОБОРУДОВАНИЕ</v>
          </cell>
          <cell r="I630">
            <v>414377581</v>
          </cell>
          <cell r="J630">
            <v>3.67</v>
          </cell>
          <cell r="K630">
            <v>552970.68400000001</v>
          </cell>
          <cell r="L630">
            <v>26679.716</v>
          </cell>
          <cell r="M630">
            <v>1971.1638333333335</v>
          </cell>
          <cell r="N630">
            <v>176159.66</v>
          </cell>
          <cell r="O630">
            <v>376811.02399999998</v>
          </cell>
          <cell r="P630">
            <v>0</v>
          </cell>
          <cell r="Q630">
            <v>1971.1638333333335</v>
          </cell>
        </row>
        <row r="631">
          <cell r="A631">
            <v>2002</v>
          </cell>
          <cell r="B631">
            <v>0</v>
          </cell>
          <cell r="C631" t="str">
            <v>ПЕРЕДАТОЧНЫЕ УС_ВА</v>
          </cell>
          <cell r="F631" t="str">
            <v/>
          </cell>
          <cell r="I631" t="str">
            <v/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2">
          <cell r="A632">
            <v>2002</v>
          </cell>
          <cell r="B632">
            <v>0</v>
          </cell>
          <cell r="C632" t="str">
            <v>Наружн.Мазут.Провод</v>
          </cell>
          <cell r="F632">
            <v>1991</v>
          </cell>
          <cell r="G632">
            <v>30115</v>
          </cell>
          <cell r="H632">
            <v>2.8</v>
          </cell>
          <cell r="I632">
            <v>41057203</v>
          </cell>
          <cell r="J632">
            <v>1.4330000000000001</v>
          </cell>
          <cell r="K632">
            <v>58711.8</v>
          </cell>
          <cell r="L632">
            <v>1643.9304000000002</v>
          </cell>
          <cell r="M632">
            <v>136.99420000000001</v>
          </cell>
          <cell r="N632">
            <v>18083.234400000001</v>
          </cell>
          <cell r="O632">
            <v>40628.565600000002</v>
          </cell>
          <cell r="P632">
            <v>0</v>
          </cell>
          <cell r="Q632">
            <v>136.99420000000001</v>
          </cell>
        </row>
        <row r="633">
          <cell r="A633">
            <v>2002</v>
          </cell>
          <cell r="B633">
            <v>0</v>
          </cell>
          <cell r="C633" t="str">
            <v>Теплрнаружные.Сети</v>
          </cell>
          <cell r="F633">
            <v>1982</v>
          </cell>
          <cell r="G633">
            <v>30119</v>
          </cell>
          <cell r="H633">
            <v>8.3000000000000007</v>
          </cell>
          <cell r="I633">
            <v>40081600</v>
          </cell>
          <cell r="J633">
            <v>0.42</v>
          </cell>
          <cell r="K633">
            <v>16846.885999999999</v>
          </cell>
          <cell r="L633">
            <v>0</v>
          </cell>
          <cell r="M633">
            <v>0</v>
          </cell>
          <cell r="N633">
            <v>27965.830759999997</v>
          </cell>
          <cell r="O633">
            <v>0</v>
          </cell>
          <cell r="P633">
            <v>11118.944759999998</v>
          </cell>
          <cell r="Q633">
            <v>0</v>
          </cell>
        </row>
        <row r="634">
          <cell r="A634">
            <v>2002</v>
          </cell>
          <cell r="B634">
            <v>0</v>
          </cell>
          <cell r="C634" t="str">
            <v>Тепловые Сети.57/75</v>
          </cell>
          <cell r="F634">
            <v>1983</v>
          </cell>
          <cell r="G634">
            <v>30119</v>
          </cell>
          <cell r="H634">
            <v>8.3000000000000007</v>
          </cell>
          <cell r="I634">
            <v>641322656</v>
          </cell>
          <cell r="J634">
            <v>0.03</v>
          </cell>
          <cell r="K634">
            <v>21058.608</v>
          </cell>
          <cell r="L634">
            <v>0</v>
          </cell>
          <cell r="M634">
            <v>0</v>
          </cell>
          <cell r="N634">
            <v>33209.424816000006</v>
          </cell>
          <cell r="O634">
            <v>0</v>
          </cell>
          <cell r="P634">
            <v>12150.816816000006</v>
          </cell>
          <cell r="Q634">
            <v>0</v>
          </cell>
        </row>
        <row r="635">
          <cell r="A635">
            <v>2002</v>
          </cell>
          <cell r="B635">
            <v>0</v>
          </cell>
          <cell r="C635" t="str">
            <v>Наружные Сети ул.Интернац.</v>
          </cell>
          <cell r="F635">
            <v>1985</v>
          </cell>
          <cell r="G635">
            <v>30119</v>
          </cell>
          <cell r="H635">
            <v>8.3000000000000007</v>
          </cell>
          <cell r="I635">
            <v>18591040</v>
          </cell>
          <cell r="J635">
            <v>0.91</v>
          </cell>
          <cell r="K635">
            <v>16846.885999999999</v>
          </cell>
          <cell r="L635">
            <v>0</v>
          </cell>
          <cell r="M635">
            <v>0</v>
          </cell>
          <cell r="N635">
            <v>23770.956146</v>
          </cell>
          <cell r="O635">
            <v>0</v>
          </cell>
          <cell r="P635">
            <v>6924.0701460000018</v>
          </cell>
          <cell r="Q635">
            <v>0</v>
          </cell>
        </row>
        <row r="636">
          <cell r="A636">
            <v>2002</v>
          </cell>
          <cell r="B636">
            <v>0</v>
          </cell>
          <cell r="C636" t="str">
            <v>Тепловые Сети ул Интернац.</v>
          </cell>
          <cell r="F636">
            <v>1985</v>
          </cell>
          <cell r="G636">
            <v>30119</v>
          </cell>
          <cell r="H636">
            <v>8.3000000000000007</v>
          </cell>
          <cell r="I636">
            <v>49266256</v>
          </cell>
          <cell r="J636">
            <v>0.6</v>
          </cell>
          <cell r="K636">
            <v>29482.050999999999</v>
          </cell>
          <cell r="L636">
            <v>0</v>
          </cell>
          <cell r="M636">
            <v>0</v>
          </cell>
          <cell r="N636">
            <v>41599.173961000008</v>
          </cell>
          <cell r="O636">
            <v>0</v>
          </cell>
          <cell r="P636">
            <v>12117.122961000008</v>
          </cell>
          <cell r="Q636">
            <v>0</v>
          </cell>
        </row>
        <row r="637">
          <cell r="A637">
            <v>2002</v>
          </cell>
          <cell r="B637">
            <v>0</v>
          </cell>
          <cell r="C637" t="str">
            <v>Наружные Тепловые Сети.</v>
          </cell>
          <cell r="F637">
            <v>1989</v>
          </cell>
          <cell r="G637">
            <v>30119</v>
          </cell>
          <cell r="H637">
            <v>8.3000000000000007</v>
          </cell>
          <cell r="I637">
            <v>190089120</v>
          </cell>
          <cell r="J637">
            <v>0.2</v>
          </cell>
          <cell r="K637">
            <v>37905.493999999999</v>
          </cell>
          <cell r="L637">
            <v>3146.1560020000006</v>
          </cell>
          <cell r="M637">
            <v>0</v>
          </cell>
          <cell r="N637">
            <v>40900.028026000007</v>
          </cell>
          <cell r="O637">
            <v>0</v>
          </cell>
          <cell r="P637">
            <v>2994.5340260000085</v>
          </cell>
          <cell r="Q637">
            <v>0</v>
          </cell>
        </row>
        <row r="638">
          <cell r="A638">
            <v>2002</v>
          </cell>
          <cell r="B638">
            <v>0</v>
          </cell>
          <cell r="C638" t="str">
            <v>Наружные Тепловые.Сети.</v>
          </cell>
          <cell r="F638">
            <v>1990</v>
          </cell>
          <cell r="G638">
            <v>30119</v>
          </cell>
          <cell r="H638">
            <v>8.3000000000000007</v>
          </cell>
          <cell r="I638">
            <v>13312208</v>
          </cell>
          <cell r="J638">
            <v>1.33</v>
          </cell>
          <cell r="K638">
            <v>17689.23</v>
          </cell>
          <cell r="L638">
            <v>1468.2060899999999</v>
          </cell>
          <cell r="M638">
            <v>122.35050749999999</v>
          </cell>
          <cell r="N638">
            <v>17618.47308</v>
          </cell>
          <cell r="O638">
            <v>70.756919999999809</v>
          </cell>
          <cell r="P638">
            <v>0</v>
          </cell>
          <cell r="Q638">
            <v>122.35050749999999</v>
          </cell>
        </row>
        <row r="639">
          <cell r="A639">
            <v>2002</v>
          </cell>
          <cell r="B639">
            <v>0</v>
          </cell>
          <cell r="C639" t="str">
            <v>Наружные Теплов.Сети.</v>
          </cell>
          <cell r="F639">
            <v>1994</v>
          </cell>
          <cell r="G639">
            <v>30119</v>
          </cell>
          <cell r="H639">
            <v>8.3000000000000007</v>
          </cell>
          <cell r="I639">
            <v>239026944</v>
          </cell>
          <cell r="J639">
            <v>0.3</v>
          </cell>
          <cell r="K639">
            <v>71335.740000000005</v>
          </cell>
          <cell r="L639">
            <v>5920.8664200000012</v>
          </cell>
          <cell r="M639">
            <v>493.4055350000001</v>
          </cell>
          <cell r="N639">
            <v>47366.93136000001</v>
          </cell>
          <cell r="O639">
            <v>23968.808639999996</v>
          </cell>
          <cell r="P639">
            <v>0</v>
          </cell>
          <cell r="Q639">
            <v>493.4055350000001</v>
          </cell>
        </row>
        <row r="640">
          <cell r="A640">
            <v>2002</v>
          </cell>
          <cell r="B640">
            <v>0</v>
          </cell>
          <cell r="C640" t="str">
            <v>Наружные Тепловые Сети</v>
          </cell>
          <cell r="F640">
            <v>1994</v>
          </cell>
          <cell r="G640">
            <v>30119</v>
          </cell>
          <cell r="H640">
            <v>8.3000000000000007</v>
          </cell>
          <cell r="I640">
            <v>63817728</v>
          </cell>
          <cell r="J640">
            <v>0.9</v>
          </cell>
          <cell r="K640">
            <v>57747.98</v>
          </cell>
          <cell r="L640">
            <v>4793.0823400000008</v>
          </cell>
          <cell r="M640">
            <v>399.42352833333342</v>
          </cell>
          <cell r="N640">
            <v>38344.658720000007</v>
          </cell>
          <cell r="O640">
            <v>19403.321279999996</v>
          </cell>
          <cell r="P640">
            <v>0</v>
          </cell>
          <cell r="Q640">
            <v>399.42352833333342</v>
          </cell>
        </row>
        <row r="641">
          <cell r="A641">
            <v>2002</v>
          </cell>
          <cell r="B641">
            <v>0</v>
          </cell>
          <cell r="C641" t="str">
            <v>Комуникации Сеницы</v>
          </cell>
          <cell r="F641">
            <v>1991</v>
          </cell>
          <cell r="G641">
            <v>30116</v>
          </cell>
          <cell r="H641">
            <v>8.3000000000000007</v>
          </cell>
          <cell r="I641">
            <v>809379516</v>
          </cell>
          <cell r="J641">
            <v>0.03</v>
          </cell>
          <cell r="K641">
            <v>21926.691999999999</v>
          </cell>
          <cell r="L641">
            <v>1819.915436</v>
          </cell>
          <cell r="M641">
            <v>151.65961966666666</v>
          </cell>
          <cell r="N641">
            <v>20019.069796</v>
          </cell>
          <cell r="O641">
            <v>1907.6222039999993</v>
          </cell>
          <cell r="P641">
            <v>0</v>
          </cell>
          <cell r="Q641">
            <v>151.65961966666666</v>
          </cell>
        </row>
        <row r="642">
          <cell r="A642">
            <v>2002</v>
          </cell>
          <cell r="B642">
            <v>0</v>
          </cell>
          <cell r="C642" t="str">
            <v>Комуникации Урицкого</v>
          </cell>
          <cell r="F642">
            <v>1991</v>
          </cell>
          <cell r="G642">
            <v>30119</v>
          </cell>
          <cell r="H642">
            <v>8.3000000000000007</v>
          </cell>
          <cell r="I642">
            <v>207422792</v>
          </cell>
          <cell r="J642">
            <v>0.11</v>
          </cell>
          <cell r="K642">
            <v>226639.103</v>
          </cell>
          <cell r="L642">
            <v>18811.045549000002</v>
          </cell>
          <cell r="M642">
            <v>1567.5871290833336</v>
          </cell>
          <cell r="N642">
            <v>206921.50103900002</v>
          </cell>
          <cell r="O642">
            <v>19717.601960999978</v>
          </cell>
          <cell r="P642">
            <v>0</v>
          </cell>
          <cell r="Q642">
            <v>1567.5871290833336</v>
          </cell>
        </row>
        <row r="643">
          <cell r="A643">
            <v>2002</v>
          </cell>
          <cell r="B643">
            <v>0</v>
          </cell>
          <cell r="C643" t="str">
            <v>ИТОГО</v>
          </cell>
          <cell r="F643" t="str">
            <v>ПЕРЕДАТОЧНЫЕ УСТРОЙСТВА</v>
          </cell>
          <cell r="I643">
            <v>2313367063</v>
          </cell>
          <cell r="J643">
            <v>6.2629999999999999</v>
          </cell>
          <cell r="K643">
            <v>576190.47</v>
          </cell>
          <cell r="L643">
            <v>37603.202237000005</v>
          </cell>
          <cell r="M643">
            <v>2871.4205195833338</v>
          </cell>
          <cell r="N643">
            <v>515799.2821040001</v>
          </cell>
          <cell r="O643">
            <v>105696.67660499997</v>
          </cell>
          <cell r="P643">
            <v>45305.488709000027</v>
          </cell>
          <cell r="Q643">
            <v>2871.4205195833338</v>
          </cell>
        </row>
        <row r="644">
          <cell r="A644">
            <v>2002</v>
          </cell>
          <cell r="B644">
            <v>0</v>
          </cell>
          <cell r="C644" t="str">
            <v>СООРУЖЕНИЯ</v>
          </cell>
        </row>
        <row r="645">
          <cell r="A645">
            <v>2002</v>
          </cell>
          <cell r="B645">
            <v>0</v>
          </cell>
          <cell r="C645" t="str">
            <v>Сооружения слива и прие.мазут.</v>
          </cell>
          <cell r="F645">
            <v>1991</v>
          </cell>
          <cell r="G645">
            <v>20212</v>
          </cell>
          <cell r="H645">
            <v>2.5</v>
          </cell>
          <cell r="I645">
            <v>43113370</v>
          </cell>
          <cell r="J645">
            <v>1.43</v>
          </cell>
          <cell r="K645">
            <v>61652.72</v>
          </cell>
          <cell r="L645">
            <v>1541.318</v>
          </cell>
          <cell r="M645">
            <v>128.44316666666666</v>
          </cell>
          <cell r="N645">
            <v>16954.498</v>
          </cell>
          <cell r="O645">
            <v>44698.222000000002</v>
          </cell>
          <cell r="P645">
            <v>0</v>
          </cell>
          <cell r="Q645">
            <v>128.44316666666666</v>
          </cell>
        </row>
        <row r="646">
          <cell r="A646">
            <v>2002</v>
          </cell>
          <cell r="B646">
            <v>0</v>
          </cell>
          <cell r="C646" t="str">
            <v>Очисные Сооружения кот.</v>
          </cell>
          <cell r="F646">
            <v>1991</v>
          </cell>
          <cell r="G646">
            <v>20321</v>
          </cell>
          <cell r="H646">
            <v>6.7</v>
          </cell>
          <cell r="I646">
            <v>97424331</v>
          </cell>
          <cell r="J646">
            <v>1.43</v>
          </cell>
          <cell r="K646">
            <v>139316.79300000001</v>
          </cell>
          <cell r="L646">
            <v>9334.2251310000011</v>
          </cell>
          <cell r="M646">
            <v>777.85209425000005</v>
          </cell>
          <cell r="N646">
            <v>102676.47644100001</v>
          </cell>
          <cell r="O646">
            <v>36640.316558999999</v>
          </cell>
          <cell r="P646">
            <v>0</v>
          </cell>
          <cell r="Q646">
            <v>777.85209425000005</v>
          </cell>
        </row>
        <row r="647">
          <cell r="A647">
            <v>2002</v>
          </cell>
          <cell r="B647">
            <v>0</v>
          </cell>
          <cell r="C647" t="str">
            <v>Резервуар для мазута</v>
          </cell>
          <cell r="F647">
            <v>1991</v>
          </cell>
          <cell r="G647">
            <v>20237</v>
          </cell>
          <cell r="H647">
            <v>2</v>
          </cell>
          <cell r="I647">
            <v>99539866</v>
          </cell>
          <cell r="J647">
            <v>1.43</v>
          </cell>
          <cell r="K647">
            <v>142342.008</v>
          </cell>
          <cell r="L647">
            <v>2846.8401600000002</v>
          </cell>
          <cell r="M647">
            <v>237.23668000000001</v>
          </cell>
          <cell r="N647">
            <v>31315.241760000001</v>
          </cell>
          <cell r="O647">
            <v>111026.76624</v>
          </cell>
          <cell r="P647">
            <v>0</v>
          </cell>
          <cell r="Q647">
            <v>237.23668000000001</v>
          </cell>
        </row>
        <row r="648">
          <cell r="A648">
            <v>2002</v>
          </cell>
          <cell r="B648">
            <v>0</v>
          </cell>
          <cell r="C648" t="str">
            <v>ИТОГО</v>
          </cell>
          <cell r="F648" t="str">
            <v>СООРУЖЕНИЯ</v>
          </cell>
          <cell r="I648">
            <v>240077567</v>
          </cell>
          <cell r="J648">
            <v>4.29</v>
          </cell>
          <cell r="K648">
            <v>343311.52100000001</v>
          </cell>
          <cell r="L648">
            <v>13722.383291</v>
          </cell>
          <cell r="M648">
            <v>1143.5319409166668</v>
          </cell>
          <cell r="N648">
            <v>150946.216201</v>
          </cell>
          <cell r="O648">
            <v>192365.30479900001</v>
          </cell>
          <cell r="P648">
            <v>0</v>
          </cell>
          <cell r="Q648">
            <v>1143.5319409166668</v>
          </cell>
        </row>
        <row r="649">
          <cell r="A649">
            <v>2002</v>
          </cell>
          <cell r="B649">
            <v>0</v>
          </cell>
          <cell r="C649" t="str">
            <v>ИТОГО</v>
          </cell>
          <cell r="F649" t="str">
            <v>ПО СЕНИЦЫ</v>
          </cell>
          <cell r="I649">
            <v>6351210015</v>
          </cell>
          <cell r="J649">
            <v>15.923</v>
          </cell>
          <cell r="K649">
            <v>3190818.2339999997</v>
          </cell>
          <cell r="L649">
            <v>107610.88144800001</v>
          </cell>
          <cell r="M649">
            <v>8453.2479538333337</v>
          </cell>
          <cell r="N649">
            <v>1168566.5374250002</v>
          </cell>
          <cell r="O649">
            <v>2067557.1852840001</v>
          </cell>
          <cell r="P649">
            <v>45305.488709000027</v>
          </cell>
          <cell r="Q649">
            <v>8453.2479538333337</v>
          </cell>
        </row>
        <row r="650">
          <cell r="A650">
            <v>2002</v>
          </cell>
          <cell r="B650">
            <v>0</v>
          </cell>
          <cell r="F650" t="str">
            <v>Спасательная станция</v>
          </cell>
          <cell r="I650" t="str">
            <v/>
          </cell>
          <cell r="J650" t="str">
            <v/>
          </cell>
        </row>
        <row r="651">
          <cell r="C651" t="str">
            <v>ТРАНСПОРТНЫЕ СРЕДСТВА</v>
          </cell>
        </row>
        <row r="652">
          <cell r="A652">
            <v>2002</v>
          </cell>
          <cell r="B652">
            <v>0</v>
          </cell>
          <cell r="C652" t="str">
            <v>Катер Амур</v>
          </cell>
          <cell r="F652">
            <v>1987</v>
          </cell>
          <cell r="G652">
            <v>50216</v>
          </cell>
          <cell r="H652">
            <v>5.2</v>
          </cell>
          <cell r="I652">
            <v>35275667</v>
          </cell>
          <cell r="J652">
            <v>1.05</v>
          </cell>
          <cell r="K652">
            <v>37039.449999999997</v>
          </cell>
          <cell r="L652">
            <v>1926.0513999999998</v>
          </cell>
          <cell r="M652">
            <v>160.50428333333332</v>
          </cell>
          <cell r="N652">
            <v>28890.770999999997</v>
          </cell>
          <cell r="O652">
            <v>8148.6790000000001</v>
          </cell>
          <cell r="P652">
            <v>0</v>
          </cell>
          <cell r="Q652">
            <v>160.50428333333332</v>
          </cell>
        </row>
        <row r="653">
          <cell r="A653">
            <v>2002</v>
          </cell>
          <cell r="B653">
            <v>0</v>
          </cell>
          <cell r="C653" t="str">
            <v>Лодка Днепр</v>
          </cell>
          <cell r="F653">
            <v>1987</v>
          </cell>
          <cell r="G653">
            <v>50224</v>
          </cell>
          <cell r="H653">
            <v>12</v>
          </cell>
          <cell r="I653">
            <v>265593</v>
          </cell>
          <cell r="J653">
            <v>1.05</v>
          </cell>
          <cell r="K653">
            <v>277.67700000000002</v>
          </cell>
          <cell r="L653">
            <v>0</v>
          </cell>
          <cell r="M653">
            <v>0</v>
          </cell>
          <cell r="N653">
            <v>277.67700000000002</v>
          </cell>
          <cell r="O653">
            <v>0</v>
          </cell>
          <cell r="P653">
            <v>0</v>
          </cell>
          <cell r="Q653">
            <v>0</v>
          </cell>
        </row>
        <row r="654">
          <cell r="A654">
            <v>2002</v>
          </cell>
          <cell r="B654">
            <v>0</v>
          </cell>
          <cell r="C654" t="str">
            <v>ИТОГО</v>
          </cell>
          <cell r="E654" t="str">
            <v>ТРАНСПОРТНЫЕ СРЕДСТВА</v>
          </cell>
          <cell r="F654" t="str">
            <v>ТРАНСПОРТНЫЕ СРЕДСТВА</v>
          </cell>
          <cell r="I654">
            <v>35541260</v>
          </cell>
          <cell r="J654">
            <v>2.1</v>
          </cell>
          <cell r="K654">
            <v>37317.127</v>
          </cell>
          <cell r="L654">
            <v>1926.0513999999998</v>
          </cell>
          <cell r="M654">
            <v>160.50428333333332</v>
          </cell>
          <cell r="N654">
            <v>29168.447999999997</v>
          </cell>
          <cell r="O654">
            <v>8148.6790000000001</v>
          </cell>
          <cell r="P654">
            <v>0</v>
          </cell>
          <cell r="Q654">
            <v>160.50428333333332</v>
          </cell>
        </row>
        <row r="655">
          <cell r="A655">
            <v>2002</v>
          </cell>
          <cell r="B655">
            <v>0</v>
          </cell>
          <cell r="C655" t="str">
            <v>ИТОГО</v>
          </cell>
          <cell r="F655" t="str">
            <v>ПО СПАСАТЕЛЬНОЙ СТАНЦИИ</v>
          </cell>
          <cell r="G655" t="str">
            <v>АТЕЛЬНОЙ СТАНЦИИ</v>
          </cell>
          <cell r="I655">
            <v>50741280</v>
          </cell>
          <cell r="J655">
            <v>2.84</v>
          </cell>
          <cell r="K655">
            <v>37317.127</v>
          </cell>
          <cell r="L655">
            <v>1926.0513999999998</v>
          </cell>
          <cell r="M655">
            <v>160.50428333333332</v>
          </cell>
          <cell r="N655">
            <v>29168.447999999997</v>
          </cell>
          <cell r="O655">
            <v>8148.6790000000001</v>
          </cell>
          <cell r="P655">
            <v>0</v>
          </cell>
          <cell r="Q655">
            <v>160.50428333333332</v>
          </cell>
          <cell r="R655">
            <v>0</v>
          </cell>
        </row>
        <row r="656">
          <cell r="A656">
            <v>2002</v>
          </cell>
          <cell r="B656">
            <v>0</v>
          </cell>
          <cell r="F656" t="str">
            <v>ВЕЩЕВОЙ  РЫНОК</v>
          </cell>
        </row>
        <row r="657">
          <cell r="C657" t="str">
            <v>МАШИНЫ И ОБОРУДОВАНИЕ</v>
          </cell>
        </row>
        <row r="658">
          <cell r="A658">
            <v>2002</v>
          </cell>
          <cell r="B658">
            <v>0</v>
          </cell>
          <cell r="C658" t="str">
            <v>Туалеты</v>
          </cell>
          <cell r="F658">
            <v>1995</v>
          </cell>
          <cell r="G658">
            <v>10009</v>
          </cell>
          <cell r="H658">
            <v>10.5</v>
          </cell>
          <cell r="I658">
            <v>4200000</v>
          </cell>
          <cell r="J658">
            <v>1.39</v>
          </cell>
          <cell r="K658">
            <v>5838</v>
          </cell>
          <cell r="L658">
            <v>612.99</v>
          </cell>
          <cell r="M658">
            <v>51.082500000000003</v>
          </cell>
          <cell r="N658">
            <v>4290.93</v>
          </cell>
          <cell r="O658">
            <v>1547.0699999999997</v>
          </cell>
          <cell r="P658">
            <v>0</v>
          </cell>
          <cell r="Q658">
            <v>51.082500000000003</v>
          </cell>
        </row>
        <row r="659">
          <cell r="A659">
            <v>2002</v>
          </cell>
          <cell r="B659">
            <v>0</v>
          </cell>
          <cell r="C659" t="str">
            <v>ИТОГО</v>
          </cell>
          <cell r="F659" t="str">
            <v>МАШИНЫ И ОБОРУДОВАНИЕ</v>
          </cell>
          <cell r="I659">
            <v>225326400</v>
          </cell>
          <cell r="J659">
            <v>0.68998999999999999</v>
          </cell>
          <cell r="K659">
            <v>5838</v>
          </cell>
          <cell r="L659">
            <v>612.99</v>
          </cell>
          <cell r="M659">
            <v>51.082500000000003</v>
          </cell>
          <cell r="N659">
            <v>4290.93</v>
          </cell>
          <cell r="O659">
            <v>1547.0699999999997</v>
          </cell>
          <cell r="P659">
            <v>0</v>
          </cell>
          <cell r="Q659">
            <v>51.082500000000003</v>
          </cell>
        </row>
        <row r="660">
          <cell r="A660">
            <v>2002</v>
          </cell>
          <cell r="B660">
            <v>0</v>
          </cell>
          <cell r="C660" t="str">
            <v>ИТОГО</v>
          </cell>
          <cell r="F660" t="str">
            <v>ВЕЩЕВОЙ  РЫНОК</v>
          </cell>
          <cell r="H660" t="str">
            <v/>
          </cell>
          <cell r="I660" t="e">
            <v>#REF!</v>
          </cell>
          <cell r="J660" t="e">
            <v>#REF!</v>
          </cell>
          <cell r="K660">
            <v>5838</v>
          </cell>
          <cell r="L660">
            <v>612.99</v>
          </cell>
          <cell r="M660">
            <v>51.082500000000003</v>
          </cell>
          <cell r="N660">
            <v>4290.93</v>
          </cell>
          <cell r="O660">
            <v>1547.0699999999997</v>
          </cell>
          <cell r="P660">
            <v>0</v>
          </cell>
          <cell r="Q660">
            <v>51.082500000000003</v>
          </cell>
          <cell r="R660">
            <v>0</v>
          </cell>
        </row>
        <row r="661">
          <cell r="A661">
            <v>2002</v>
          </cell>
          <cell r="B661">
            <v>0</v>
          </cell>
          <cell r="F661" t="str">
            <v>КОНТОРА</v>
          </cell>
        </row>
        <row r="662">
          <cell r="C662" t="str">
            <v>МАШИНЫ И ОБОРУДОВАНИЕ</v>
          </cell>
        </row>
        <row r="663">
          <cell r="A663">
            <v>2002</v>
          </cell>
          <cell r="B663">
            <v>0</v>
          </cell>
          <cell r="C663" t="str">
            <v>Кондиционер</v>
          </cell>
          <cell r="F663">
            <v>1988</v>
          </cell>
          <cell r="G663">
            <v>41606</v>
          </cell>
          <cell r="H663">
            <v>11</v>
          </cell>
          <cell r="I663">
            <v>1953289</v>
          </cell>
          <cell r="J663">
            <v>0.99</v>
          </cell>
          <cell r="K663">
            <v>1942.546</v>
          </cell>
          <cell r="L663">
            <v>0</v>
          </cell>
          <cell r="M663">
            <v>0</v>
          </cell>
          <cell r="N663">
            <v>1942.546</v>
          </cell>
          <cell r="O663">
            <v>0</v>
          </cell>
          <cell r="P663">
            <v>0</v>
          </cell>
          <cell r="Q663">
            <v>0</v>
          </cell>
        </row>
        <row r="664">
          <cell r="A664">
            <v>2002</v>
          </cell>
          <cell r="C664" t="str">
            <v>Кондиционер</v>
          </cell>
          <cell r="E664">
            <v>6</v>
          </cell>
          <cell r="F664">
            <v>1999</v>
          </cell>
          <cell r="G664">
            <v>41606</v>
          </cell>
          <cell r="H664">
            <v>11</v>
          </cell>
          <cell r="K664">
            <v>11294</v>
          </cell>
          <cell r="L664">
            <v>1242.3399999999999</v>
          </cell>
          <cell r="M664">
            <v>103.52833333333332</v>
          </cell>
          <cell r="N664">
            <v>3727.0199999999995</v>
          </cell>
          <cell r="O664">
            <v>7566.9800000000005</v>
          </cell>
          <cell r="P664">
            <v>0</v>
          </cell>
          <cell r="Q664">
            <v>103.52833333333332</v>
          </cell>
          <cell r="R664">
            <v>11294</v>
          </cell>
        </row>
        <row r="665">
          <cell r="A665">
            <v>2002</v>
          </cell>
          <cell r="B665">
            <v>0</v>
          </cell>
          <cell r="C665" t="str">
            <v>Пксм-2</v>
          </cell>
          <cell r="F665">
            <v>1989</v>
          </cell>
          <cell r="G665">
            <v>45609</v>
          </cell>
          <cell r="H665">
            <v>5.6</v>
          </cell>
          <cell r="I665">
            <v>4179141</v>
          </cell>
          <cell r="J665">
            <v>1.17</v>
          </cell>
          <cell r="K665">
            <v>4889.5950000000003</v>
          </cell>
          <cell r="L665">
            <v>273.81732</v>
          </cell>
          <cell r="M665">
            <v>22.818110000000001</v>
          </cell>
          <cell r="N665">
            <v>3559.6251600000001</v>
          </cell>
          <cell r="O665">
            <v>1329.9698400000002</v>
          </cell>
          <cell r="P665">
            <v>0</v>
          </cell>
          <cell r="Q665">
            <v>22.818110000000001</v>
          </cell>
        </row>
        <row r="666">
          <cell r="A666">
            <v>2002</v>
          </cell>
          <cell r="B666">
            <v>0</v>
          </cell>
          <cell r="C666" t="str">
            <v>Кассовый аппарат</v>
          </cell>
          <cell r="F666">
            <v>1995</v>
          </cell>
          <cell r="G666">
            <v>48000</v>
          </cell>
          <cell r="H666">
            <v>12.5</v>
          </cell>
          <cell r="I666">
            <v>2970000</v>
          </cell>
          <cell r="J666">
            <v>0.84</v>
          </cell>
          <cell r="K666">
            <v>2500</v>
          </cell>
          <cell r="L666">
            <v>312.5</v>
          </cell>
          <cell r="M666">
            <v>26.041666666666668</v>
          </cell>
          <cell r="N666">
            <v>2187.5</v>
          </cell>
          <cell r="O666">
            <v>312.5</v>
          </cell>
          <cell r="P666">
            <v>0</v>
          </cell>
          <cell r="Q666">
            <v>26.041666666666668</v>
          </cell>
        </row>
        <row r="667">
          <cell r="A667">
            <v>2002</v>
          </cell>
          <cell r="B667">
            <v>0</v>
          </cell>
          <cell r="C667" t="str">
            <v>ИТОГО</v>
          </cell>
          <cell r="F667" t="str">
            <v>МАШИНЫ И ОБОРУДОВАНИЕ</v>
          </cell>
          <cell r="G667" t="str">
            <v/>
          </cell>
          <cell r="H667" t="str">
            <v/>
          </cell>
          <cell r="I667">
            <v>9102430</v>
          </cell>
          <cell r="J667">
            <v>3</v>
          </cell>
          <cell r="K667">
            <v>20626.141</v>
          </cell>
          <cell r="L667">
            <v>1828.6573199999998</v>
          </cell>
          <cell r="M667">
            <v>152.38810999999998</v>
          </cell>
          <cell r="N667">
            <v>11416.69116</v>
          </cell>
          <cell r="O667">
            <v>9209.4498400000011</v>
          </cell>
          <cell r="P667">
            <v>0</v>
          </cell>
          <cell r="Q667">
            <v>152.38810999999998</v>
          </cell>
        </row>
        <row r="668">
          <cell r="C668" t="str">
            <v>ИТОГО</v>
          </cell>
          <cell r="F668" t="str">
            <v>КОНТОРА</v>
          </cell>
          <cell r="K668">
            <v>20626.141</v>
          </cell>
          <cell r="L668">
            <v>1828.6573199999998</v>
          </cell>
          <cell r="M668">
            <v>152.38810999999998</v>
          </cell>
          <cell r="N668">
            <v>11416.69116</v>
          </cell>
          <cell r="O668">
            <v>9209.4498400000011</v>
          </cell>
          <cell r="P668">
            <v>0</v>
          </cell>
          <cell r="Q668">
            <v>152.38810999999998</v>
          </cell>
          <cell r="R668">
            <v>0</v>
          </cell>
        </row>
        <row r="669">
          <cell r="A669">
            <v>2002</v>
          </cell>
          <cell r="B669">
            <v>0</v>
          </cell>
          <cell r="F669" t="str">
            <v>Котельная 66кв</v>
          </cell>
        </row>
        <row r="670">
          <cell r="A670">
            <v>2002</v>
          </cell>
          <cell r="B670">
            <v>0</v>
          </cell>
          <cell r="C670" t="str">
            <v>Здания</v>
          </cell>
        </row>
        <row r="671">
          <cell r="A671">
            <v>2002</v>
          </cell>
          <cell r="B671">
            <v>0</v>
          </cell>
          <cell r="C671" t="str">
            <v>Котельная 66кв</v>
          </cell>
          <cell r="F671">
            <v>1973</v>
          </cell>
          <cell r="G671">
            <v>10002</v>
          </cell>
          <cell r="H671">
            <v>1.2</v>
          </cell>
          <cell r="I671">
            <v>150000000</v>
          </cell>
          <cell r="J671">
            <v>1.3</v>
          </cell>
          <cell r="K671">
            <v>195000</v>
          </cell>
          <cell r="L671">
            <v>2340</v>
          </cell>
          <cell r="M671">
            <v>195</v>
          </cell>
          <cell r="N671">
            <v>67860</v>
          </cell>
          <cell r="O671">
            <v>127140</v>
          </cell>
          <cell r="P671">
            <v>0</v>
          </cell>
          <cell r="Q671">
            <v>195</v>
          </cell>
        </row>
        <row r="672">
          <cell r="A672">
            <v>2002</v>
          </cell>
          <cell r="B672">
            <v>0</v>
          </cell>
          <cell r="C672" t="str">
            <v>ИТОГО</v>
          </cell>
          <cell r="F672" t="str">
            <v>Здание.</v>
          </cell>
          <cell r="K672">
            <v>195000</v>
          </cell>
          <cell r="L672">
            <v>2340</v>
          </cell>
          <cell r="M672">
            <v>195</v>
          </cell>
          <cell r="N672">
            <v>67860</v>
          </cell>
          <cell r="O672">
            <v>127140</v>
          </cell>
          <cell r="P672">
            <v>0</v>
          </cell>
          <cell r="Q672">
            <v>195</v>
          </cell>
        </row>
        <row r="673">
          <cell r="A673">
            <v>2002</v>
          </cell>
          <cell r="B673">
            <v>0</v>
          </cell>
          <cell r="C673" t="str">
            <v>ПЕРЕДАТОЧНЫЕ УСТРОЙСТВА</v>
          </cell>
        </row>
        <row r="674">
          <cell r="A674">
            <v>2002</v>
          </cell>
          <cell r="B674">
            <v>0</v>
          </cell>
          <cell r="C674" t="str">
            <v>Теплотраса 66 кв.</v>
          </cell>
          <cell r="F674">
            <v>1992</v>
          </cell>
          <cell r="G674">
            <v>30119</v>
          </cell>
          <cell r="H674">
            <v>8.3000000000000007</v>
          </cell>
          <cell r="I674">
            <v>12000000</v>
          </cell>
          <cell r="J674">
            <v>1.3</v>
          </cell>
          <cell r="K674">
            <v>15600</v>
          </cell>
          <cell r="L674">
            <v>1294.8000000000002</v>
          </cell>
          <cell r="M674">
            <v>107.90000000000002</v>
          </cell>
          <cell r="N674">
            <v>12948.000000000002</v>
          </cell>
          <cell r="O674">
            <v>2651.9999999999982</v>
          </cell>
          <cell r="P674">
            <v>0</v>
          </cell>
          <cell r="Q674">
            <v>107.90000000000002</v>
          </cell>
        </row>
        <row r="675">
          <cell r="A675">
            <v>2002</v>
          </cell>
          <cell r="B675">
            <v>0</v>
          </cell>
          <cell r="C675" t="str">
            <v>ИТОГО</v>
          </cell>
          <cell r="F675" t="str">
            <v>ПЕРЕДАТОЧНЫЕ УСТРОЙСТВА</v>
          </cell>
          <cell r="K675">
            <v>15600</v>
          </cell>
          <cell r="L675">
            <v>1294.8000000000002</v>
          </cell>
          <cell r="M675">
            <v>107.90000000000002</v>
          </cell>
          <cell r="N675">
            <v>12948.000000000002</v>
          </cell>
          <cell r="O675">
            <v>2651.9999999999982</v>
          </cell>
          <cell r="P675">
            <v>0</v>
          </cell>
          <cell r="Q675">
            <v>107.90000000000002</v>
          </cell>
        </row>
        <row r="676">
          <cell r="A676">
            <v>2002</v>
          </cell>
          <cell r="B676">
            <v>0</v>
          </cell>
          <cell r="C676" t="str">
            <v>МАШИНЫ И ОБОРУДОВАНИЕ</v>
          </cell>
        </row>
        <row r="677">
          <cell r="A677">
            <v>2002</v>
          </cell>
          <cell r="C677" t="str">
            <v>Эл.двигатель</v>
          </cell>
          <cell r="F677">
            <v>1995</v>
          </cell>
          <cell r="G677">
            <v>40200</v>
          </cell>
          <cell r="H677">
            <v>6.6</v>
          </cell>
          <cell r="K677">
            <v>1052.7</v>
          </cell>
          <cell r="L677">
            <v>69.478200000000001</v>
          </cell>
          <cell r="M677">
            <v>5.7898500000000004</v>
          </cell>
          <cell r="N677">
            <v>486.34739999999999</v>
          </cell>
          <cell r="O677">
            <v>566.35260000000005</v>
          </cell>
          <cell r="P677">
            <v>0</v>
          </cell>
          <cell r="Q677">
            <v>5.7898500000000004</v>
          </cell>
        </row>
        <row r="678">
          <cell r="A678">
            <v>2002</v>
          </cell>
          <cell r="B678">
            <v>0</v>
          </cell>
          <cell r="C678" t="str">
            <v>Котел Универсальн.</v>
          </cell>
          <cell r="F678">
            <v>1973</v>
          </cell>
          <cell r="G678">
            <v>40002</v>
          </cell>
          <cell r="H678">
            <v>5</v>
          </cell>
          <cell r="I678">
            <v>48000000</v>
          </cell>
          <cell r="J678">
            <v>1.3</v>
          </cell>
          <cell r="K678">
            <v>31200</v>
          </cell>
          <cell r="L678">
            <v>0</v>
          </cell>
          <cell r="M678">
            <v>0</v>
          </cell>
          <cell r="N678">
            <v>31200</v>
          </cell>
          <cell r="O678">
            <v>0</v>
          </cell>
          <cell r="P678">
            <v>0</v>
          </cell>
          <cell r="Q678">
            <v>0</v>
          </cell>
        </row>
        <row r="679">
          <cell r="A679">
            <v>2002</v>
          </cell>
          <cell r="B679">
            <v>0</v>
          </cell>
          <cell r="C679" t="str">
            <v>Эл.двигатель 3К9</v>
          </cell>
          <cell r="F679">
            <v>1993</v>
          </cell>
          <cell r="G679">
            <v>40200</v>
          </cell>
          <cell r="H679">
            <v>6.6</v>
          </cell>
          <cell r="K679">
            <v>3250.1469999999999</v>
          </cell>
          <cell r="L679">
            <v>214.509702</v>
          </cell>
          <cell r="M679">
            <v>17.875808500000002</v>
          </cell>
          <cell r="N679">
            <v>1930.5873180000001</v>
          </cell>
          <cell r="O679">
            <v>1319.5596819999998</v>
          </cell>
          <cell r="P679">
            <v>0</v>
          </cell>
          <cell r="Q679">
            <v>17.875808500000002</v>
          </cell>
        </row>
        <row r="680">
          <cell r="A680">
            <v>2002</v>
          </cell>
          <cell r="B680">
            <v>0</v>
          </cell>
          <cell r="C680" t="str">
            <v>Насос К-90/35</v>
          </cell>
          <cell r="F680">
            <v>1996</v>
          </cell>
          <cell r="G680">
            <v>40002</v>
          </cell>
          <cell r="H680">
            <v>5</v>
          </cell>
          <cell r="I680">
            <v>6363350</v>
          </cell>
          <cell r="J680">
            <v>1.05</v>
          </cell>
          <cell r="K680">
            <v>3308.52</v>
          </cell>
          <cell r="L680">
            <v>165.42599999999999</v>
          </cell>
          <cell r="M680">
            <v>13.785499999999999</v>
          </cell>
          <cell r="N680">
            <v>992.55599999999993</v>
          </cell>
          <cell r="O680">
            <v>2315.9639999999999</v>
          </cell>
          <cell r="P680">
            <v>0</v>
          </cell>
          <cell r="Q680">
            <v>13.785499999999999</v>
          </cell>
        </row>
        <row r="681">
          <cell r="A681">
            <v>2002</v>
          </cell>
          <cell r="B681">
            <v>0</v>
          </cell>
          <cell r="C681" t="str">
            <v>Котел Ревокатова</v>
          </cell>
          <cell r="F681">
            <v>1997</v>
          </cell>
          <cell r="G681">
            <v>40002</v>
          </cell>
          <cell r="H681">
            <v>5</v>
          </cell>
          <cell r="I681">
            <v>33333334</v>
          </cell>
          <cell r="J681">
            <v>1.36</v>
          </cell>
          <cell r="K681">
            <v>45333.334239999996</v>
          </cell>
          <cell r="L681">
            <v>2266.6667119999997</v>
          </cell>
          <cell r="M681">
            <v>188.88889266666664</v>
          </cell>
          <cell r="N681">
            <v>11333.333559999999</v>
          </cell>
          <cell r="O681">
            <v>34000.000679999997</v>
          </cell>
          <cell r="P681">
            <v>0</v>
          </cell>
          <cell r="Q681">
            <v>188.88889266666664</v>
          </cell>
        </row>
        <row r="682">
          <cell r="A682">
            <v>2002</v>
          </cell>
          <cell r="B682">
            <v>0</v>
          </cell>
          <cell r="C682" t="str">
            <v>Котел универсальный 1984г</v>
          </cell>
          <cell r="E682">
            <v>6</v>
          </cell>
          <cell r="F682">
            <v>1984</v>
          </cell>
          <cell r="G682">
            <v>40002</v>
          </cell>
          <cell r="H682">
            <v>5</v>
          </cell>
          <cell r="K682">
            <v>11198.04</v>
          </cell>
          <cell r="L682">
            <v>559.90200000000004</v>
          </cell>
          <cell r="M682">
            <v>46.658500000000004</v>
          </cell>
          <cell r="N682">
            <v>10078.236000000001</v>
          </cell>
          <cell r="O682">
            <v>1119.8040000000001</v>
          </cell>
          <cell r="P682">
            <v>0</v>
          </cell>
          <cell r="Q682">
            <v>46.658500000000004</v>
          </cell>
        </row>
        <row r="683">
          <cell r="A683">
            <v>2002</v>
          </cell>
          <cell r="B683">
            <v>0</v>
          </cell>
          <cell r="C683" t="str">
            <v>ИТОГО</v>
          </cell>
          <cell r="F683" t="str">
            <v>МАШИНЫ И ОБОРУДОВАНИЕ</v>
          </cell>
          <cell r="G683" t="str">
            <v/>
          </cell>
          <cell r="H683" t="str">
            <v/>
          </cell>
          <cell r="K683">
            <v>95342.741240000003</v>
          </cell>
          <cell r="L683">
            <v>3275.9826139999996</v>
          </cell>
          <cell r="M683">
            <v>272.99855116666663</v>
          </cell>
          <cell r="N683">
            <v>56021.06027799999</v>
          </cell>
          <cell r="O683">
            <v>39321.680961999999</v>
          </cell>
          <cell r="P683">
            <v>0</v>
          </cell>
          <cell r="Q683">
            <v>272.99855116666663</v>
          </cell>
        </row>
        <row r="684">
          <cell r="A684">
            <v>2002</v>
          </cell>
          <cell r="B684">
            <v>0</v>
          </cell>
          <cell r="C684" t="str">
            <v>ИТОГО</v>
          </cell>
          <cell r="F684" t="str">
            <v>ПО КОТЕЛЬНОЙ 66 КВ</v>
          </cell>
          <cell r="K684">
            <v>305942.74124</v>
          </cell>
          <cell r="L684">
            <v>6910.7826139999997</v>
          </cell>
          <cell r="M684">
            <v>575.89855116666672</v>
          </cell>
          <cell r="N684">
            <v>136829.06027799999</v>
          </cell>
          <cell r="O684">
            <v>169113.68096199998</v>
          </cell>
          <cell r="P684">
            <v>0</v>
          </cell>
          <cell r="Q684">
            <v>575.89855116666672</v>
          </cell>
        </row>
        <row r="685">
          <cell r="A685">
            <v>2002</v>
          </cell>
          <cell r="B685">
            <v>0</v>
          </cell>
          <cell r="F685" t="str">
            <v>Котельная 191 квартала</v>
          </cell>
        </row>
        <row r="686">
          <cell r="A686">
            <v>2002</v>
          </cell>
          <cell r="B686">
            <v>0</v>
          </cell>
          <cell r="C686" t="str">
            <v>Здания</v>
          </cell>
        </row>
        <row r="687">
          <cell r="A687">
            <v>2002</v>
          </cell>
          <cell r="B687">
            <v>0</v>
          </cell>
          <cell r="C687" t="str">
            <v>Пристройка к кот. 191 кв.</v>
          </cell>
          <cell r="F687">
            <v>1989</v>
          </cell>
          <cell r="G687">
            <v>10002</v>
          </cell>
          <cell r="H687">
            <v>1.2</v>
          </cell>
          <cell r="I687">
            <v>40225920</v>
          </cell>
          <cell r="J687">
            <v>1.3</v>
          </cell>
          <cell r="K687">
            <v>52293.696000000004</v>
          </cell>
          <cell r="L687">
            <v>627.52435200000002</v>
          </cell>
          <cell r="M687">
            <v>52.293696000000004</v>
          </cell>
          <cell r="N687">
            <v>8157.8165760000002</v>
          </cell>
          <cell r="O687">
            <v>44135.879424000006</v>
          </cell>
          <cell r="P687">
            <v>0</v>
          </cell>
          <cell r="Q687">
            <v>52.293696000000004</v>
          </cell>
        </row>
        <row r="688">
          <cell r="A688">
            <v>2002</v>
          </cell>
          <cell r="B688">
            <v>0</v>
          </cell>
          <cell r="C688" t="str">
            <v>ИТОГО</v>
          </cell>
          <cell r="F688" t="str">
            <v>Здание.</v>
          </cell>
          <cell r="K688">
            <v>52293.696000000004</v>
          </cell>
          <cell r="L688">
            <v>627.52435200000002</v>
          </cell>
          <cell r="M688">
            <v>52.293696000000004</v>
          </cell>
          <cell r="N688">
            <v>8157.8165760000002</v>
          </cell>
          <cell r="O688">
            <v>44135.879424000006</v>
          </cell>
          <cell r="P688">
            <v>0</v>
          </cell>
          <cell r="Q688">
            <v>52.293696000000004</v>
          </cell>
        </row>
        <row r="689">
          <cell r="A689">
            <v>2002</v>
          </cell>
          <cell r="B689">
            <v>0</v>
          </cell>
          <cell r="C689" t="str">
            <v>Передаточные устройства</v>
          </cell>
          <cell r="K689">
            <v>0</v>
          </cell>
          <cell r="N689">
            <v>0</v>
          </cell>
          <cell r="Q689">
            <v>0</v>
          </cell>
        </row>
        <row r="690">
          <cell r="A690">
            <v>2002</v>
          </cell>
          <cell r="B690">
            <v>0</v>
          </cell>
          <cell r="C690" t="str">
            <v>Теплотраса ул Вокзальн.</v>
          </cell>
          <cell r="F690">
            <v>1961</v>
          </cell>
          <cell r="G690">
            <v>30119</v>
          </cell>
          <cell r="H690">
            <v>8.3000000000000007</v>
          </cell>
          <cell r="I690">
            <v>194489568</v>
          </cell>
          <cell r="J690">
            <v>1.27</v>
          </cell>
          <cell r="K690">
            <v>247001.75099999999</v>
          </cell>
          <cell r="L690">
            <v>0</v>
          </cell>
          <cell r="M690">
            <v>0</v>
          </cell>
          <cell r="N690">
            <v>840546.95865300007</v>
          </cell>
          <cell r="O690">
            <v>0</v>
          </cell>
          <cell r="P690">
            <v>593545.20765300002</v>
          </cell>
          <cell r="Q690">
            <v>0</v>
          </cell>
        </row>
        <row r="691">
          <cell r="A691">
            <v>2002</v>
          </cell>
          <cell r="B691">
            <v>0</v>
          </cell>
          <cell r="C691" t="str">
            <v>ИТОГО</v>
          </cell>
          <cell r="F691" t="str">
            <v>ПЕРЕДАТОЧНЫЕ УСТРОЙСТВА</v>
          </cell>
          <cell r="K691">
            <v>247001.75099999999</v>
          </cell>
          <cell r="L691">
            <v>0</v>
          </cell>
          <cell r="M691">
            <v>0</v>
          </cell>
          <cell r="N691">
            <v>840546.95865300007</v>
          </cell>
          <cell r="O691">
            <v>0</v>
          </cell>
          <cell r="P691">
            <v>593545.20765300002</v>
          </cell>
          <cell r="Q691">
            <v>0</v>
          </cell>
        </row>
        <row r="692">
          <cell r="A692">
            <v>2002</v>
          </cell>
          <cell r="B692">
            <v>0</v>
          </cell>
          <cell r="C692" t="str">
            <v>МАШИНЫ И ОБОРУДОВАНИЕ</v>
          </cell>
          <cell r="K692">
            <v>0</v>
          </cell>
          <cell r="N692">
            <v>0</v>
          </cell>
          <cell r="Q692">
            <v>0</v>
          </cell>
        </row>
        <row r="693">
          <cell r="A693">
            <v>2002</v>
          </cell>
          <cell r="B693">
            <v>0</v>
          </cell>
          <cell r="C693" t="str">
            <v>Котел водогрейный.</v>
          </cell>
          <cell r="F693">
            <v>1983</v>
          </cell>
          <cell r="G693">
            <v>40002</v>
          </cell>
          <cell r="H693">
            <v>5</v>
          </cell>
          <cell r="I693">
            <v>43692864</v>
          </cell>
          <cell r="J693">
            <v>1.36</v>
          </cell>
          <cell r="K693">
            <v>29711.15</v>
          </cell>
          <cell r="L693">
            <v>1485.5574999999999</v>
          </cell>
          <cell r="M693">
            <v>123.79645833333332</v>
          </cell>
          <cell r="N693">
            <v>28225.592499999999</v>
          </cell>
          <cell r="O693">
            <v>1485.5575000000026</v>
          </cell>
          <cell r="P693">
            <v>0</v>
          </cell>
          <cell r="Q693">
            <v>123.79645833333332</v>
          </cell>
        </row>
        <row r="694">
          <cell r="A694">
            <v>2002</v>
          </cell>
          <cell r="B694">
            <v>0</v>
          </cell>
          <cell r="C694" t="str">
            <v>Котел водогрейный.</v>
          </cell>
          <cell r="F694">
            <v>1990</v>
          </cell>
          <cell r="G694">
            <v>40002</v>
          </cell>
          <cell r="H694">
            <v>5</v>
          </cell>
          <cell r="I694">
            <v>40329673</v>
          </cell>
          <cell r="J694">
            <v>1.36</v>
          </cell>
          <cell r="K694">
            <v>54848.355000000003</v>
          </cell>
          <cell r="L694">
            <v>2742.4177500000001</v>
          </cell>
          <cell r="M694">
            <v>228.53481250000002</v>
          </cell>
          <cell r="N694">
            <v>32909.012999999999</v>
          </cell>
          <cell r="O694">
            <v>21939.342000000004</v>
          </cell>
          <cell r="P694">
            <v>0</v>
          </cell>
          <cell r="Q694">
            <v>228.53481250000002</v>
          </cell>
        </row>
        <row r="695">
          <cell r="A695">
            <v>2002</v>
          </cell>
          <cell r="B695">
            <v>0</v>
          </cell>
          <cell r="C695" t="str">
            <v>Котел водогрейный</v>
          </cell>
          <cell r="F695">
            <v>1995</v>
          </cell>
          <cell r="G695">
            <v>40002</v>
          </cell>
          <cell r="H695">
            <v>5</v>
          </cell>
          <cell r="I695">
            <v>7262394</v>
          </cell>
          <cell r="J695">
            <v>1.41</v>
          </cell>
          <cell r="K695">
            <v>10239.976000000001</v>
          </cell>
          <cell r="L695">
            <v>511.99880000000007</v>
          </cell>
          <cell r="M695">
            <v>42.666566666666675</v>
          </cell>
          <cell r="N695">
            <v>3583.9916000000003</v>
          </cell>
          <cell r="O695">
            <v>6655.9844000000003</v>
          </cell>
          <cell r="P695">
            <v>0</v>
          </cell>
          <cell r="Q695">
            <v>42.666566666666675</v>
          </cell>
        </row>
        <row r="696">
          <cell r="A696">
            <v>2002</v>
          </cell>
          <cell r="B696">
            <v>0</v>
          </cell>
          <cell r="C696" t="str">
            <v>Котел Ревокатова НР-17</v>
          </cell>
          <cell r="F696">
            <v>1997</v>
          </cell>
          <cell r="G696">
            <v>40002</v>
          </cell>
          <cell r="H696">
            <v>5</v>
          </cell>
          <cell r="I696">
            <v>30000000</v>
          </cell>
          <cell r="J696">
            <v>1.36</v>
          </cell>
          <cell r="K696">
            <v>40800</v>
          </cell>
          <cell r="L696">
            <v>2040</v>
          </cell>
          <cell r="M696">
            <v>170</v>
          </cell>
          <cell r="N696">
            <v>10200</v>
          </cell>
          <cell r="O696">
            <v>30600</v>
          </cell>
          <cell r="P696">
            <v>0</v>
          </cell>
          <cell r="Q696">
            <v>170</v>
          </cell>
        </row>
        <row r="697">
          <cell r="A697">
            <v>2002</v>
          </cell>
          <cell r="B697">
            <v>0</v>
          </cell>
          <cell r="C697" t="str">
            <v>Электродвигатель 2кВт</v>
          </cell>
          <cell r="F697">
            <v>1993</v>
          </cell>
          <cell r="G697">
            <v>40200</v>
          </cell>
          <cell r="H697">
            <v>6.6</v>
          </cell>
          <cell r="I697">
            <v>17172646</v>
          </cell>
          <cell r="J697">
            <v>0.57999999999999996</v>
          </cell>
          <cell r="K697">
            <v>10000</v>
          </cell>
          <cell r="L697">
            <v>660</v>
          </cell>
          <cell r="M697">
            <v>55</v>
          </cell>
          <cell r="N697">
            <v>5940</v>
          </cell>
          <cell r="O697">
            <v>4060</v>
          </cell>
          <cell r="P697">
            <v>0</v>
          </cell>
          <cell r="Q697">
            <v>55</v>
          </cell>
        </row>
        <row r="698">
          <cell r="A698">
            <v>2002</v>
          </cell>
          <cell r="B698">
            <v>0</v>
          </cell>
          <cell r="C698" t="str">
            <v>Сварочный агрегат ДН-53</v>
          </cell>
          <cell r="F698">
            <v>1990</v>
          </cell>
          <cell r="G698">
            <v>40701</v>
          </cell>
          <cell r="H698">
            <v>4.4000000000000004</v>
          </cell>
          <cell r="I698">
            <v>2645994</v>
          </cell>
          <cell r="J698">
            <v>1.21</v>
          </cell>
          <cell r="K698">
            <v>3201.6529999999998</v>
          </cell>
          <cell r="L698">
            <v>140.87273199999998</v>
          </cell>
          <cell r="M698">
            <v>11.739394333333331</v>
          </cell>
          <cell r="N698">
            <v>1690.4727839999998</v>
          </cell>
          <cell r="O698">
            <v>1511.180216</v>
          </cell>
          <cell r="P698">
            <v>0</v>
          </cell>
          <cell r="Q698">
            <v>11.739394333333331</v>
          </cell>
        </row>
        <row r="699">
          <cell r="A699">
            <v>2002</v>
          </cell>
          <cell r="C699" t="str">
            <v>Эл. дв. к насосу 1,5 кВт</v>
          </cell>
          <cell r="F699">
            <v>1973</v>
          </cell>
          <cell r="G699">
            <v>40200</v>
          </cell>
          <cell r="H699">
            <v>6.6</v>
          </cell>
          <cell r="K699">
            <v>4000</v>
          </cell>
          <cell r="L699">
            <v>0</v>
          </cell>
          <cell r="M699">
            <v>0</v>
          </cell>
          <cell r="N699">
            <v>4000</v>
          </cell>
          <cell r="O699">
            <v>0</v>
          </cell>
          <cell r="P699">
            <v>0</v>
          </cell>
          <cell r="Q699">
            <v>0</v>
          </cell>
        </row>
        <row r="700">
          <cell r="A700">
            <v>2002</v>
          </cell>
          <cell r="B700">
            <v>0</v>
          </cell>
          <cell r="C700" t="str">
            <v>Электроблок 58</v>
          </cell>
          <cell r="F700">
            <v>1985</v>
          </cell>
          <cell r="G700">
            <v>40700</v>
          </cell>
          <cell r="H700">
            <v>3.7</v>
          </cell>
          <cell r="I700">
            <v>1820402</v>
          </cell>
          <cell r="J700">
            <v>1.17</v>
          </cell>
          <cell r="K700">
            <v>2129.87</v>
          </cell>
          <cell r="L700">
            <v>78.805189999999996</v>
          </cell>
          <cell r="M700">
            <v>6.567099166666666</v>
          </cell>
          <cell r="N700">
            <v>1339.68823</v>
          </cell>
          <cell r="O700">
            <v>790.18176999999991</v>
          </cell>
          <cell r="P700">
            <v>0</v>
          </cell>
          <cell r="Q700">
            <v>6.567099166666666</v>
          </cell>
        </row>
        <row r="701">
          <cell r="A701">
            <v>2002</v>
          </cell>
          <cell r="B701">
            <v>0</v>
          </cell>
          <cell r="C701" t="str">
            <v>ИТОГО</v>
          </cell>
          <cell r="F701" t="str">
            <v>МАШИНЫ И ОБОРУДОВАНИЕ</v>
          </cell>
          <cell r="K701">
            <v>154931.00399999999</v>
          </cell>
          <cell r="L701">
            <v>7659.6519719999997</v>
          </cell>
          <cell r="M701">
            <v>638.30433100000005</v>
          </cell>
          <cell r="N701">
            <v>87888.758113999997</v>
          </cell>
          <cell r="O701">
            <v>67042.245886000004</v>
          </cell>
          <cell r="P701">
            <v>0</v>
          </cell>
          <cell r="Q701">
            <v>638.30433100000005</v>
          </cell>
        </row>
        <row r="702">
          <cell r="A702">
            <v>2002</v>
          </cell>
          <cell r="B702">
            <v>0</v>
          </cell>
          <cell r="C702" t="str">
            <v>ИТОГО</v>
          </cell>
          <cell r="F702" t="str">
            <v>по 191 кварталу</v>
          </cell>
          <cell r="K702">
            <v>454226.451</v>
          </cell>
          <cell r="L702">
            <v>8287.176324</v>
          </cell>
          <cell r="M702">
            <v>690.598027</v>
          </cell>
          <cell r="N702">
            <v>936593.53334299999</v>
          </cell>
          <cell r="O702">
            <v>111178.12531</v>
          </cell>
          <cell r="P702">
            <v>593545.20765300002</v>
          </cell>
          <cell r="Q702">
            <v>690.598027</v>
          </cell>
        </row>
        <row r="703">
          <cell r="C703" t="str">
            <v>Здание.</v>
          </cell>
          <cell r="F703" t="str">
            <v>Промышленник</v>
          </cell>
        </row>
        <row r="704">
          <cell r="A704">
            <v>2002</v>
          </cell>
          <cell r="B704">
            <v>0</v>
          </cell>
          <cell r="C704" t="str">
            <v>Промышленник</v>
          </cell>
          <cell r="F704">
            <v>1975</v>
          </cell>
          <cell r="K704">
            <v>379450</v>
          </cell>
          <cell r="L704">
            <v>0</v>
          </cell>
          <cell r="M704">
            <v>0</v>
          </cell>
          <cell r="N704">
            <v>0</v>
          </cell>
          <cell r="O704">
            <v>379450</v>
          </cell>
          <cell r="P704">
            <v>0</v>
          </cell>
          <cell r="Q704">
            <v>0</v>
          </cell>
          <cell r="R704">
            <v>379450</v>
          </cell>
        </row>
        <row r="705">
          <cell r="A705">
            <v>2002</v>
          </cell>
          <cell r="B705">
            <v>0</v>
          </cell>
          <cell r="C705" t="str">
            <v>Здание котельной</v>
          </cell>
          <cell r="F705">
            <v>1970</v>
          </cell>
          <cell r="K705">
            <v>61404</v>
          </cell>
          <cell r="L705">
            <v>0</v>
          </cell>
          <cell r="M705">
            <v>0</v>
          </cell>
          <cell r="N705">
            <v>0</v>
          </cell>
          <cell r="O705">
            <v>61404</v>
          </cell>
          <cell r="P705">
            <v>0</v>
          </cell>
          <cell r="Q705">
            <v>0</v>
          </cell>
          <cell r="R705">
            <v>61404</v>
          </cell>
        </row>
        <row r="706">
          <cell r="A706">
            <v>2002</v>
          </cell>
          <cell r="B706">
            <v>0</v>
          </cell>
          <cell r="C706" t="str">
            <v>ИТОГО</v>
          </cell>
          <cell r="F706" t="str">
            <v>Здание.</v>
          </cell>
          <cell r="K706">
            <v>440854</v>
          </cell>
          <cell r="L706">
            <v>0</v>
          </cell>
          <cell r="M706">
            <v>0</v>
          </cell>
          <cell r="N706">
            <v>0</v>
          </cell>
          <cell r="O706">
            <v>440854</v>
          </cell>
          <cell r="P706">
            <v>0</v>
          </cell>
          <cell r="Q706">
            <v>0</v>
          </cell>
        </row>
        <row r="707">
          <cell r="C707" t="str">
            <v>ИТОГО</v>
          </cell>
          <cell r="F707" t="str">
            <v>Промышленник</v>
          </cell>
          <cell r="K707">
            <v>440854</v>
          </cell>
          <cell r="L707">
            <v>0</v>
          </cell>
          <cell r="M707">
            <v>0</v>
          </cell>
          <cell r="N707">
            <v>0</v>
          </cell>
          <cell r="O707">
            <v>440854</v>
          </cell>
          <cell r="P707">
            <v>0</v>
          </cell>
          <cell r="Q707">
            <v>0</v>
          </cell>
          <cell r="R707">
            <v>0</v>
          </cell>
        </row>
        <row r="708">
          <cell r="A708">
            <v>2002</v>
          </cell>
          <cell r="B708">
            <v>0</v>
          </cell>
          <cell r="F708" t="str">
            <v>Совхоз Пугачёвский</v>
          </cell>
          <cell r="Q708" t="str">
            <v/>
          </cell>
        </row>
        <row r="709">
          <cell r="C709" t="str">
            <v>Здание.</v>
          </cell>
        </row>
        <row r="710">
          <cell r="A710">
            <v>2002</v>
          </cell>
          <cell r="B710">
            <v>0</v>
          </cell>
          <cell r="C710" t="str">
            <v>Здание котельной</v>
          </cell>
          <cell r="E710">
            <v>11</v>
          </cell>
          <cell r="F710">
            <v>1966</v>
          </cell>
          <cell r="G710">
            <v>10004</v>
          </cell>
          <cell r="H710">
            <v>2.5</v>
          </cell>
          <cell r="K710">
            <v>97883.199999999997</v>
          </cell>
          <cell r="L710">
            <v>2447.08</v>
          </cell>
          <cell r="M710">
            <v>203.92333333333332</v>
          </cell>
          <cell r="N710">
            <v>88094.88</v>
          </cell>
          <cell r="O710">
            <v>9788.3199999999924</v>
          </cell>
          <cell r="P710">
            <v>0</v>
          </cell>
          <cell r="Q710">
            <v>203.92333333333332</v>
          </cell>
          <cell r="R710">
            <v>97883.199999999997</v>
          </cell>
        </row>
        <row r="711">
          <cell r="C711" t="str">
            <v>ИТОГО</v>
          </cell>
          <cell r="F711" t="str">
            <v>Здание.</v>
          </cell>
          <cell r="K711">
            <v>97883.199999999997</v>
          </cell>
          <cell r="L711">
            <v>2447.08</v>
          </cell>
          <cell r="M711">
            <v>203.92333333333332</v>
          </cell>
          <cell r="N711">
            <v>88094.88</v>
          </cell>
          <cell r="O711">
            <v>9788.3199999999924</v>
          </cell>
          <cell r="P711">
            <v>0</v>
          </cell>
          <cell r="Q711">
            <v>203.92333333333332</v>
          </cell>
        </row>
        <row r="712">
          <cell r="C712" t="str">
            <v>СООРУЖЕНИЯ</v>
          </cell>
        </row>
        <row r="713">
          <cell r="A713">
            <v>2002</v>
          </cell>
          <cell r="B713">
            <v>0</v>
          </cell>
          <cell r="C713" t="str">
            <v>Теплотрасса</v>
          </cell>
          <cell r="E713">
            <v>11</v>
          </cell>
          <cell r="F713">
            <v>1991</v>
          </cell>
          <cell r="G713">
            <v>30119</v>
          </cell>
          <cell r="H713">
            <v>8.3000000000000007</v>
          </cell>
          <cell r="K713">
            <v>652400.9</v>
          </cell>
          <cell r="L713">
            <v>54149.274700000009</v>
          </cell>
          <cell r="M713">
            <v>4512.4395583333344</v>
          </cell>
          <cell r="N713">
            <v>595642.02170000016</v>
          </cell>
          <cell r="O713">
            <v>56758.878299999866</v>
          </cell>
          <cell r="P713">
            <v>0</v>
          </cell>
          <cell r="Q713">
            <v>4512.4395583333344</v>
          </cell>
          <cell r="R713">
            <v>652400.9</v>
          </cell>
        </row>
        <row r="714">
          <cell r="C714" t="str">
            <v>ИТОГО</v>
          </cell>
          <cell r="F714" t="str">
            <v>СООРУЖЕНИЯ</v>
          </cell>
          <cell r="K714">
            <v>652400.9</v>
          </cell>
          <cell r="L714">
            <v>54149.274700000009</v>
          </cell>
          <cell r="M714">
            <v>4512.4395583333344</v>
          </cell>
          <cell r="N714">
            <v>595642.02170000016</v>
          </cell>
          <cell r="O714">
            <v>56758.878299999866</v>
          </cell>
          <cell r="P714">
            <v>0</v>
          </cell>
          <cell r="Q714">
            <v>4512.4395583333344</v>
          </cell>
          <cell r="R714">
            <v>652400.9</v>
          </cell>
        </row>
        <row r="715">
          <cell r="C715" t="str">
            <v>МАШИНЫ И ОБОРУДОВАНИЕ</v>
          </cell>
        </row>
        <row r="716">
          <cell r="A716">
            <v>2002</v>
          </cell>
          <cell r="B716">
            <v>0</v>
          </cell>
          <cell r="C716" t="str">
            <v>котёл Универсальный</v>
          </cell>
          <cell r="E716">
            <v>11</v>
          </cell>
          <cell r="F716">
            <v>1991</v>
          </cell>
          <cell r="G716">
            <v>40002</v>
          </cell>
          <cell r="H716">
            <v>5</v>
          </cell>
          <cell r="K716">
            <v>23500</v>
          </cell>
          <cell r="L716">
            <v>1175</v>
          </cell>
          <cell r="M716">
            <v>97.916666666666671</v>
          </cell>
          <cell r="N716">
            <v>12925</v>
          </cell>
          <cell r="O716">
            <v>10575</v>
          </cell>
          <cell r="P716">
            <v>0</v>
          </cell>
          <cell r="Q716">
            <v>97.916666666666671</v>
          </cell>
          <cell r="R716">
            <v>23500</v>
          </cell>
        </row>
        <row r="717">
          <cell r="A717">
            <v>2002</v>
          </cell>
          <cell r="B717">
            <v>0</v>
          </cell>
          <cell r="C717" t="str">
            <v>котёл Братск</v>
          </cell>
          <cell r="E717">
            <v>11</v>
          </cell>
          <cell r="F717">
            <v>1992</v>
          </cell>
          <cell r="G717">
            <v>40002</v>
          </cell>
          <cell r="H717">
            <v>5</v>
          </cell>
          <cell r="K717">
            <v>42500</v>
          </cell>
          <cell r="L717">
            <v>2125</v>
          </cell>
          <cell r="M717">
            <v>177.08333333333334</v>
          </cell>
          <cell r="N717">
            <v>21250</v>
          </cell>
          <cell r="O717">
            <v>21250</v>
          </cell>
          <cell r="P717">
            <v>0</v>
          </cell>
          <cell r="Q717">
            <v>177.08333333333334</v>
          </cell>
          <cell r="R717">
            <v>42500</v>
          </cell>
        </row>
        <row r="718">
          <cell r="A718">
            <v>2002</v>
          </cell>
          <cell r="B718">
            <v>0</v>
          </cell>
          <cell r="C718" t="str">
            <v>котёл Братск</v>
          </cell>
          <cell r="E718">
            <v>11</v>
          </cell>
          <cell r="F718">
            <v>1992</v>
          </cell>
          <cell r="G718">
            <v>40002</v>
          </cell>
          <cell r="H718">
            <v>5</v>
          </cell>
          <cell r="K718">
            <v>42500</v>
          </cell>
          <cell r="L718">
            <v>2125</v>
          </cell>
          <cell r="M718">
            <v>177.08333333333334</v>
          </cell>
          <cell r="N718">
            <v>21250</v>
          </cell>
          <cell r="O718">
            <v>21250</v>
          </cell>
          <cell r="P718">
            <v>0</v>
          </cell>
          <cell r="Q718">
            <v>177.08333333333334</v>
          </cell>
          <cell r="R718">
            <v>42500</v>
          </cell>
        </row>
        <row r="719">
          <cell r="C719" t="str">
            <v>ИТОГО</v>
          </cell>
          <cell r="F719" t="str">
            <v>МАШИНЫ И ОБОРУДОВАНИЕ</v>
          </cell>
          <cell r="K719">
            <v>108500</v>
          </cell>
          <cell r="L719">
            <v>5425</v>
          </cell>
          <cell r="M719">
            <v>452.08333333333337</v>
          </cell>
          <cell r="N719">
            <v>55425</v>
          </cell>
          <cell r="O719">
            <v>53075</v>
          </cell>
          <cell r="P719">
            <v>0</v>
          </cell>
          <cell r="Q719">
            <v>452.08333333333337</v>
          </cell>
        </row>
        <row r="720">
          <cell r="A720">
            <v>2002</v>
          </cell>
          <cell r="C720" t="str">
            <v>ИТОГО</v>
          </cell>
          <cell r="F720" t="str">
            <v>Совхоз Пугачёвский</v>
          </cell>
          <cell r="K720">
            <v>858784.1</v>
          </cell>
          <cell r="L720">
            <v>62021.354700000011</v>
          </cell>
          <cell r="M720">
            <v>5168.4462250000006</v>
          </cell>
          <cell r="N720">
            <v>739161.90170000016</v>
          </cell>
          <cell r="O720">
            <v>119622.19829999986</v>
          </cell>
          <cell r="P720">
            <v>0</v>
          </cell>
          <cell r="Q720">
            <v>5168.4462250000006</v>
          </cell>
          <cell r="R720">
            <v>85000</v>
          </cell>
        </row>
        <row r="721">
          <cell r="A721">
            <v>2002</v>
          </cell>
          <cell r="F721" t="str">
            <v>ИТК - 17 - ЖЭУ</v>
          </cell>
        </row>
        <row r="722">
          <cell r="C722" t="str">
            <v>ПЕРЕДАТОЧНЫЕ УСТРОЙСТВА</v>
          </cell>
        </row>
        <row r="723">
          <cell r="A723">
            <v>2002</v>
          </cell>
          <cell r="B723">
            <v>0</v>
          </cell>
          <cell r="C723" t="str">
            <v>Теплотрасса д8/4</v>
          </cell>
          <cell r="E723">
            <v>1</v>
          </cell>
          <cell r="F723">
            <v>1981</v>
          </cell>
          <cell r="G723">
            <v>30121</v>
          </cell>
          <cell r="H723">
            <v>4</v>
          </cell>
          <cell r="K723">
            <v>13884</v>
          </cell>
          <cell r="L723">
            <v>555.36</v>
          </cell>
          <cell r="M723">
            <v>46.28</v>
          </cell>
          <cell r="N723">
            <v>11662.56</v>
          </cell>
          <cell r="O723">
            <v>2221.4400000000005</v>
          </cell>
          <cell r="P723">
            <v>0</v>
          </cell>
          <cell r="Q723">
            <v>46.28</v>
          </cell>
        </row>
        <row r="724">
          <cell r="A724">
            <v>2002</v>
          </cell>
          <cell r="B724">
            <v>0</v>
          </cell>
          <cell r="C724" t="str">
            <v>Теплотрасса д8/3</v>
          </cell>
          <cell r="E724">
            <v>1</v>
          </cell>
          <cell r="F724">
            <v>1981</v>
          </cell>
          <cell r="G724">
            <v>30121</v>
          </cell>
          <cell r="H724">
            <v>4</v>
          </cell>
          <cell r="K724">
            <v>9750</v>
          </cell>
          <cell r="L724">
            <v>390</v>
          </cell>
          <cell r="M724">
            <v>32.5</v>
          </cell>
          <cell r="N724">
            <v>8190</v>
          </cell>
          <cell r="O724">
            <v>1560</v>
          </cell>
          <cell r="P724">
            <v>0</v>
          </cell>
          <cell r="Q724">
            <v>32.5</v>
          </cell>
        </row>
        <row r="725">
          <cell r="A725">
            <v>2002</v>
          </cell>
          <cell r="B725">
            <v>0</v>
          </cell>
          <cell r="C725" t="str">
            <v>Теплотрасса д5</v>
          </cell>
          <cell r="E725">
            <v>1</v>
          </cell>
          <cell r="F725">
            <v>1981</v>
          </cell>
          <cell r="G725">
            <v>30121</v>
          </cell>
          <cell r="H725">
            <v>4</v>
          </cell>
          <cell r="K725">
            <v>1450</v>
          </cell>
          <cell r="L725">
            <v>58</v>
          </cell>
          <cell r="M725">
            <v>4.833333333333333</v>
          </cell>
          <cell r="N725">
            <v>1218</v>
          </cell>
          <cell r="O725">
            <v>232</v>
          </cell>
          <cell r="P725">
            <v>0</v>
          </cell>
          <cell r="Q725">
            <v>4.833333333333333</v>
          </cell>
        </row>
        <row r="726">
          <cell r="A726">
            <v>2002</v>
          </cell>
          <cell r="B726">
            <v>0</v>
          </cell>
          <cell r="C726" t="str">
            <v>Теплотрасса д4/1</v>
          </cell>
          <cell r="E726">
            <v>1</v>
          </cell>
          <cell r="F726">
            <v>1981</v>
          </cell>
          <cell r="G726">
            <v>30121</v>
          </cell>
          <cell r="H726">
            <v>4</v>
          </cell>
          <cell r="K726">
            <v>4625</v>
          </cell>
          <cell r="L726">
            <v>185</v>
          </cell>
          <cell r="M726">
            <v>15.416666666666666</v>
          </cell>
          <cell r="N726">
            <v>3885</v>
          </cell>
          <cell r="O726">
            <v>740</v>
          </cell>
          <cell r="P726">
            <v>0</v>
          </cell>
          <cell r="Q726">
            <v>15.416666666666666</v>
          </cell>
        </row>
        <row r="727">
          <cell r="A727">
            <v>2002</v>
          </cell>
          <cell r="B727">
            <v>0</v>
          </cell>
          <cell r="C727" t="str">
            <v>Теплотрасса д6</v>
          </cell>
          <cell r="E727">
            <v>1</v>
          </cell>
          <cell r="F727">
            <v>1981</v>
          </cell>
          <cell r="G727">
            <v>30121</v>
          </cell>
          <cell r="H727">
            <v>4</v>
          </cell>
          <cell r="K727">
            <v>1290</v>
          </cell>
          <cell r="L727">
            <v>51.6</v>
          </cell>
          <cell r="M727">
            <v>4.3</v>
          </cell>
          <cell r="N727">
            <v>1083.6000000000001</v>
          </cell>
          <cell r="O727">
            <v>206.39999999999986</v>
          </cell>
          <cell r="P727">
            <v>0</v>
          </cell>
          <cell r="Q727">
            <v>4.3</v>
          </cell>
        </row>
        <row r="728">
          <cell r="A728">
            <v>2002</v>
          </cell>
          <cell r="B728">
            <v>0</v>
          </cell>
          <cell r="C728" t="str">
            <v>Теплотрасса д8/2</v>
          </cell>
          <cell r="E728">
            <v>1</v>
          </cell>
          <cell r="F728">
            <v>1981</v>
          </cell>
          <cell r="G728">
            <v>30121</v>
          </cell>
          <cell r="H728">
            <v>4</v>
          </cell>
          <cell r="K728">
            <v>15340</v>
          </cell>
          <cell r="L728">
            <v>613.6</v>
          </cell>
          <cell r="M728">
            <v>51.133333333333333</v>
          </cell>
          <cell r="N728">
            <v>12885.6</v>
          </cell>
          <cell r="O728">
            <v>2454.3999999999996</v>
          </cell>
          <cell r="P728">
            <v>0</v>
          </cell>
          <cell r="Q728">
            <v>51.133333333333333</v>
          </cell>
        </row>
        <row r="729">
          <cell r="A729">
            <v>2002</v>
          </cell>
          <cell r="B729">
            <v>0</v>
          </cell>
          <cell r="C729" t="str">
            <v>Теплотрасса д5</v>
          </cell>
          <cell r="E729">
            <v>1</v>
          </cell>
          <cell r="F729">
            <v>1981</v>
          </cell>
          <cell r="G729">
            <v>30121</v>
          </cell>
          <cell r="H729">
            <v>4</v>
          </cell>
          <cell r="K729">
            <v>3904</v>
          </cell>
          <cell r="L729">
            <v>156.16</v>
          </cell>
          <cell r="M729">
            <v>13.013333333333334</v>
          </cell>
          <cell r="N729">
            <v>3279.36</v>
          </cell>
          <cell r="O729">
            <v>624.63999999999987</v>
          </cell>
          <cell r="P729">
            <v>0</v>
          </cell>
          <cell r="Q729">
            <v>13.013333333333334</v>
          </cell>
        </row>
        <row r="730">
          <cell r="A730">
            <v>2002</v>
          </cell>
          <cell r="B730">
            <v>0</v>
          </cell>
          <cell r="C730" t="str">
            <v>Теплотрасса д8</v>
          </cell>
          <cell r="E730">
            <v>1</v>
          </cell>
          <cell r="F730">
            <v>1981</v>
          </cell>
          <cell r="G730">
            <v>30121</v>
          </cell>
          <cell r="H730">
            <v>4</v>
          </cell>
          <cell r="K730">
            <v>1250</v>
          </cell>
          <cell r="L730">
            <v>50</v>
          </cell>
          <cell r="M730">
            <v>4.166666666666667</v>
          </cell>
          <cell r="N730">
            <v>1050</v>
          </cell>
          <cell r="O730">
            <v>200</v>
          </cell>
          <cell r="P730">
            <v>0</v>
          </cell>
          <cell r="Q730">
            <v>4.166666666666667</v>
          </cell>
        </row>
        <row r="731">
          <cell r="A731">
            <v>2002</v>
          </cell>
          <cell r="B731">
            <v>0</v>
          </cell>
          <cell r="C731" t="str">
            <v>Теплотрасса д7</v>
          </cell>
          <cell r="E731">
            <v>1</v>
          </cell>
          <cell r="F731">
            <v>1981</v>
          </cell>
          <cell r="G731">
            <v>30121</v>
          </cell>
          <cell r="H731">
            <v>4</v>
          </cell>
          <cell r="K731">
            <v>1940</v>
          </cell>
          <cell r="L731">
            <v>77.599999999999994</v>
          </cell>
          <cell r="M731">
            <v>6.4666666666666659</v>
          </cell>
          <cell r="N731">
            <v>1629.6</v>
          </cell>
          <cell r="O731">
            <v>310.40000000000009</v>
          </cell>
          <cell r="P731">
            <v>0</v>
          </cell>
          <cell r="Q731">
            <v>6.4666666666666659</v>
          </cell>
        </row>
        <row r="732">
          <cell r="A732">
            <v>2002</v>
          </cell>
          <cell r="B732">
            <v>0</v>
          </cell>
          <cell r="C732" t="str">
            <v>Теплотрасса д4/1</v>
          </cell>
          <cell r="E732">
            <v>1</v>
          </cell>
          <cell r="F732">
            <v>1981</v>
          </cell>
          <cell r="G732">
            <v>30121</v>
          </cell>
          <cell r="H732">
            <v>4</v>
          </cell>
          <cell r="K732">
            <v>1450</v>
          </cell>
          <cell r="L732">
            <v>58</v>
          </cell>
          <cell r="M732">
            <v>4.833333333333333</v>
          </cell>
          <cell r="N732">
            <v>1218</v>
          </cell>
          <cell r="O732">
            <v>232</v>
          </cell>
          <cell r="P732">
            <v>0</v>
          </cell>
          <cell r="Q732">
            <v>4.833333333333333</v>
          </cell>
        </row>
        <row r="733">
          <cell r="A733">
            <v>2002</v>
          </cell>
          <cell r="B733">
            <v>0</v>
          </cell>
          <cell r="C733" t="str">
            <v>Теплотрасса д3/1</v>
          </cell>
          <cell r="E733">
            <v>1</v>
          </cell>
          <cell r="F733">
            <v>1981</v>
          </cell>
          <cell r="G733">
            <v>30121</v>
          </cell>
          <cell r="H733">
            <v>4</v>
          </cell>
          <cell r="K733">
            <v>6840</v>
          </cell>
          <cell r="L733">
            <v>273.60000000000002</v>
          </cell>
          <cell r="M733">
            <v>22.8</v>
          </cell>
          <cell r="N733">
            <v>5745.6</v>
          </cell>
          <cell r="O733">
            <v>1094.3999999999996</v>
          </cell>
          <cell r="P733">
            <v>0</v>
          </cell>
          <cell r="Q733">
            <v>22.8</v>
          </cell>
        </row>
        <row r="734">
          <cell r="A734">
            <v>2002</v>
          </cell>
          <cell r="B734">
            <v>0</v>
          </cell>
          <cell r="C734" t="str">
            <v>Теплотрасса 8/1</v>
          </cell>
          <cell r="E734">
            <v>1</v>
          </cell>
          <cell r="F734">
            <v>1981</v>
          </cell>
          <cell r="G734">
            <v>30121</v>
          </cell>
          <cell r="H734">
            <v>4</v>
          </cell>
          <cell r="K734">
            <v>8100</v>
          </cell>
          <cell r="L734">
            <v>324</v>
          </cell>
          <cell r="M734">
            <v>27</v>
          </cell>
          <cell r="N734">
            <v>6804</v>
          </cell>
          <cell r="O734">
            <v>1296</v>
          </cell>
          <cell r="P734">
            <v>0</v>
          </cell>
          <cell r="Q734">
            <v>27</v>
          </cell>
        </row>
        <row r="735">
          <cell r="A735">
            <v>2002</v>
          </cell>
          <cell r="C735" t="str">
            <v>ИТОГО</v>
          </cell>
          <cell r="F735" t="str">
            <v>ПЕРЕДАТОЧНЫЕ УСТРОЙСТВА</v>
          </cell>
          <cell r="K735">
            <v>69823</v>
          </cell>
          <cell r="L735">
            <v>2792.92</v>
          </cell>
          <cell r="M735">
            <v>232.74333333333334</v>
          </cell>
          <cell r="N735">
            <v>58651.319999999992</v>
          </cell>
          <cell r="O735">
            <v>11171.679999999998</v>
          </cell>
          <cell r="P735">
            <v>0</v>
          </cell>
          <cell r="Q735">
            <v>232.74333333333334</v>
          </cell>
          <cell r="R735">
            <v>0</v>
          </cell>
        </row>
        <row r="736">
          <cell r="A736">
            <v>2002</v>
          </cell>
          <cell r="C736" t="str">
            <v>итого</v>
          </cell>
          <cell r="F736" t="str">
            <v>ИТК - 17 - ЖЭУ</v>
          </cell>
          <cell r="K736">
            <v>69823</v>
          </cell>
          <cell r="L736">
            <v>2792.92</v>
          </cell>
          <cell r="M736">
            <v>232.74333333333334</v>
          </cell>
          <cell r="N736">
            <v>58651.319999999992</v>
          </cell>
          <cell r="O736">
            <v>11171.679999999998</v>
          </cell>
          <cell r="P736">
            <v>0</v>
          </cell>
          <cell r="Q736">
            <v>232.74333333333334</v>
          </cell>
          <cell r="R736">
            <v>0</v>
          </cell>
        </row>
        <row r="737">
          <cell r="A737">
            <v>2002</v>
          </cell>
          <cell r="C737" t="str">
            <v>ВСЕГО</v>
          </cell>
          <cell r="I737">
            <v>440817877902</v>
          </cell>
          <cell r="K737">
            <v>329743145.36849016</v>
          </cell>
          <cell r="L737">
            <v>3501538.5458206441</v>
          </cell>
          <cell r="M737">
            <v>261164.21409648153</v>
          </cell>
          <cell r="N737">
            <v>89430337.447024375</v>
          </cell>
          <cell r="O737">
            <v>252074626.02544397</v>
          </cell>
          <cell r="P737">
            <v>11858265.45441027</v>
          </cell>
          <cell r="Q737">
            <v>261164.21409648153</v>
          </cell>
          <cell r="R737">
            <v>43400504.489999987</v>
          </cell>
        </row>
        <row r="738">
          <cell r="A738">
            <v>2002</v>
          </cell>
          <cell r="Q738" t="str">
            <v/>
          </cell>
        </row>
        <row r="767">
          <cell r="Q767" t="str">
            <v/>
          </cell>
        </row>
        <row r="768">
          <cell r="Q768" t="str">
            <v/>
          </cell>
        </row>
        <row r="769">
          <cell r="E769" t="str">
            <v>РАСЧЕТ ОСНОВНЫХ СРЕДСТВ НА 1 ЯНВАРЯ  2000  ГОДА</v>
          </cell>
          <cell r="Q769" t="str">
            <v/>
          </cell>
          <cell r="R769" t="str">
            <v/>
          </cell>
          <cell r="S769" t="str">
            <v/>
          </cell>
        </row>
        <row r="770">
          <cell r="Q770" t="str">
            <v/>
          </cell>
          <cell r="R770" t="str">
            <v/>
          </cell>
          <cell r="S770" t="str">
            <v/>
          </cell>
        </row>
        <row r="771">
          <cell r="F771" t="str">
            <v>ГОД</v>
          </cell>
          <cell r="G771" t="str">
            <v>ШИФР</v>
          </cell>
          <cell r="H771" t="str">
            <v>НОРМЫ</v>
          </cell>
          <cell r="I771" t="str">
            <v>ПЕРВОНАЧАЛЬНАЯ</v>
          </cell>
          <cell r="J771" t="str">
            <v xml:space="preserve">  КОЭФ.</v>
          </cell>
          <cell r="Q771" t="str">
            <v/>
          </cell>
          <cell r="R771" t="str">
            <v>ПРИХОД</v>
          </cell>
          <cell r="S771" t="str">
            <v>РАСХОД</v>
          </cell>
        </row>
        <row r="772">
          <cell r="E772" t="str">
            <v>НАИМЕНОВАНИЕ</v>
          </cell>
          <cell r="F772" t="str">
            <v>ВВОДА</v>
          </cell>
          <cell r="G772" t="str">
            <v>АМОРТИ-</v>
          </cell>
          <cell r="H772" t="str">
            <v>АМОРТИ-</v>
          </cell>
          <cell r="I772" t="str">
            <v>СТОИМОСТЬ</v>
          </cell>
          <cell r="J772" t="str">
            <v xml:space="preserve">  ПЕРЕ-</v>
          </cell>
          <cell r="K772" t="str">
            <v>БАЛАНСОВАЯ</v>
          </cell>
          <cell r="L772" t="str">
            <v>НАЧИСЛЕНИЕ АМОРТИЗАЦИИ</v>
          </cell>
          <cell r="N772" t="str">
            <v>НАЧИСЛЕНИЕ</v>
          </cell>
          <cell r="O772" t="str">
            <v>ОСТАТОЧНАЯ</v>
          </cell>
          <cell r="Q772" t="str">
            <v>ФАКТИЧЕСКАЯ</v>
          </cell>
        </row>
        <row r="773">
          <cell r="G773" t="str">
            <v>ЗАЦИИ</v>
          </cell>
          <cell r="H773" t="str">
            <v>ЗАЦИИ</v>
          </cell>
          <cell r="I773" t="str">
            <v>(баланс.стоим-ть</v>
          </cell>
          <cell r="J773" t="str">
            <v xml:space="preserve">  ОЦЕНКИ</v>
          </cell>
          <cell r="K773" t="str">
            <v>СТОИМОСТЬ</v>
          </cell>
          <cell r="L773" t="str">
            <v>ЗА ГОД</v>
          </cell>
          <cell r="M773" t="str">
            <v>ЗА МЕСЯЦ</v>
          </cell>
          <cell r="N773" t="str">
            <v>ИЗНОСА</v>
          </cell>
          <cell r="O773" t="str">
            <v>СТОИМОСТЬ</v>
          </cell>
          <cell r="Q773" t="str">
            <v>АМОРТИЗАЦИЯ</v>
          </cell>
        </row>
        <row r="774">
          <cell r="I774" t="str">
            <v>1996 г.</v>
          </cell>
          <cell r="J774" t="str">
            <v xml:space="preserve">  (факт)</v>
          </cell>
          <cell r="K774" t="str">
            <v/>
          </cell>
          <cell r="Q774" t="str">
            <v>НА МЕСЯЦ</v>
          </cell>
        </row>
        <row r="776">
          <cell r="E776" t="str">
            <v>ЖИЛЬЕ</v>
          </cell>
          <cell r="I776">
            <v>413977388904</v>
          </cell>
          <cell r="J776">
            <v>55.8</v>
          </cell>
          <cell r="K776">
            <v>304549728.33496994</v>
          </cell>
          <cell r="L776">
            <v>2708906.3479435621</v>
          </cell>
          <cell r="M776">
            <v>196045.22323455822</v>
          </cell>
          <cell r="N776">
            <v>75469136.826275736</v>
          </cell>
          <cell r="O776">
            <v>239152683.93819654</v>
          </cell>
          <cell r="Q776">
            <v>196045.22323455822</v>
          </cell>
          <cell r="R776">
            <v>13559167.289999999</v>
          </cell>
          <cell r="S776">
            <v>75970.73</v>
          </cell>
        </row>
        <row r="777">
          <cell r="E777" t="str">
            <v>ПЕРЕДАТОЧНЫЕ УСТРОЙСТВА</v>
          </cell>
          <cell r="I777" t="e">
            <v>#REF!</v>
          </cell>
          <cell r="J777" t="e">
            <v>#REF!</v>
          </cell>
          <cell r="K777">
            <v>5227120.5410000002</v>
          </cell>
          <cell r="L777">
            <v>322515.26047700003</v>
          </cell>
          <cell r="M777">
            <v>26614.092039583342</v>
          </cell>
          <cell r="N777">
            <v>4240030.4167900011</v>
          </cell>
          <cell r="O777">
            <v>2412055.6996930004</v>
          </cell>
          <cell r="Q777">
            <v>26614.092039583342</v>
          </cell>
          <cell r="R777">
            <v>0</v>
          </cell>
          <cell r="S777">
            <v>0</v>
          </cell>
        </row>
        <row r="778">
          <cell r="E778" t="str">
            <v>СООРУЖЕНИЯ</v>
          </cell>
          <cell r="I778">
            <v>1610778682</v>
          </cell>
          <cell r="J778">
            <v>11.879999999999999</v>
          </cell>
          <cell r="K778">
            <v>2208353.3411599998</v>
          </cell>
          <cell r="L778">
            <v>99376.067710120013</v>
          </cell>
          <cell r="M778">
            <v>8281.338975843335</v>
          </cell>
          <cell r="N778">
            <v>1329483.6521298401</v>
          </cell>
          <cell r="O778">
            <v>813022.47677800001</v>
          </cell>
          <cell r="Q778">
            <v>8281.338975843335</v>
          </cell>
          <cell r="R778">
            <v>652400.9</v>
          </cell>
          <cell r="S778">
            <v>0</v>
          </cell>
        </row>
        <row r="779">
          <cell r="E779" t="str">
            <v>МАШИНЫ И ОБОРУДОВАНИЯ</v>
          </cell>
          <cell r="I779" t="e">
            <v>#REF!</v>
          </cell>
          <cell r="J779" t="e">
            <v>#REF!</v>
          </cell>
          <cell r="K779">
            <v>3960791.3063599998</v>
          </cell>
          <cell r="L779">
            <v>128923.74937095999</v>
          </cell>
          <cell r="M779">
            <v>10103.263239246668</v>
          </cell>
          <cell r="N779">
            <v>2774497.2818807601</v>
          </cell>
          <cell r="O779">
            <v>1214024.9742292401</v>
          </cell>
          <cell r="Q779">
            <v>10103.263239246668</v>
          </cell>
          <cell r="R779">
            <v>45000</v>
          </cell>
          <cell r="S779">
            <v>0</v>
          </cell>
        </row>
        <row r="780">
          <cell r="E780" t="str">
            <v>ЗДАНИЯ</v>
          </cell>
          <cell r="I780" t="e">
            <v>#REF!</v>
          </cell>
          <cell r="J780" t="e">
            <v>#REF!</v>
          </cell>
          <cell r="K780">
            <v>12206586.365999999</v>
          </cell>
          <cell r="L780">
            <v>164955.80967699998</v>
          </cell>
          <cell r="M780">
            <v>13731.54038975</v>
          </cell>
          <cell r="N780">
            <v>4354884.8163149999</v>
          </cell>
          <cell r="O780">
            <v>7534537.8221500013</v>
          </cell>
          <cell r="Q780">
            <v>13731.54038975</v>
          </cell>
          <cell r="R780">
            <v>0</v>
          </cell>
          <cell r="S780">
            <v>0</v>
          </cell>
        </row>
        <row r="781">
          <cell r="E781" t="str">
            <v>ТРАНСПОРТНЫЕ УСТРОЙСТВА</v>
          </cell>
          <cell r="I781" t="e">
            <v>#REF!</v>
          </cell>
          <cell r="J781" t="e">
            <v>#REF!</v>
          </cell>
          <cell r="K781">
            <v>1475319.2019999998</v>
          </cell>
          <cell r="L781">
            <v>72320.927084999974</v>
          </cell>
          <cell r="M781">
            <v>6026.743923750003</v>
          </cell>
          <cell r="N781">
            <v>1208590.243023</v>
          </cell>
          <cell r="O781">
            <v>255281.60854499994</v>
          </cell>
          <cell r="Q781">
            <v>6026.743923750003</v>
          </cell>
          <cell r="R781">
            <v>156753.69</v>
          </cell>
          <cell r="S781">
            <v>0</v>
          </cell>
        </row>
        <row r="782">
          <cell r="E782" t="str">
            <v>ХОЗ. ИНВЕНТАРЬ ПРОИЗВОД.</v>
          </cell>
          <cell r="I782">
            <v>39446304</v>
          </cell>
          <cell r="J782">
            <v>24.310000000000002</v>
          </cell>
          <cell r="K782">
            <v>30246.277000000002</v>
          </cell>
          <cell r="L782">
            <v>290.38355699999994</v>
          </cell>
          <cell r="M782">
            <v>7.8456270833333335</v>
          </cell>
          <cell r="N782">
            <v>53714.210610000009</v>
          </cell>
          <cell r="O782">
            <v>1002.5318999999998</v>
          </cell>
          <cell r="Q782">
            <v>7.8456270833333335</v>
          </cell>
          <cell r="R782">
            <v>0</v>
          </cell>
          <cell r="S782">
            <v>0</v>
          </cell>
        </row>
        <row r="783">
          <cell r="E783" t="str">
            <v>ЖИЛЫЕ АРЕНДОВАННЫЕ</v>
          </cell>
          <cell r="K783">
            <v>244900.23376999999</v>
          </cell>
          <cell r="L783">
            <v>1987.5530701600001</v>
          </cell>
          <cell r="M783">
            <v>161.69175584666669</v>
          </cell>
          <cell r="N783">
            <v>58807.044344800015</v>
          </cell>
          <cell r="O783">
            <v>187794.26142520001</v>
          </cell>
          <cell r="Q783">
            <v>161.69175584666669</v>
          </cell>
        </row>
        <row r="784">
          <cell r="E784" t="str">
            <v>НЕЖИЛЫЕ АРЕНДОВАННЫЕ</v>
          </cell>
          <cell r="I784" t="e">
            <v>#REF!</v>
          </cell>
          <cell r="J784" t="e">
            <v>#REF!</v>
          </cell>
          <cell r="K784">
            <v>1796462.1287700001</v>
          </cell>
          <cell r="L784">
            <v>35291.017249429999</v>
          </cell>
          <cell r="M784">
            <v>600.97725000000003</v>
          </cell>
          <cell r="N784">
            <v>2687857.4420872401</v>
          </cell>
          <cell r="O784">
            <v>455192.12400000001</v>
          </cell>
          <cell r="Q784">
            <v>600.97725000000003</v>
          </cell>
        </row>
        <row r="785">
          <cell r="Q785" t="str">
            <v/>
          </cell>
        </row>
        <row r="786">
          <cell r="E786" t="str">
            <v>ИТОГО</v>
          </cell>
          <cell r="I786" t="e">
            <v>#REF!</v>
          </cell>
          <cell r="J786" t="e">
            <v>#REF!</v>
          </cell>
          <cell r="K786">
            <v>329658145.36848998</v>
          </cell>
          <cell r="L786">
            <v>3497288.5458206427</v>
          </cell>
          <cell r="M786">
            <v>260810.04742981491</v>
          </cell>
          <cell r="N786">
            <v>89430337.447024345</v>
          </cell>
          <cell r="O786">
            <v>251382609.05149177</v>
          </cell>
          <cell r="Q786">
            <v>260810.04742981491</v>
          </cell>
        </row>
        <row r="787">
          <cell r="Q787" t="str">
            <v/>
          </cell>
        </row>
        <row r="788">
          <cell r="F788" t="str">
            <v>АМОРТИЗАЦИЯ НА 1 ЯНВАРЯ 2000 г.</v>
          </cell>
          <cell r="Q788" t="str">
            <v/>
          </cell>
        </row>
        <row r="790">
          <cell r="E790" t="str">
            <v>НАИМЕНОВАНИЕ</v>
          </cell>
          <cell r="F790" t="str">
            <v>ГОД</v>
          </cell>
          <cell r="G790" t="str">
            <v>ШИФР</v>
          </cell>
          <cell r="H790" t="str">
            <v>НОРМЫ</v>
          </cell>
          <cell r="I790" t="str">
            <v>ПЕРВОНАЧАЛЬНАЯ</v>
          </cell>
          <cell r="J790" t="str">
            <v xml:space="preserve">  КОЭФ.</v>
          </cell>
          <cell r="K790" t="str">
            <v>БАЛАНСОВАЯ</v>
          </cell>
          <cell r="L790" t="str">
            <v>НАЧИСЛЕНИЕ АМОРТИЗАЦИИ</v>
          </cell>
          <cell r="N790" t="str">
            <v>НАЧИСЛЕНИЕ</v>
          </cell>
          <cell r="O790" t="str">
            <v>ОСТАТОЧНАЯ</v>
          </cell>
          <cell r="Q790" t="str">
            <v>ФАКТИЧЕСКАЯ</v>
          </cell>
        </row>
        <row r="791">
          <cell r="F791" t="str">
            <v>ВВОДА</v>
          </cell>
          <cell r="G791" t="str">
            <v>АМОРТИ-</v>
          </cell>
          <cell r="H791" t="str">
            <v>АМОРТИ-</v>
          </cell>
          <cell r="I791" t="str">
            <v>СТОИМОСТЬ</v>
          </cell>
          <cell r="J791" t="str">
            <v xml:space="preserve">  ПЕРЕ-</v>
          </cell>
          <cell r="K791" t="str">
            <v>СТОИМОСТЬ</v>
          </cell>
          <cell r="N791" t="str">
            <v>ИЗНОСА</v>
          </cell>
          <cell r="O791" t="str">
            <v>СТОИМОСТЬ</v>
          </cell>
          <cell r="Q791" t="str">
            <v>АМОРТИЗАЦИЯ</v>
          </cell>
        </row>
        <row r="792">
          <cell r="G792" t="str">
            <v>ЗАЦИИ</v>
          </cell>
          <cell r="H792" t="str">
            <v>ЗАЦИИ</v>
          </cell>
          <cell r="I792" t="str">
            <v>(баланс.стоим-ть</v>
          </cell>
          <cell r="J792" t="str">
            <v xml:space="preserve">  ОЦЕНКИ</v>
          </cell>
          <cell r="K792" t="str">
            <v/>
          </cell>
          <cell r="L792" t="str">
            <v>ЗА ГОД</v>
          </cell>
          <cell r="M792" t="str">
            <v>ЗА МЕСЯЦ</v>
          </cell>
          <cell r="Q792" t="str">
            <v>НА МЕСЯЦ</v>
          </cell>
        </row>
        <row r="793">
          <cell r="I793" t="str">
            <v>1996 г.</v>
          </cell>
          <cell r="J793" t="str">
            <v xml:space="preserve">  (факт)</v>
          </cell>
          <cell r="K793" t="str">
            <v/>
          </cell>
          <cell r="Q793" t="str">
            <v/>
          </cell>
        </row>
        <row r="795">
          <cell r="E795" t="str">
            <v>ОБЩИЙ ИТОГ ПО ЖИЛЬЮ</v>
          </cell>
          <cell r="I795">
            <v>413977388904</v>
          </cell>
          <cell r="J795">
            <v>55.8</v>
          </cell>
          <cell r="K795">
            <v>304549728.33496994</v>
          </cell>
          <cell r="L795">
            <v>2708906.3479435621</v>
          </cell>
          <cell r="M795">
            <v>196045.22323455822</v>
          </cell>
          <cell r="N795">
            <v>75469136.826275736</v>
          </cell>
          <cell r="O795">
            <v>239152683.93819654</v>
          </cell>
          <cell r="Q795">
            <v>196045.22323455822</v>
          </cell>
        </row>
        <row r="796">
          <cell r="E796" t="str">
            <v>ОБЩИЙ ИТОГ ПО ГОСТИНИЦЕ</v>
          </cell>
          <cell r="I796">
            <v>3225432408</v>
          </cell>
          <cell r="J796">
            <v>29.04</v>
          </cell>
          <cell r="K796">
            <v>2449310.4219999998</v>
          </cell>
          <cell r="L796">
            <v>24841.464067000001</v>
          </cell>
          <cell r="M796">
            <v>2019.24983625</v>
          </cell>
          <cell r="N796">
            <v>761783.1733100001</v>
          </cell>
          <cell r="O796">
            <v>1690582.0676</v>
          </cell>
          <cell r="Q796">
            <v>2019.24983625</v>
          </cell>
        </row>
        <row r="797">
          <cell r="E797" t="str">
            <v>ОБЩИЙ ИТОГ ПО БАНЕ</v>
          </cell>
          <cell r="I797">
            <v>1274302458</v>
          </cell>
          <cell r="J797">
            <v>17.48</v>
          </cell>
          <cell r="K797">
            <v>1201822.338</v>
          </cell>
          <cell r="L797">
            <v>19956.737509999999</v>
          </cell>
          <cell r="M797">
            <v>1403.6947924999999</v>
          </cell>
          <cell r="N797">
            <v>1354227.683641</v>
          </cell>
          <cell r="O797">
            <v>149991.58697399998</v>
          </cell>
          <cell r="Q797">
            <v>1403.6947924999999</v>
          </cell>
        </row>
        <row r="798">
          <cell r="E798" t="str">
            <v>ОБЩИЙ ИТОГ ПО ПРАЧЕЧНОЙ</v>
          </cell>
          <cell r="I798">
            <v>346825452</v>
          </cell>
          <cell r="J798">
            <v>8.69</v>
          </cell>
          <cell r="K798">
            <v>372031.429</v>
          </cell>
          <cell r="L798">
            <v>5206.7303789999996</v>
          </cell>
          <cell r="M798">
            <v>433.89419824999999</v>
          </cell>
          <cell r="N798">
            <v>223174.47636999999</v>
          </cell>
          <cell r="O798">
            <v>148856.95263000001</v>
          </cell>
          <cell r="Q798">
            <v>433.89419824999999</v>
          </cell>
        </row>
        <row r="799">
          <cell r="E799" t="str">
            <v>ОБЩИЙ ИТОГ ПО СПЕЦ.ОТХ</v>
          </cell>
          <cell r="I799">
            <v>1317337243</v>
          </cell>
          <cell r="J799">
            <v>30.6</v>
          </cell>
          <cell r="K799">
            <v>1508976.0749999997</v>
          </cell>
          <cell r="L799">
            <v>71394.875684999977</v>
          </cell>
          <cell r="M799">
            <v>5866.2396404166693</v>
          </cell>
          <cell r="N799">
            <v>1250395.7950229999</v>
          </cell>
          <cell r="O799">
            <v>247132.92954499993</v>
          </cell>
          <cell r="Q799">
            <v>5866.2396404166693</v>
          </cell>
        </row>
        <row r="800">
          <cell r="E800" t="str">
            <v>ОБЩИЙ ИТОГ ПО КОТЕЛЬНОЙ СЗМР</v>
          </cell>
          <cell r="I800">
            <v>12542119384</v>
          </cell>
          <cell r="J800">
            <v>38.17</v>
          </cell>
          <cell r="K800">
            <v>13210585.893000001</v>
          </cell>
          <cell r="L800">
            <v>453248.80326100002</v>
          </cell>
          <cell r="M800">
            <v>37770.73360508334</v>
          </cell>
          <cell r="N800">
            <v>7048349.6057360005</v>
          </cell>
          <cell r="O800">
            <v>6964893.3044349998</v>
          </cell>
          <cell r="Q800">
            <v>37770.73360508334</v>
          </cell>
        </row>
        <row r="801">
          <cell r="E801" t="str">
            <v>ОБЩИЙ ИТОГ ПО ЖЭУ</v>
          </cell>
          <cell r="I801">
            <v>1732520758</v>
          </cell>
          <cell r="J801">
            <v>49.16</v>
          </cell>
          <cell r="K801">
            <v>981461.08227999997</v>
          </cell>
          <cell r="L801">
            <v>21742.773169079999</v>
          </cell>
          <cell r="M801">
            <v>1786.10313909</v>
          </cell>
          <cell r="N801">
            <v>238591.46476260002</v>
          </cell>
          <cell r="O801">
            <v>90066.203415239986</v>
          </cell>
          <cell r="Q801">
            <v>1786.10313909</v>
          </cell>
        </row>
        <row r="802">
          <cell r="E802" t="str">
            <v>ОБЩИЙ ИТОГ ПО СЕНИЦЫ</v>
          </cell>
          <cell r="I802">
            <v>6351210015</v>
          </cell>
          <cell r="J802">
            <v>15.923</v>
          </cell>
          <cell r="K802">
            <v>3190818.2339999997</v>
          </cell>
          <cell r="L802">
            <v>107610.88144800001</v>
          </cell>
          <cell r="M802">
            <v>8453.2479538333337</v>
          </cell>
          <cell r="N802">
            <v>1168566.5374250002</v>
          </cell>
          <cell r="O802">
            <v>2067557.1852840001</v>
          </cell>
          <cell r="Q802">
            <v>8453.2479538333337</v>
          </cell>
        </row>
        <row r="803">
          <cell r="E803" t="str">
            <v>ОБЩИЙ ИТОГ ПО СПАСАТЕЛЬНОЙ СТАНЦИИ</v>
          </cell>
          <cell r="I803" t="e">
            <v>#REF!</v>
          </cell>
          <cell r="J803" t="e">
            <v>#REF!</v>
          </cell>
          <cell r="K803">
            <v>37317.127</v>
          </cell>
          <cell r="L803">
            <v>1926.0513999999998</v>
          </cell>
          <cell r="M803">
            <v>160.50428333333332</v>
          </cell>
          <cell r="N803">
            <v>29168.447999999997</v>
          </cell>
          <cell r="O803">
            <v>8148.6790000000001</v>
          </cell>
          <cell r="Q803">
            <v>160.50428333333332</v>
          </cell>
        </row>
        <row r="804">
          <cell r="E804" t="str">
            <v>ОБЩИЙ ИТОГ ПО КОНТОРЕ</v>
          </cell>
          <cell r="K804">
            <v>20626.141</v>
          </cell>
          <cell r="L804">
            <v>1828.6573199999998</v>
          </cell>
          <cell r="M804">
            <v>152.38810999999998</v>
          </cell>
          <cell r="N804">
            <v>11416.69116</v>
          </cell>
          <cell r="O804">
            <v>9209.4498400000011</v>
          </cell>
          <cell r="Q804">
            <v>152.38810999999998</v>
          </cell>
        </row>
        <row r="805">
          <cell r="E805" t="str">
            <v>ОБЩИЙ ИТОГ ПО ВЕЩЕВОМУ РЫНКУ</v>
          </cell>
          <cell r="K805">
            <v>5838</v>
          </cell>
          <cell r="L805">
            <v>612.99</v>
          </cell>
          <cell r="M805">
            <v>51.082500000000003</v>
          </cell>
          <cell r="N805">
            <v>4290.93</v>
          </cell>
          <cell r="O805">
            <v>1547.0699999999997</v>
          </cell>
          <cell r="Q805">
            <v>51.082500000000003</v>
          </cell>
        </row>
        <row r="806">
          <cell r="E806" t="str">
            <v>ОБЩИЙ ИТОГ ПО сов. ПУГАЧЁВСКИЙ</v>
          </cell>
          <cell r="K806">
            <v>858784.1</v>
          </cell>
          <cell r="L806">
            <v>62021.354700000011</v>
          </cell>
          <cell r="M806">
            <v>5168.4462250000006</v>
          </cell>
          <cell r="N806">
            <v>739161.90170000016</v>
          </cell>
          <cell r="O806">
            <v>119622.19829999986</v>
          </cell>
          <cell r="Q806">
            <v>5168.4462250000006</v>
          </cell>
        </row>
        <row r="807">
          <cell r="E807" t="str">
            <v>ОБЩИЙ ИТОГ ПО КОТЕЛЬНОЙ 191 КВАРТАЛА</v>
          </cell>
          <cell r="K807">
            <v>454226.451</v>
          </cell>
          <cell r="L807">
            <v>8287.176324</v>
          </cell>
          <cell r="M807">
            <v>690.598027</v>
          </cell>
          <cell r="N807">
            <v>936593.53334299999</v>
          </cell>
          <cell r="O807">
            <v>111178.12531</v>
          </cell>
          <cell r="Q807">
            <v>690.598027</v>
          </cell>
        </row>
        <row r="808">
          <cell r="E808" t="str">
            <v>ОБЩИЙ ИТОГ ПО КОТЕЛЬНОЙ 66 КВАРТАЛА</v>
          </cell>
          <cell r="K808">
            <v>305942.74124</v>
          </cell>
          <cell r="L808">
            <v>6910.7826139999997</v>
          </cell>
          <cell r="M808">
            <v>575.89855116666672</v>
          </cell>
          <cell r="N808">
            <v>136829.06027799999</v>
          </cell>
          <cell r="O808">
            <v>169113.68096199998</v>
          </cell>
          <cell r="Q808">
            <v>575.89855116666672</v>
          </cell>
        </row>
        <row r="809">
          <cell r="E809" t="str">
            <v>ОБЩИЙ ИТОГ ПО ПРОМЫШЛЕННИКУ</v>
          </cell>
          <cell r="K809">
            <v>440854</v>
          </cell>
          <cell r="L809">
            <v>0</v>
          </cell>
          <cell r="M809">
            <v>0</v>
          </cell>
          <cell r="N809">
            <v>0</v>
          </cell>
          <cell r="O809">
            <v>440854</v>
          </cell>
          <cell r="Q809">
            <v>0</v>
          </cell>
        </row>
        <row r="810">
          <cell r="E810" t="str">
            <v>ОБЩИЙ ИТОГ ПО ИТК - 17</v>
          </cell>
          <cell r="K810">
            <v>69823</v>
          </cell>
          <cell r="L810">
            <v>2792.92</v>
          </cell>
          <cell r="M810">
            <v>232.74333333333334</v>
          </cell>
          <cell r="N810">
            <v>58651.319999999992</v>
          </cell>
          <cell r="O810">
            <v>11171.679999999998</v>
          </cell>
          <cell r="Q810">
            <v>232.74333333333334</v>
          </cell>
        </row>
        <row r="811">
          <cell r="E811" t="str">
            <v>ВСЕГО</v>
          </cell>
          <cell r="I811" t="e">
            <v>#REF!</v>
          </cell>
          <cell r="J811" t="e">
            <v>#REF!</v>
          </cell>
          <cell r="K811">
            <v>329658145.36848992</v>
          </cell>
          <cell r="L811">
            <v>3497288.5458206427</v>
          </cell>
          <cell r="M811">
            <v>260810.04742981491</v>
          </cell>
          <cell r="N811">
            <v>89430337.44702433</v>
          </cell>
          <cell r="O811">
            <v>251382609.0514918</v>
          </cell>
          <cell r="Q811">
            <v>260810.04742981491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Заголовок"/>
      <sheetName val="2010"/>
      <sheetName val="ГВ 2009"/>
      <sheetName val="ГВ янв"/>
      <sheetName val="ГВ февр"/>
      <sheetName val="ГВ март"/>
      <sheetName val="ГВ апр"/>
      <sheetName val="ГВ май"/>
      <sheetName val="ГВ июнь"/>
      <sheetName val="ГВ июль"/>
      <sheetName val="ГВ авг"/>
      <sheetName val="ГВ сент"/>
      <sheetName val="пар 2009"/>
      <sheetName val="пар янв"/>
      <sheetName val="пар февр"/>
      <sheetName val="пар март"/>
      <sheetName val="пар апр"/>
      <sheetName val="пар май"/>
      <sheetName val="пар июнь"/>
      <sheetName val="пар июль"/>
      <sheetName val="пар авг"/>
      <sheetName val="пар сент"/>
      <sheetName val="Консультации"/>
      <sheetName val="Проверка"/>
      <sheetName val="REESTR_ORG"/>
      <sheetName val="REESTR"/>
      <sheetName val="TEHSHEET"/>
      <sheetName val="Контакты"/>
      <sheetName val="TECHSHEET"/>
      <sheetName val="Подрядчики"/>
    </sheetNames>
    <sheetDataSet>
      <sheetData sheetId="0">
        <row r="2">
          <cell r="C2" t="e">
            <v>#NAME?</v>
          </cell>
        </row>
      </sheetData>
      <sheetData sheetId="1">
        <row r="20">
          <cell r="B20" t="str">
            <v>Краснодарский край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">
          <cell r="F4" t="str">
            <v>Январь</v>
          </cell>
          <cell r="I4">
            <v>2006</v>
          </cell>
        </row>
        <row r="5">
          <cell r="F5" t="str">
            <v>Февраль</v>
          </cell>
          <cell r="I5">
            <v>2007</v>
          </cell>
          <cell r="K5" t="str">
            <v>Да</v>
          </cell>
        </row>
        <row r="6">
          <cell r="F6" t="str">
            <v>Март</v>
          </cell>
          <cell r="I6">
            <v>2008</v>
          </cell>
          <cell r="K6" t="str">
            <v>Нет</v>
          </cell>
        </row>
        <row r="7">
          <cell r="F7" t="str">
            <v>Апрель</v>
          </cell>
          <cell r="I7">
            <v>2009</v>
          </cell>
        </row>
        <row r="8">
          <cell r="F8" t="str">
            <v>Май</v>
          </cell>
          <cell r="I8">
            <v>2010</v>
          </cell>
        </row>
        <row r="9">
          <cell r="F9" t="str">
            <v>Июнь</v>
          </cell>
          <cell r="I9">
            <v>2011</v>
          </cell>
        </row>
        <row r="10">
          <cell r="F10" t="str">
            <v>Июль</v>
          </cell>
          <cell r="I10">
            <v>2012</v>
          </cell>
        </row>
        <row r="11">
          <cell r="F11" t="str">
            <v>Август</v>
          </cell>
          <cell r="I11">
            <v>2013</v>
          </cell>
        </row>
        <row r="12">
          <cell r="F12" t="str">
            <v>Сентябрь</v>
          </cell>
          <cell r="I12">
            <v>2014</v>
          </cell>
        </row>
        <row r="13">
          <cell r="F13" t="str">
            <v>Октябрь</v>
          </cell>
          <cell r="I13">
            <v>2015</v>
          </cell>
        </row>
        <row r="14">
          <cell r="F14" t="str">
            <v>Ноябрь</v>
          </cell>
          <cell r="I14">
            <v>2016</v>
          </cell>
        </row>
        <row r="15">
          <cell r="F15" t="str">
            <v>Декабрь</v>
          </cell>
          <cell r="I15">
            <v>2017</v>
          </cell>
        </row>
        <row r="16">
          <cell r="F16" t="str">
            <v>Год</v>
          </cell>
          <cell r="I16">
            <v>2018</v>
          </cell>
        </row>
        <row r="17">
          <cell r="I17">
            <v>2019</v>
          </cell>
        </row>
        <row r="18">
          <cell r="I18">
            <v>2020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Options"/>
      <sheetName val="CODE"/>
      <sheetName val="TECHSHEET"/>
      <sheetName val="META"/>
      <sheetName val="TestLog"/>
      <sheetName val="modfrmAnalytics"/>
      <sheetName val="modfrmReports"/>
      <sheetName val="SOL"/>
      <sheetName val="TRANC"/>
      <sheetName val="TEHSHEET"/>
      <sheetName val="Заголовок"/>
      <sheetName val="Инструк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INFO.TARIFF.TRANSPORT.5.86</v>
          </cell>
        </row>
        <row r="2">
          <cell r="B2" t="str">
            <v>INFO_TARIFF_TRANSPORT_5_86_</v>
          </cell>
        </row>
        <row r="7">
          <cell r="B7" t="str">
            <v>datascreen</v>
          </cell>
        </row>
        <row r="8">
          <cell r="B8" t="str">
            <v>"</v>
          </cell>
        </row>
      </sheetData>
      <sheetData sheetId="8"/>
      <sheetData sheetId="9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TEHSHEET"/>
      <sheetName val="Заголовок"/>
      <sheetName val="Инструкция"/>
      <sheetName val="Гр5(о)"/>
      <sheetName val="База"/>
      <sheetName val="м3 2015 "/>
      <sheetName val="vec"/>
      <sheetName val="SOL"/>
      <sheetName val="2002(v1)"/>
      <sheetName val="2002_v2_"/>
      <sheetName val="2002(v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Гр5_о_"/>
      <sheetName val="Свод"/>
      <sheetName val="TECHSHEET"/>
      <sheetName val="Стр1"/>
      <sheetName val="Список"/>
      <sheetName val="2002(v1)"/>
      <sheetName val="REESTR_MO"/>
      <sheetName val="Титульный"/>
      <sheetName val="таблица7 (технол.нужды)"/>
      <sheetName val="таблица7 (хоз.нужды)"/>
      <sheetName val="TEHSHEET"/>
      <sheetName val="Лист2"/>
      <sheetName val="База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  <sheetName val="6_12"/>
      <sheetName val="6_14"/>
      <sheetName val="6_7"/>
      <sheetName val="6_8"/>
      <sheetName val="6_9_2"/>
      <sheetName val="6_9_1"/>
      <sheetName val="6_9"/>
      <sheetName val="6_10_1"/>
      <sheetName val="6_22"/>
      <sheetName val="6_17"/>
      <sheetName val="6_15"/>
      <sheetName val="6_11_1"/>
      <sheetName val="6_19"/>
      <sheetName val="6_20"/>
      <sheetName val="6_28"/>
      <sheetName val="6_5_1_ТНП"/>
      <sheetName val="6_13"/>
      <sheetName val="6_23"/>
      <sheetName val="6_24"/>
      <sheetName val="6_21"/>
      <sheetName val="Огл__Графиков"/>
      <sheetName val="Текущие_цены"/>
      <sheetName val="СБ"/>
      <sheetName val="Факт БДР"/>
      <sheetName val="ДДС (Форма №3)"/>
      <sheetName val="00"/>
      <sheetName val="Материалы"/>
      <sheetName val="tech"/>
      <sheetName val="REESTR_ORG"/>
      <sheetName val="НВВ по уровням"/>
      <sheetName val="REESTR"/>
      <sheetName val="Восстановл_Лист7"/>
      <sheetName val="Восстановл_Лист15"/>
      <sheetName val="Восстановл_Лист11"/>
      <sheetName val="Восстановл_Лист21"/>
      <sheetName val="ПОДПИСИ"/>
      <sheetName val="топография"/>
      <sheetName val="Прочти меня!"/>
      <sheetName val="#ССЫЛКА"/>
      <sheetName val="Лист1"/>
      <sheetName val="Прочти_меня!"/>
      <sheetName val="2002(v2)"/>
      <sheetName val="Реж_НКК"/>
      <sheetName val="ДАО"/>
      <sheetName val="1999-veca"/>
      <sheetName val="влад-таблица"/>
      <sheetName val="Заявка"/>
      <sheetName val="пр_5_1"/>
      <sheetName val="Смета"/>
      <sheetName val="Подрядчики"/>
      <sheetName val="УСО"/>
      <sheetName val="Актив"/>
      <sheetName val="Реестр"/>
      <sheetName val="Вариант1"/>
      <sheetName val="TSheet"/>
      <sheetName val="ИТ-бюджет"/>
      <sheetName val="Исходные данные"/>
      <sheetName val="Общехозяйственные расходы"/>
      <sheetName val="Штатное"/>
      <sheetName val="Предлагаемая новая форма СТРС"/>
      <sheetName val="5"/>
      <sheetName val="11."/>
      <sheetName val="7"/>
      <sheetName val="10"/>
      <sheetName val="12"/>
      <sheetName val="3."/>
      <sheetName val="9."/>
      <sheetName val="8"/>
      <sheetName val="4."/>
      <sheetName val="заявка_на_произ"/>
      <sheetName val="темпы роста"/>
      <sheetName val="Услуги АТЦ"/>
      <sheetName val="СВОД ЗАТРАТ"/>
      <sheetName val="Цены"/>
      <sheetName val="MAIN"/>
      <sheetName val="ЗП (админ)"/>
      <sheetName val="УПРАВЛЕНИЕ11"/>
      <sheetName val="system"/>
      <sheetName val="Проект"/>
      <sheetName val="Топливо_пр_гК"/>
      <sheetName val="Под_воды_пр_г"/>
      <sheetName val="Пр_ст_вод_пр_г"/>
      <sheetName val="Топливо_пр_гВ "/>
      <sheetName val="Реаг_пр_годВ"/>
      <sheetName val="Реаг_пр_годК"/>
      <sheetName val="Лист17"/>
      <sheetName val="14б ДПН отчет"/>
      <sheetName val="16а Сводный анали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Раздел1"/>
      <sheetName val="Раздел2"/>
      <sheetName val="Комментарии"/>
      <sheetName val="Проверка"/>
      <sheetName val="TEHSHEET"/>
      <sheetName val="et_union"/>
      <sheetName val="AllSheetsInThisWorkbook"/>
      <sheetName val="modUpdTemplMain"/>
      <sheetName val="REESTR_ORG_VS"/>
      <sheetName val="REESTR_ORG_VO"/>
      <sheetName val="REESTR_ORG_TBO"/>
      <sheetName val="REESTR_FILTERED"/>
      <sheetName val="REESTR_MO"/>
      <sheetName val="modHyp"/>
      <sheetName val="modChange"/>
      <sheetName val="modCheck"/>
      <sheetName val="modTitleSheetHeaders"/>
      <sheetName val="modServiceModule"/>
      <sheetName val="modCommandButton"/>
      <sheetName val="modReestr"/>
      <sheetName val="modClassifierValidate"/>
      <sheetName val="modInfo"/>
      <sheetName val="modfrmReestr"/>
      <sheetName val="modfrmDateChoose"/>
      <sheetName val="Гр5(о)"/>
      <sheetName val="1.2. ГВС"/>
      <sheetName val="Т.1.17"/>
      <sheetName val="Стр1"/>
      <sheetName val="Список"/>
      <sheetName val="ПРОГНОЗ_1"/>
      <sheetName val="Табл Т.10.1"/>
      <sheetName val="База"/>
      <sheetName val="SOL"/>
    </sheetNames>
    <sheetDataSet>
      <sheetData sheetId="0"/>
      <sheetData sheetId="1">
        <row r="12">
          <cell r="F12">
            <v>2011</v>
          </cell>
        </row>
      </sheetData>
      <sheetData sheetId="2">
        <row r="2">
          <cell r="B2" t="str">
            <v>да</v>
          </cell>
        </row>
      </sheetData>
      <sheetData sheetId="3">
        <row r="12">
          <cell r="F12">
            <v>2011</v>
          </cell>
        </row>
        <row r="18">
          <cell r="F18" t="str">
            <v>Водоснабжение</v>
          </cell>
        </row>
      </sheetData>
      <sheetData sheetId="4">
        <row r="2">
          <cell r="B2" t="str">
            <v>да</v>
          </cell>
        </row>
      </sheetData>
      <sheetData sheetId="5">
        <row r="2">
          <cell r="B2" t="str">
            <v>да</v>
          </cell>
        </row>
      </sheetData>
      <sheetData sheetId="6">
        <row r="2">
          <cell r="B2" t="str">
            <v>да</v>
          </cell>
        </row>
      </sheetData>
      <sheetData sheetId="7">
        <row r="2">
          <cell r="B2" t="str">
            <v>да</v>
          </cell>
        </row>
      </sheetData>
      <sheetData sheetId="8">
        <row r="2">
          <cell r="B2" t="str">
            <v>да</v>
          </cell>
        </row>
        <row r="3">
          <cell r="B3" t="str">
            <v>нет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Гр5_о_"/>
      <sheetName val="Стр1"/>
      <sheetName val="Список"/>
      <sheetName val="Свод"/>
      <sheetName val="TECHSHEET"/>
      <sheetName val="2002(v1)"/>
      <sheetName val="REESTR_MO"/>
      <sheetName val="Титульный"/>
      <sheetName val="таблица7 (технол.нужды)"/>
      <sheetName val="таблица7 (хоз.нужды)"/>
      <sheetName val="TEHSHEET"/>
      <sheetName val="Лист2"/>
      <sheetName val="База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  <sheetName val="6_12"/>
      <sheetName val="6_14"/>
      <sheetName val="6_7"/>
      <sheetName val="6_8"/>
      <sheetName val="6_9_2"/>
      <sheetName val="6_9_1"/>
      <sheetName val="6_9"/>
      <sheetName val="6_10_1"/>
      <sheetName val="6_22"/>
      <sheetName val="6_17"/>
      <sheetName val="6_15"/>
      <sheetName val="6_11_1"/>
      <sheetName val="6_19"/>
      <sheetName val="6_20"/>
      <sheetName val="6_28"/>
      <sheetName val="6_5_1_ТНП"/>
      <sheetName val="6_13"/>
      <sheetName val="6_23"/>
      <sheetName val="6_24"/>
      <sheetName val="6_21"/>
      <sheetName val="Огл__Графиков"/>
      <sheetName val="Текущие_цены"/>
      <sheetName val="СБ"/>
      <sheetName val="Факт БДР"/>
      <sheetName val="ДДС (Форма №3)"/>
      <sheetName val="00"/>
      <sheetName val="Материалы"/>
      <sheetName val="tech"/>
      <sheetName val="REESTR_ORG"/>
      <sheetName val="НВВ по уровням"/>
      <sheetName val="REESTR"/>
      <sheetName val="Восстановл_Лист7"/>
      <sheetName val="Восстановл_Лист15"/>
      <sheetName val="Восстановл_Лист11"/>
      <sheetName val="Восстановл_Лист21"/>
      <sheetName val="ПОДПИСИ"/>
      <sheetName val="топография"/>
      <sheetName val="Прочти меня!"/>
      <sheetName val="#ССЫЛКА"/>
      <sheetName val="Лист1"/>
      <sheetName val="Прочти_меня!"/>
      <sheetName val="2002(v2)"/>
      <sheetName val="Реж_НКК"/>
      <sheetName val="ДАО"/>
      <sheetName val="1999-veca"/>
      <sheetName val="влад-таблица"/>
      <sheetName val="Заявка"/>
      <sheetName val="пр_5_1"/>
      <sheetName val="Смета"/>
      <sheetName val="Подрядчи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Титульный"/>
      <sheetName val="Лог обновления"/>
      <sheetName val="Табл.1.15"/>
      <sheetName val="Поставщики"/>
      <sheetName val="Сверка"/>
      <sheetName val="Распределение показателей"/>
      <sheetName val="Комментарии"/>
      <sheetName val="Проверка"/>
      <sheetName val="modfrmCheckUpdates"/>
      <sheetName val="modInfo"/>
      <sheetName val="modUpdTemplMain"/>
      <sheetName val="modInstruction"/>
      <sheetName val="Проверка_back"/>
      <sheetName val="et_union"/>
      <sheetName val="TEHSHEET"/>
      <sheetName val="AllSheetsInThisWorkbook"/>
      <sheetName val="REESTR_MO"/>
      <sheetName val="modfrmReestr"/>
      <sheetName val="modfrmSetErr"/>
      <sheetName val="REESTR_FILTERED"/>
      <sheetName val="REESTR_ORG_VO"/>
      <sheetName val="REESTR_ORG_GAS"/>
      <sheetName val="REESTR_ORG_HOT_VS"/>
      <sheetName val="REESTR_ORG_WARM"/>
      <sheetName val="REESTR_ORG_TBO"/>
      <sheetName val="REESTR_ORG_VS"/>
      <sheetName val="REESTR_ORG_EE"/>
      <sheetName val="REESTR_ORG_VS_VO"/>
      <sheetName val="modfrmDateChoose"/>
      <sheetName val="modfrmTypeIsolator"/>
      <sheetName val="modfrmMonthYearChoose"/>
      <sheetName val="modCommandButton"/>
      <sheetName val="modReestr"/>
      <sheetName val="modServiceModule"/>
      <sheetName val="mod_Tit"/>
      <sheetName val="mod_Coms"/>
      <sheetName val="mod_00"/>
      <sheetName val="mod_02"/>
      <sheetName val="mod_01"/>
      <sheetName val="modfrmUch"/>
      <sheetName val="modfrmAddress"/>
      <sheetName val="mod_wb"/>
      <sheetName val="mod_03"/>
      <sheetName val="modfrmSecretCode"/>
      <sheetName val="SOL"/>
    </sheetNames>
    <sheetDataSet>
      <sheetData sheetId="0"/>
      <sheetData sheetId="1">
        <row r="3">
          <cell r="B3" t="str">
            <v>Версия 3.0</v>
          </cell>
        </row>
      </sheetData>
      <sheetData sheetId="2">
        <row r="13">
          <cell r="J13">
            <v>2016</v>
          </cell>
        </row>
        <row r="18">
          <cell r="J18" t="str">
            <v>ООО "Черномормебель ТЭН"</v>
          </cell>
        </row>
        <row r="35">
          <cell r="J35" t="str">
            <v>Дремлюга Сергей Владимирович</v>
          </cell>
        </row>
        <row r="43">
          <cell r="J43" t="str">
            <v>Преснякова Ирина Николаевна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V2" t="str">
            <v>01</v>
          </cell>
        </row>
        <row r="3">
          <cell r="V3" t="str">
            <v>02</v>
          </cell>
        </row>
        <row r="4">
          <cell r="V4" t="str">
            <v>03</v>
          </cell>
        </row>
        <row r="5">
          <cell r="E5">
            <v>2014</v>
          </cell>
          <cell r="V5" t="str">
            <v>04</v>
          </cell>
        </row>
        <row r="6">
          <cell r="E6">
            <v>2015</v>
          </cell>
          <cell r="V6" t="str">
            <v>05</v>
          </cell>
        </row>
        <row r="7">
          <cell r="E7">
            <v>2016</v>
          </cell>
          <cell r="V7" t="str">
            <v>06</v>
          </cell>
        </row>
        <row r="8">
          <cell r="E8">
            <v>2017</v>
          </cell>
          <cell r="V8" t="str">
            <v>07</v>
          </cell>
        </row>
        <row r="9">
          <cell r="E9">
            <v>2018</v>
          </cell>
          <cell r="V9" t="str">
            <v>08</v>
          </cell>
        </row>
        <row r="10">
          <cell r="E10">
            <v>2019</v>
          </cell>
          <cell r="V10" t="str">
            <v>09</v>
          </cell>
        </row>
        <row r="11">
          <cell r="E11">
            <v>2020</v>
          </cell>
          <cell r="V11" t="str">
            <v>10</v>
          </cell>
        </row>
        <row r="12">
          <cell r="E12">
            <v>2021</v>
          </cell>
        </row>
        <row r="13">
          <cell r="E13">
            <v>2022</v>
          </cell>
        </row>
        <row r="14">
          <cell r="E14">
            <v>2023</v>
          </cell>
        </row>
        <row r="15">
          <cell r="E15">
            <v>2024</v>
          </cell>
        </row>
        <row r="16">
          <cell r="E16">
            <v>2025</v>
          </cell>
        </row>
      </sheetData>
      <sheetData sheetId="17"/>
      <sheetData sheetId="18">
        <row r="2">
          <cell r="D2" t="str">
            <v>Абинский муниципальный район</v>
          </cell>
        </row>
        <row r="3">
          <cell r="D3" t="str">
            <v>Апшеронский муниципальный район</v>
          </cell>
        </row>
        <row r="4">
          <cell r="D4" t="str">
            <v>Белоглинский муниципальный район</v>
          </cell>
        </row>
        <row r="5">
          <cell r="D5" t="str">
            <v>Белореченский муниципальный район</v>
          </cell>
        </row>
        <row r="6">
          <cell r="D6" t="str">
            <v>Брюховецкий муниципальный район</v>
          </cell>
        </row>
        <row r="7">
          <cell r="D7" t="str">
            <v>Выселковский муниципальный район</v>
          </cell>
        </row>
        <row r="8">
          <cell r="D8" t="str">
            <v>Город Армавир</v>
          </cell>
        </row>
        <row r="9">
          <cell r="D9" t="str">
            <v>Город Горячий Ключ</v>
          </cell>
        </row>
        <row r="10">
          <cell r="D10" t="str">
            <v>Город Краснодар</v>
          </cell>
        </row>
        <row r="11">
          <cell r="D11" t="str">
            <v>Город Новороссийск</v>
          </cell>
        </row>
        <row r="12">
          <cell r="D12" t="str">
            <v>Город-курорт Анапа</v>
          </cell>
        </row>
        <row r="13">
          <cell r="D13" t="str">
            <v>Город-курорт Геленджик</v>
          </cell>
        </row>
        <row r="14">
          <cell r="D14" t="str">
            <v>Город-курорт Сочи</v>
          </cell>
        </row>
        <row r="15">
          <cell r="D15" t="str">
            <v>Гулькевичский муниципальный район</v>
          </cell>
        </row>
        <row r="16">
          <cell r="D16" t="str">
            <v>Динской муниципальный район</v>
          </cell>
        </row>
        <row r="17">
          <cell r="D17" t="str">
            <v>Ейский муниципальный район</v>
          </cell>
        </row>
        <row r="18">
          <cell r="D18" t="str">
            <v>Кавказский муниципальный район</v>
          </cell>
        </row>
        <row r="19">
          <cell r="D19" t="str">
            <v>Калининский муниципальный район</v>
          </cell>
        </row>
        <row r="20">
          <cell r="D20" t="str">
            <v>Каневский муниципальный район</v>
          </cell>
        </row>
        <row r="21">
          <cell r="D21" t="str">
            <v>Кореновский муниципальный район</v>
          </cell>
        </row>
        <row r="22">
          <cell r="D22" t="str">
            <v>Красноармейский муниципальный район</v>
          </cell>
        </row>
        <row r="23">
          <cell r="D23" t="str">
            <v>Крыловский муниципальный район</v>
          </cell>
        </row>
        <row r="24">
          <cell r="D24" t="str">
            <v>Крымский муниципальный район</v>
          </cell>
        </row>
        <row r="25">
          <cell r="D25" t="str">
            <v>Курганинский муниципальный район</v>
          </cell>
        </row>
        <row r="26">
          <cell r="D26" t="str">
            <v>Кущевский муниципальный район</v>
          </cell>
        </row>
        <row r="27">
          <cell r="D27" t="str">
            <v>Лабинский муниципальный район</v>
          </cell>
        </row>
        <row r="28">
          <cell r="D28" t="str">
            <v>Ленинградский муниципальный район</v>
          </cell>
        </row>
        <row r="29">
          <cell r="D29" t="str">
            <v>Мостовский муниципальный район</v>
          </cell>
        </row>
        <row r="30">
          <cell r="D30" t="str">
            <v>Новокубанский муниципальный район</v>
          </cell>
        </row>
        <row r="31">
          <cell r="D31" t="str">
            <v>Новопокровский муниципальный район</v>
          </cell>
        </row>
        <row r="32">
          <cell r="D32" t="str">
            <v>Отрадненский муниципальный район</v>
          </cell>
        </row>
        <row r="33">
          <cell r="D33" t="str">
            <v>Павловский муниципальный район</v>
          </cell>
        </row>
        <row r="34">
          <cell r="D34" t="str">
            <v>Приморско-Ахтарский муниципальный район</v>
          </cell>
        </row>
        <row r="35">
          <cell r="D35" t="str">
            <v>Северский муниципальный район</v>
          </cell>
        </row>
        <row r="36">
          <cell r="D36" t="str">
            <v>Славянский муниципальный район</v>
          </cell>
        </row>
        <row r="37">
          <cell r="D37" t="str">
            <v>Староминский муниципальный район</v>
          </cell>
        </row>
        <row r="38">
          <cell r="D38" t="str">
            <v>Тбилисский муниципальный район</v>
          </cell>
        </row>
        <row r="39">
          <cell r="D39" t="str">
            <v>Темрюкский муниципальный район</v>
          </cell>
        </row>
        <row r="40">
          <cell r="D40" t="str">
            <v>Тимашевский муниципальный район</v>
          </cell>
        </row>
        <row r="41">
          <cell r="D41" t="str">
            <v>Тихорецкий муниципальный район</v>
          </cell>
        </row>
        <row r="42">
          <cell r="D42" t="str">
            <v>Туапсинский муниципальный район</v>
          </cell>
        </row>
        <row r="43">
          <cell r="D43" t="str">
            <v>Успенский муниципальный район</v>
          </cell>
        </row>
        <row r="44">
          <cell r="D44" t="str">
            <v>Усть-Лабинский муниципальный район</v>
          </cell>
        </row>
        <row r="45">
          <cell r="D45" t="str">
            <v>Щербиновский муниципальный район</v>
          </cell>
        </row>
        <row r="64">
          <cell r="B64" t="str">
            <v>Город Новороссийск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стандарты"/>
      <sheetName val="ПО по МО"/>
      <sheetName val="таблица1"/>
      <sheetName val="таблица2"/>
      <sheetName val="таблица3"/>
      <sheetName val="таблица4"/>
      <sheetName val="таблица5"/>
      <sheetName val="et_union"/>
      <sheetName val="таблица6"/>
      <sheetName val="таблица7 (технол.нужды)"/>
      <sheetName val="таблица7 (хоз.нужды)"/>
      <sheetName val="таблица7 (сумма)"/>
      <sheetName val="ФОТ (численность)"/>
      <sheetName val="таблица8"/>
      <sheetName val="таблица9"/>
      <sheetName val="таблица10"/>
      <sheetName val="таблица11"/>
      <sheetName val="смета"/>
      <sheetName val="Комментарии"/>
      <sheetName val="Проверка"/>
      <sheetName val="TEHSHEET"/>
      <sheetName val="modDblClick"/>
      <sheetName val="modfrmDateChoose"/>
      <sheetName val="AllSheetsInThisWorkbook"/>
      <sheetName val="REESTR_MO"/>
      <sheetName val="REESTR_ORG"/>
      <sheetName val="REESTR_FILTERED"/>
      <sheetName val="modUpdTemplMain"/>
      <sheetName val="modHyp"/>
      <sheetName val="modChange"/>
      <sheetName val="modPROV"/>
      <sheetName val="modCommandButton"/>
      <sheetName val="modReestr"/>
      <sheetName val="modClassifierValidate"/>
      <sheetName val="modInfo"/>
      <sheetName val="modfrmReestr"/>
      <sheetName val="таблица7 _технол_нужды_"/>
      <sheetName val="таблица7 _хоз_нужды_"/>
      <sheetName val="ПРОГНОЗ_1"/>
      <sheetName val="Заголовок"/>
      <sheetName val="Гр5(о)"/>
      <sheetName val="Контакты"/>
      <sheetName val="Свод"/>
      <sheetName val="TECHSHEET"/>
      <sheetName val="vec"/>
    </sheetNames>
    <sheetDataSet>
      <sheetData sheetId="0" refreshError="1"/>
      <sheetData sheetId="1" refreshError="1"/>
      <sheetData sheetId="2" refreshError="1"/>
      <sheetData sheetId="3" refreshError="1">
        <row r="15">
          <cell r="F15" t="str">
            <v>ОАО "Черномортранснефть" филиал Тихорецкое РУМН (НПС Родионовская)</v>
          </cell>
        </row>
        <row r="49">
          <cell r="F49" t="str">
            <v>является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">
          <cell r="B2" t="str">
            <v>да</v>
          </cell>
          <cell r="D2">
            <v>2011</v>
          </cell>
          <cell r="E2" t="str">
            <v>общая</v>
          </cell>
          <cell r="F2" t="str">
            <v>является</v>
          </cell>
          <cell r="G2" t="str">
            <v>комбинированная</v>
          </cell>
          <cell r="H2" t="str">
            <v>МУ</v>
          </cell>
          <cell r="I2" t="str">
            <v>ООО "Донэнергосбыт"</v>
          </cell>
          <cell r="J2" t="str">
            <v>газ</v>
          </cell>
        </row>
        <row r="3">
          <cell r="B3" t="str">
            <v>нет</v>
          </cell>
          <cell r="D3">
            <v>2012</v>
          </cell>
          <cell r="E3" t="str">
            <v>упрощенная</v>
          </cell>
          <cell r="F3" t="str">
            <v>не является</v>
          </cell>
          <cell r="G3" t="str">
            <v>некомбинированная</v>
          </cell>
          <cell r="H3" t="str">
            <v>МУП</v>
          </cell>
          <cell r="I3" t="str">
            <v>ОАО "Энергосбыт Ростовэнерго"</v>
          </cell>
          <cell r="J3" t="str">
            <v>газ, уголь</v>
          </cell>
        </row>
        <row r="4">
          <cell r="D4">
            <v>2013</v>
          </cell>
          <cell r="H4" t="str">
            <v>ГУП</v>
          </cell>
          <cell r="I4" t="str">
            <v>Прочие (вводятся с клавиатуры)</v>
          </cell>
          <cell r="J4" t="str">
            <v>уголь</v>
          </cell>
        </row>
        <row r="5">
          <cell r="D5">
            <v>2014</v>
          </cell>
          <cell r="H5" t="str">
            <v>ООО</v>
          </cell>
          <cell r="J5" t="str">
            <v>прочее (вводиться с клавиатуры)</v>
          </cell>
        </row>
        <row r="6">
          <cell r="D6">
            <v>2015</v>
          </cell>
          <cell r="H6" t="str">
            <v>ОАО</v>
          </cell>
        </row>
        <row r="7">
          <cell r="H7" t="str">
            <v>ЗАО</v>
          </cell>
        </row>
        <row r="8">
          <cell r="H8" t="str">
            <v>Товарищество</v>
          </cell>
        </row>
        <row r="9">
          <cell r="H9" t="str">
            <v>ИП</v>
          </cell>
        </row>
        <row r="10">
          <cell r="H10" t="str">
            <v>ЖСК</v>
          </cell>
        </row>
        <row r="11">
          <cell r="H11" t="str">
            <v>ТСЖ</v>
          </cell>
        </row>
      </sheetData>
      <sheetData sheetId="25" refreshError="1"/>
      <sheetData sheetId="26" refreshError="1"/>
      <sheetData sheetId="27" refreshError="1"/>
      <sheetData sheetId="28" refreshError="1">
        <row r="2">
          <cell r="D2" t="str">
            <v>Азовский район</v>
          </cell>
        </row>
        <row r="368">
          <cell r="B368" t="str">
            <v>Барило-Крепинское сельское поселение</v>
          </cell>
        </row>
        <row r="369">
          <cell r="B369" t="str">
            <v>Болдыревское сельское поселение</v>
          </cell>
        </row>
        <row r="370">
          <cell r="B370" t="str">
            <v>Большекрепинское сельское поселение</v>
          </cell>
        </row>
        <row r="371">
          <cell r="B371" t="str">
            <v>Волошинское сельское поселение</v>
          </cell>
        </row>
        <row r="372">
          <cell r="B372" t="str">
            <v>Кутейниковское сельское поселение</v>
          </cell>
        </row>
        <row r="373">
          <cell r="B373" t="str">
            <v>Родионово-Несветайский район</v>
          </cell>
        </row>
        <row r="374">
          <cell r="B374" t="str">
            <v>Родионово-Несветайское сельское поселение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Указания по заполнению"/>
      <sheetName val="Отпуск ТЭ в гор воде"/>
      <sheetName val="Отпуск ТЭ в паре"/>
      <sheetName val="Проверка"/>
      <sheetName val="AllSheetsInThisWorkbook"/>
      <sheetName val="REESTR_ORG"/>
      <sheetName val="REESTR_FILTERED"/>
      <sheetName val="REESTR_MO"/>
      <sheetName val="TEHSHEET"/>
      <sheetName val="modProv"/>
      <sheetName val="modfrmReestr"/>
      <sheetName val="modCommandButton"/>
      <sheetName val="modReestr"/>
      <sheetName val="таблица7 (технол.нужды)"/>
      <sheetName val="таблица7 (хоз.нужды)"/>
      <sheetName val="ПРОГНОЗ_1"/>
      <sheetName val="Заголовок"/>
      <sheetName val="Гр5(о)"/>
      <sheetName val="Контакты"/>
      <sheetName val="Свод"/>
      <sheetName val="TECHSHEET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</row>
        <row r="3">
          <cell r="F3" t="str">
            <v>Март</v>
          </cell>
          <cell r="I3">
            <v>2013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_MO"/>
      <sheetName val="TEHSHEET"/>
      <sheetName val="Титульный"/>
      <sheetName val="Инструкция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REESTR_MO"/>
      <sheetName val="Переменные"/>
      <sheetName val="TEHSHEET"/>
      <sheetName val="Заголовок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TEHSHEET"/>
      <sheetName val="REESTR_MO"/>
      <sheetName val="Титульный"/>
      <sheetName val="таблица7 (технол.нужды)"/>
      <sheetName val="таблица7 (хоз.нужды)"/>
      <sheetName val="REESTR"/>
      <sheetName val="FST5"/>
      <sheetName val="СЛ7"/>
      <sheetName val="СЛ3"/>
      <sheetName val="Титульный лист"/>
      <sheetName val="1"/>
      <sheetName val="Инструкция"/>
      <sheetName val="tsh"/>
      <sheetName val="Анализ"/>
      <sheetName val="11"/>
      <sheetName val="regs"/>
      <sheetName val="ORGS"/>
      <sheetName val="Обнулить"/>
      <sheetName val="Смета"/>
      <sheetName val="2"/>
      <sheetName val="3"/>
      <sheetName val="4"/>
      <sheetName val="5"/>
      <sheetName val="6"/>
      <sheetName val="Заголовок"/>
      <sheetName val="Лист1"/>
      <sheetName val="П 1"/>
      <sheetName val="П 4"/>
      <sheetName val="Справочники"/>
      <sheetName val="П 21-1"/>
      <sheetName val="КУ1"/>
      <sheetName val="ИТ№4"/>
      <sheetName val="П№11"/>
      <sheetName val="П№12"/>
      <sheetName val="П№10"/>
      <sheetName val="Заголовок2"/>
      <sheetName val="данные"/>
      <sheetName val="П№5"/>
      <sheetName val="Т№2"/>
      <sheetName val="Лист3"/>
      <sheetName val="TSheet"/>
      <sheetName val="к2"/>
      <sheetName val="Контроль"/>
      <sheetName val="Справочник"/>
      <sheetName val="Баланс"/>
      <sheetName val="0"/>
      <sheetName val="2.1"/>
      <sheetName val="2.2"/>
      <sheetName val="2.3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3.6.1."/>
      <sheetName val="MAIN"/>
      <sheetName val="информ.объемы"/>
      <sheetName val="111"/>
      <sheetName val="Баланс. комиссия (ФЭП)"/>
      <sheetName val="э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.1"/>
      <sheetName val="3"/>
      <sheetName val="4.1"/>
      <sheetName val="4"/>
      <sheetName val="5.1"/>
      <sheetName val="5"/>
      <sheetName val="свод 1"/>
      <sheetName val="свод"/>
      <sheetName val="инвестиц. 1"/>
      <sheetName val="16.1"/>
      <sheetName val="16"/>
      <sheetName val="17.0"/>
      <sheetName val="17"/>
      <sheetName val="17.2"/>
      <sheetName val="17.1"/>
      <sheetName val="24.1"/>
      <sheetName val="24"/>
      <sheetName val="25.1"/>
      <sheetName val="25"/>
      <sheetName val="Р.1"/>
      <sheetName val="P2.1"/>
      <sheetName val="Р.2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/>
      <sheetData sheetId="2">
        <row r="13">
          <cell r="E13" t="str">
            <v>Краснодарский край</v>
          </cell>
        </row>
        <row r="21">
          <cell r="D21" t="str">
            <v>Краснодарский край</v>
          </cell>
        </row>
        <row r="27">
          <cell r="F27" t="str">
            <v>Сводный по региону</v>
          </cell>
        </row>
      </sheetData>
      <sheetData sheetId="3" refreshError="1"/>
      <sheetData sheetId="4" refreshError="1"/>
      <sheetData sheetId="5"/>
      <sheetData sheetId="6" refreshError="1"/>
      <sheetData sheetId="7">
        <row r="15">
          <cell r="M15">
            <v>4.9400000000000004</v>
          </cell>
          <cell r="R15">
            <v>80.489999999999995</v>
          </cell>
          <cell r="AB15">
            <v>6.69</v>
          </cell>
        </row>
        <row r="16">
          <cell r="M16">
            <v>44.81</v>
          </cell>
          <cell r="S16">
            <v>21.42</v>
          </cell>
          <cell r="AB16">
            <v>51.55</v>
          </cell>
        </row>
        <row r="17">
          <cell r="I17">
            <v>2748.57</v>
          </cell>
          <cell r="N17">
            <v>2463.5500000000002</v>
          </cell>
          <cell r="S17">
            <v>3119.26</v>
          </cell>
          <cell r="AC17">
            <v>2814.23</v>
          </cell>
        </row>
        <row r="19">
          <cell r="F19">
            <v>53.15</v>
          </cell>
          <cell r="G19">
            <v>108.61</v>
          </cell>
          <cell r="H19">
            <v>3798.58</v>
          </cell>
          <cell r="I19">
            <v>26.48</v>
          </cell>
          <cell r="K19">
            <v>106.88</v>
          </cell>
          <cell r="L19">
            <v>91.42</v>
          </cell>
          <cell r="M19">
            <v>4443.22</v>
          </cell>
          <cell r="N19">
            <v>7.67</v>
          </cell>
          <cell r="P19">
            <v>298.60000000000002</v>
          </cell>
          <cell r="Q19">
            <v>70.3</v>
          </cell>
          <cell r="R19">
            <v>4896.2</v>
          </cell>
          <cell r="S19">
            <v>8.76</v>
          </cell>
          <cell r="Z19">
            <v>121.79</v>
          </cell>
          <cell r="AA19">
            <v>104.9</v>
          </cell>
          <cell r="AB19">
            <v>5068.4799999999996</v>
          </cell>
          <cell r="AC19">
            <v>8.75</v>
          </cell>
        </row>
        <row r="20">
          <cell r="G20">
            <v>19.170000000000002</v>
          </cell>
          <cell r="H20">
            <v>800.59</v>
          </cell>
        </row>
        <row r="23">
          <cell r="M23">
            <v>3.05</v>
          </cell>
          <cell r="N23">
            <v>1.66</v>
          </cell>
          <cell r="AB23">
            <v>3.3</v>
          </cell>
          <cell r="AC23">
            <v>1.79</v>
          </cell>
        </row>
        <row r="25">
          <cell r="F25">
            <v>53</v>
          </cell>
          <cell r="G25">
            <v>127.23</v>
          </cell>
          <cell r="H25">
            <v>1540.09</v>
          </cell>
          <cell r="I25">
            <v>2341.59</v>
          </cell>
          <cell r="K25">
            <v>101.79</v>
          </cell>
          <cell r="L25">
            <v>45.76</v>
          </cell>
          <cell r="M25">
            <v>1770.23</v>
          </cell>
          <cell r="N25">
            <v>1997.57</v>
          </cell>
          <cell r="P25">
            <v>218</v>
          </cell>
          <cell r="Q25">
            <v>48.01</v>
          </cell>
          <cell r="R25">
            <v>1404.28</v>
          </cell>
          <cell r="S25">
            <v>2730.66</v>
          </cell>
          <cell r="Z25">
            <v>114.9</v>
          </cell>
          <cell r="AA25">
            <v>50.91</v>
          </cell>
          <cell r="AB25">
            <v>2002.29</v>
          </cell>
          <cell r="AC25">
            <v>2258.2399999999998</v>
          </cell>
        </row>
        <row r="30">
          <cell r="H30">
            <v>1.61</v>
          </cell>
          <cell r="I30">
            <v>2.46</v>
          </cell>
        </row>
      </sheetData>
      <sheetData sheetId="8" refreshError="1"/>
      <sheetData sheetId="9">
        <row r="15">
          <cell r="M15">
            <v>0.72</v>
          </cell>
          <cell r="R15">
            <v>9.19</v>
          </cell>
          <cell r="AB15">
            <v>0.95</v>
          </cell>
        </row>
        <row r="16">
          <cell r="M16">
            <v>6.51</v>
          </cell>
          <cell r="S16">
            <v>2.4500000000000002</v>
          </cell>
          <cell r="AB16">
            <v>7.35</v>
          </cell>
        </row>
        <row r="17">
          <cell r="I17">
            <v>313.76</v>
          </cell>
          <cell r="N17">
            <v>357.35</v>
          </cell>
          <cell r="S17">
            <v>356.08</v>
          </cell>
          <cell r="AC17">
            <v>401.03</v>
          </cell>
        </row>
        <row r="19">
          <cell r="F19">
            <v>6.07</v>
          </cell>
          <cell r="G19">
            <v>12.4</v>
          </cell>
          <cell r="H19">
            <v>433.63</v>
          </cell>
          <cell r="I19">
            <v>3.02</v>
          </cell>
          <cell r="K19">
            <v>15.5</v>
          </cell>
          <cell r="L19">
            <v>13.26</v>
          </cell>
          <cell r="M19">
            <v>644.26</v>
          </cell>
          <cell r="N19">
            <v>1.1100000000000001</v>
          </cell>
          <cell r="P19">
            <v>34.090000000000003</v>
          </cell>
          <cell r="Q19">
            <v>8.0299999999999994</v>
          </cell>
          <cell r="R19">
            <v>558.92999999999995</v>
          </cell>
          <cell r="S19">
            <v>1</v>
          </cell>
          <cell r="Z19">
            <v>17.36</v>
          </cell>
          <cell r="AA19">
            <v>14.95</v>
          </cell>
          <cell r="AB19">
            <v>722.26</v>
          </cell>
          <cell r="AC19">
            <v>1.25</v>
          </cell>
        </row>
        <row r="20">
          <cell r="G20">
            <v>2.19</v>
          </cell>
          <cell r="H20">
            <v>91.39</v>
          </cell>
        </row>
        <row r="21">
          <cell r="F21">
            <v>0.02</v>
          </cell>
          <cell r="G21">
            <v>0.06</v>
          </cell>
          <cell r="H21">
            <v>35.26</v>
          </cell>
          <cell r="I21">
            <v>49.2</v>
          </cell>
          <cell r="K21">
            <v>0.02</v>
          </cell>
          <cell r="L21">
            <v>0.12</v>
          </cell>
          <cell r="M21">
            <v>37.14</v>
          </cell>
          <cell r="N21">
            <v>68.45</v>
          </cell>
          <cell r="P21">
            <v>0.01</v>
          </cell>
          <cell r="Q21">
            <v>0.1</v>
          </cell>
          <cell r="R21">
            <v>51.73</v>
          </cell>
          <cell r="S21">
            <v>47.8</v>
          </cell>
          <cell r="Z21">
            <v>0.03</v>
          </cell>
          <cell r="AA21">
            <v>0.35</v>
          </cell>
          <cell r="AB21">
            <v>43.73</v>
          </cell>
          <cell r="AC21">
            <v>80.22</v>
          </cell>
        </row>
        <row r="23">
          <cell r="M23">
            <v>0.44</v>
          </cell>
          <cell r="N23">
            <v>0.24</v>
          </cell>
          <cell r="AB23">
            <v>0.47</v>
          </cell>
          <cell r="AC23">
            <v>0.25</v>
          </cell>
        </row>
        <row r="25">
          <cell r="F25">
            <v>6.05</v>
          </cell>
          <cell r="G25">
            <v>14.52</v>
          </cell>
          <cell r="H25">
            <v>175.81</v>
          </cell>
          <cell r="I25">
            <v>267.3</v>
          </cell>
          <cell r="K25">
            <v>14.76</v>
          </cell>
          <cell r="L25">
            <v>6.63</v>
          </cell>
          <cell r="M25">
            <v>256.56</v>
          </cell>
          <cell r="N25">
            <v>289.77</v>
          </cell>
          <cell r="P25">
            <v>24.89</v>
          </cell>
          <cell r="Q25">
            <v>5.48</v>
          </cell>
          <cell r="R25">
            <v>160.31</v>
          </cell>
          <cell r="S25">
            <v>311.72000000000003</v>
          </cell>
          <cell r="Z25">
            <v>16.37</v>
          </cell>
          <cell r="AA25">
            <v>7.26</v>
          </cell>
          <cell r="AB25">
            <v>285.33</v>
          </cell>
          <cell r="AC25">
            <v>321.8</v>
          </cell>
        </row>
        <row r="30">
          <cell r="H30">
            <v>0.18</v>
          </cell>
          <cell r="I30">
            <v>0.28000000000000003</v>
          </cell>
        </row>
      </sheetData>
      <sheetData sheetId="10" refreshError="1"/>
      <sheetData sheetId="11">
        <row r="10">
          <cell r="E10">
            <v>548.70000000000005</v>
          </cell>
          <cell r="F10">
            <v>674.13</v>
          </cell>
          <cell r="G10">
            <v>602.04999999999995</v>
          </cell>
          <cell r="H10">
            <v>0</v>
          </cell>
          <cell r="I10">
            <v>755.81999999999994</v>
          </cell>
          <cell r="J10">
            <v>125.54106801760652</v>
          </cell>
          <cell r="K10">
            <v>0</v>
          </cell>
          <cell r="L10">
            <v>137.74740295243299</v>
          </cell>
          <cell r="M10">
            <v>112.11784077255128</v>
          </cell>
        </row>
        <row r="11">
          <cell r="E11">
            <v>777.92</v>
          </cell>
          <cell r="F11">
            <v>932.3</v>
          </cell>
          <cell r="G11">
            <v>870.12999999999988</v>
          </cell>
          <cell r="H11">
            <v>0</v>
          </cell>
          <cell r="I11">
            <v>1040.0999999999999</v>
          </cell>
          <cell r="J11">
            <v>119.53386275613988</v>
          </cell>
          <cell r="K11">
            <v>0</v>
          </cell>
          <cell r="L11">
            <v>133.70269436445906</v>
          </cell>
          <cell r="M11">
            <v>111.56280167328111</v>
          </cell>
        </row>
        <row r="12">
          <cell r="E12">
            <v>463.68</v>
          </cell>
          <cell r="F12">
            <v>567.72</v>
          </cell>
          <cell r="G12">
            <v>502.40000000000003</v>
          </cell>
          <cell r="H12">
            <v>0</v>
          </cell>
          <cell r="I12">
            <v>630.76</v>
          </cell>
          <cell r="J12">
            <v>125.54936305732483</v>
          </cell>
          <cell r="K12">
            <v>0</v>
          </cell>
          <cell r="L12">
            <v>136.03347135955832</v>
          </cell>
          <cell r="M12">
            <v>111.10406538434438</v>
          </cell>
        </row>
        <row r="13">
          <cell r="E13">
            <v>1585343.5955146414</v>
          </cell>
          <cell r="F13">
            <v>1395693.3682983001</v>
          </cell>
          <cell r="G13">
            <v>2101303.2005058113</v>
          </cell>
          <cell r="H13">
            <v>0</v>
          </cell>
          <cell r="I13">
            <v>2525998.1350691337</v>
          </cell>
          <cell r="J13">
            <v>120.21102592244151</v>
          </cell>
          <cell r="K13">
            <v>0</v>
          </cell>
          <cell r="L13">
            <v>159.33442707409637</v>
          </cell>
          <cell r="M13">
            <v>180.9851785818083</v>
          </cell>
        </row>
        <row r="14">
          <cell r="E14">
            <v>212723.9</v>
          </cell>
          <cell r="F14">
            <v>143754</v>
          </cell>
          <cell r="G14">
            <v>268955.13</v>
          </cell>
          <cell r="H14">
            <v>0</v>
          </cell>
          <cell r="I14">
            <v>294774.82</v>
          </cell>
          <cell r="J14">
            <v>109.59999907791311</v>
          </cell>
          <cell r="K14">
            <v>0</v>
          </cell>
          <cell r="L14">
            <v>138.57155683964052</v>
          </cell>
          <cell r="M14">
            <v>205.05503846849479</v>
          </cell>
        </row>
        <row r="15">
          <cell r="F15">
            <v>29977</v>
          </cell>
          <cell r="G15">
            <v>57705.74</v>
          </cell>
          <cell r="I15">
            <v>63245.49</v>
          </cell>
          <cell r="J15">
            <v>109.59999819775294</v>
          </cell>
          <cell r="K15">
            <v>0</v>
          </cell>
          <cell r="L15">
            <v>0</v>
          </cell>
          <cell r="M15">
            <v>210.98005137271909</v>
          </cell>
        </row>
        <row r="16">
          <cell r="E16">
            <v>212723.9</v>
          </cell>
          <cell r="F16">
            <v>113777</v>
          </cell>
          <cell r="G16">
            <v>211249.39</v>
          </cell>
          <cell r="I16">
            <v>231529.33</v>
          </cell>
          <cell r="J16">
            <v>109.59999931834122</v>
          </cell>
          <cell r="K16">
            <v>0</v>
          </cell>
          <cell r="L16">
            <v>108.84029956201442</v>
          </cell>
          <cell r="M16">
            <v>203.49396626734753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11570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11570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30298.000192</v>
          </cell>
          <cell r="F20">
            <v>12110.0731397</v>
          </cell>
          <cell r="G20">
            <v>32630.878618639999</v>
          </cell>
          <cell r="H20">
            <v>0</v>
          </cell>
          <cell r="I20">
            <v>29736.620547700004</v>
          </cell>
          <cell r="J20">
            <v>91.130309101494177</v>
          </cell>
          <cell r="K20">
            <v>0</v>
          </cell>
          <cell r="L20">
            <v>98.147139610725119</v>
          </cell>
          <cell r="M20">
            <v>245.55277416298628</v>
          </cell>
        </row>
        <row r="21">
          <cell r="E21">
            <v>12615.930192</v>
          </cell>
          <cell r="F21">
            <v>0</v>
          </cell>
          <cell r="G21">
            <v>14183.05861864</v>
          </cell>
          <cell r="H21">
            <v>0</v>
          </cell>
          <cell r="I21">
            <v>14225.070547700005</v>
          </cell>
          <cell r="J21">
            <v>100.29621205263011</v>
          </cell>
          <cell r="K21">
            <v>0</v>
          </cell>
          <cell r="L21">
            <v>112.75482926118592</v>
          </cell>
          <cell r="M21">
            <v>0</v>
          </cell>
        </row>
        <row r="22">
          <cell r="E22">
            <v>17682.07</v>
          </cell>
          <cell r="F22">
            <v>12110.0731397</v>
          </cell>
          <cell r="G22">
            <v>18447.82</v>
          </cell>
          <cell r="H22">
            <v>0</v>
          </cell>
          <cell r="I22">
            <v>15511.55</v>
          </cell>
          <cell r="J22">
            <v>84.0833767892358</v>
          </cell>
          <cell r="K22">
            <v>0</v>
          </cell>
          <cell r="L22">
            <v>87.724740372592123</v>
          </cell>
          <cell r="M22">
            <v>128.08799601010719</v>
          </cell>
        </row>
        <row r="23">
          <cell r="E23">
            <v>33.21</v>
          </cell>
          <cell r="F23">
            <v>22.744821673561809</v>
          </cell>
          <cell r="G23">
            <v>43.16</v>
          </cell>
          <cell r="I23">
            <v>50.220313030899675</v>
          </cell>
          <cell r="J23">
            <v>116.35846392701501</v>
          </cell>
          <cell r="K23">
            <v>0</v>
          </cell>
          <cell r="L23">
            <v>151.22045477536787</v>
          </cell>
          <cell r="M23">
            <v>220.79888667263066</v>
          </cell>
        </row>
        <row r="24">
          <cell r="E24">
            <v>82.6</v>
          </cell>
          <cell r="F24">
            <v>56.570980735808647</v>
          </cell>
          <cell r="G24">
            <v>103.32</v>
          </cell>
          <cell r="I24">
            <v>78.714887365740651</v>
          </cell>
          <cell r="J24">
            <v>76.185527841405971</v>
          </cell>
          <cell r="K24">
            <v>0</v>
          </cell>
          <cell r="L24">
            <v>95.296473808402737</v>
          </cell>
          <cell r="M24">
            <v>139.14357916711035</v>
          </cell>
        </row>
        <row r="25">
          <cell r="E25">
            <v>12521.7</v>
          </cell>
          <cell r="F25">
            <v>8575.845635345946</v>
          </cell>
          <cell r="G25">
            <v>12851.65</v>
          </cell>
          <cell r="I25">
            <v>7766.2180061783129</v>
          </cell>
          <cell r="J25">
            <v>60.429734751400119</v>
          </cell>
          <cell r="K25">
            <v>0</v>
          </cell>
          <cell r="L25">
            <v>62.022073729432201</v>
          </cell>
          <cell r="M25">
            <v>90.559209393523872</v>
          </cell>
        </row>
        <row r="26">
          <cell r="E26">
            <v>5044.5600000000004</v>
          </cell>
          <cell r="F26">
            <v>3454.911701944684</v>
          </cell>
          <cell r="G26">
            <v>5449.69</v>
          </cell>
          <cell r="I26">
            <v>7616.3967934250459</v>
          </cell>
          <cell r="J26">
            <v>139.75834943684956</v>
          </cell>
          <cell r="K26">
            <v>0</v>
          </cell>
          <cell r="L26">
            <v>150.98238089000915</v>
          </cell>
          <cell r="M26">
            <v>220.45127200032249</v>
          </cell>
        </row>
        <row r="27">
          <cell r="E27">
            <v>317739.99532264139</v>
          </cell>
          <cell r="F27">
            <v>415661.03515859996</v>
          </cell>
          <cell r="G27">
            <v>473094.811887171</v>
          </cell>
          <cell r="H27">
            <v>0</v>
          </cell>
          <cell r="I27">
            <v>552574.69503277994</v>
          </cell>
          <cell r="J27">
            <v>116.79999043501755</v>
          </cell>
          <cell r="K27">
            <v>0</v>
          </cell>
          <cell r="L27">
            <v>173.90781870934484</v>
          </cell>
          <cell r="M27">
            <v>132.93877662166219</v>
          </cell>
        </row>
        <row r="28">
          <cell r="E28">
            <v>83883.399999999994</v>
          </cell>
          <cell r="F28">
            <v>102259</v>
          </cell>
          <cell r="G28">
            <v>124897</v>
          </cell>
          <cell r="I28">
            <v>145879.71948865391</v>
          </cell>
          <cell r="J28">
            <v>116.80001880641962</v>
          </cell>
          <cell r="K28">
            <v>0</v>
          </cell>
          <cell r="L28">
            <v>173.90773322093992</v>
          </cell>
          <cell r="M28">
            <v>142.6570956968618</v>
          </cell>
        </row>
        <row r="29">
          <cell r="E29">
            <v>78898.100000000006</v>
          </cell>
          <cell r="F29">
            <v>59898</v>
          </cell>
          <cell r="G29">
            <v>84973.2</v>
          </cell>
          <cell r="I29">
            <v>93130.63</v>
          </cell>
          <cell r="J29">
            <v>109.6000032951566</v>
          </cell>
          <cell r="K29">
            <v>0</v>
          </cell>
          <cell r="L29">
            <v>118.03912895240822</v>
          </cell>
          <cell r="M29">
            <v>155.48203612808442</v>
          </cell>
        </row>
        <row r="30">
          <cell r="E30">
            <v>861800.2</v>
          </cell>
          <cell r="F30">
            <v>662011.26</v>
          </cell>
          <cell r="G30">
            <v>1116752.1800000002</v>
          </cell>
          <cell r="H30">
            <v>0</v>
          </cell>
          <cell r="I30">
            <v>1398331.6500000001</v>
          </cell>
          <cell r="J30">
            <v>125.21414106395565</v>
          </cell>
          <cell r="K30">
            <v>0</v>
          </cell>
          <cell r="L30">
            <v>162.25705795844561</v>
          </cell>
          <cell r="M30">
            <v>211.22475318622227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4552</v>
          </cell>
          <cell r="F37">
            <v>1420</v>
          </cell>
          <cell r="G37">
            <v>2612.06</v>
          </cell>
          <cell r="H37">
            <v>0</v>
          </cell>
          <cell r="I37">
            <v>1423.68</v>
          </cell>
          <cell r="J37">
            <v>54.5041078688851</v>
          </cell>
          <cell r="K37">
            <v>0</v>
          </cell>
          <cell r="L37">
            <v>31.27592267135325</v>
          </cell>
          <cell r="M37">
            <v>100.25915492957746</v>
          </cell>
        </row>
        <row r="38">
          <cell r="E38">
            <v>3812.7</v>
          </cell>
          <cell r="F38">
            <v>11</v>
          </cell>
          <cell r="G38">
            <v>0.3</v>
          </cell>
          <cell r="I38">
            <v>0.24</v>
          </cell>
          <cell r="J38">
            <v>80</v>
          </cell>
          <cell r="K38">
            <v>0</v>
          </cell>
          <cell r="L38">
            <v>6.2947517507278301E-3</v>
          </cell>
          <cell r="M38">
            <v>2.1818181818181817</v>
          </cell>
        </row>
        <row r="39">
          <cell r="E39">
            <v>507.8</v>
          </cell>
          <cell r="G39">
            <v>1313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>
            <v>231.5</v>
          </cell>
          <cell r="F40">
            <v>1409</v>
          </cell>
          <cell r="G40">
            <v>1298.76</v>
          </cell>
          <cell r="I40">
            <v>1423.44</v>
          </cell>
          <cell r="J40">
            <v>109.59992608334103</v>
          </cell>
          <cell r="K40">
            <v>0</v>
          </cell>
          <cell r="L40">
            <v>614.87688984881208</v>
          </cell>
          <cell r="M40">
            <v>101.0248403122782</v>
          </cell>
        </row>
        <row r="41">
          <cell r="E41">
            <v>857248.2</v>
          </cell>
          <cell r="F41">
            <v>660591.26</v>
          </cell>
          <cell r="G41">
            <v>1114140.1200000001</v>
          </cell>
          <cell r="H41">
            <v>0</v>
          </cell>
          <cell r="I41">
            <v>1396907.9700000002</v>
          </cell>
          <cell r="J41">
            <v>125.37991810222221</v>
          </cell>
          <cell r="K41">
            <v>0</v>
          </cell>
          <cell r="L41">
            <v>162.9525696291926</v>
          </cell>
          <cell r="M41">
            <v>211.46328366500038</v>
          </cell>
        </row>
        <row r="42">
          <cell r="E42">
            <v>8354.4</v>
          </cell>
          <cell r="F42">
            <v>9716</v>
          </cell>
          <cell r="G42">
            <v>9751.6</v>
          </cell>
          <cell r="I42">
            <v>10687.75</v>
          </cell>
          <cell r="J42">
            <v>109.59996308298126</v>
          </cell>
          <cell r="K42">
            <v>0</v>
          </cell>
          <cell r="L42">
            <v>127.92959398640238</v>
          </cell>
          <cell r="M42">
            <v>110.0015438452038</v>
          </cell>
        </row>
        <row r="43">
          <cell r="E43">
            <v>366.2</v>
          </cell>
          <cell r="F43">
            <v>11294</v>
          </cell>
          <cell r="G43">
            <v>508</v>
          </cell>
          <cell r="I43">
            <v>17077.75</v>
          </cell>
          <cell r="J43">
            <v>3361.7618110236222</v>
          </cell>
          <cell r="K43">
            <v>0</v>
          </cell>
          <cell r="L43">
            <v>4663.5035499726928</v>
          </cell>
          <cell r="M43">
            <v>151.21081990437401</v>
          </cell>
        </row>
        <row r="44">
          <cell r="E44">
            <v>3666.3</v>
          </cell>
          <cell r="F44">
            <v>16343</v>
          </cell>
          <cell r="G44">
            <v>2942.99</v>
          </cell>
          <cell r="I44">
            <v>3225.52</v>
          </cell>
          <cell r="J44">
            <v>109.60010057798361</v>
          </cell>
          <cell r="K44">
            <v>0</v>
          </cell>
          <cell r="L44">
            <v>87.977525025229781</v>
          </cell>
          <cell r="M44">
            <v>19.736400905586489</v>
          </cell>
        </row>
        <row r="45">
          <cell r="E45">
            <v>69000</v>
          </cell>
          <cell r="F45">
            <v>5900</v>
          </cell>
          <cell r="G45">
            <v>51758.74</v>
          </cell>
          <cell r="I45">
            <v>56727.58</v>
          </cell>
          <cell r="J45">
            <v>109.60000185475923</v>
          </cell>
          <cell r="K45">
            <v>0</v>
          </cell>
          <cell r="L45">
            <v>82.213884057971015</v>
          </cell>
          <cell r="M45">
            <v>961.48440677966107</v>
          </cell>
        </row>
        <row r="46">
          <cell r="E46">
            <v>4815.7</v>
          </cell>
          <cell r="F46">
            <v>334</v>
          </cell>
          <cell r="G46">
            <v>2761.42</v>
          </cell>
          <cell r="I46">
            <v>3026.52</v>
          </cell>
          <cell r="J46">
            <v>109.60013326476957</v>
          </cell>
          <cell r="K46">
            <v>0</v>
          </cell>
          <cell r="L46">
            <v>62.846938139834293</v>
          </cell>
          <cell r="M46">
            <v>906.14371257485027</v>
          </cell>
        </row>
        <row r="47">
          <cell r="E47">
            <v>680641.7</v>
          </cell>
          <cell r="F47">
            <v>523007</v>
          </cell>
          <cell r="G47">
            <v>961641.2</v>
          </cell>
          <cell r="I47">
            <v>1187496</v>
          </cell>
          <cell r="J47">
            <v>123.48638972623054</v>
          </cell>
          <cell r="K47">
            <v>0</v>
          </cell>
          <cell r="L47">
            <v>174.46712418589695</v>
          </cell>
          <cell r="M47">
            <v>227.05164558026948</v>
          </cell>
        </row>
        <row r="48">
          <cell r="E48">
            <v>9060.6</v>
          </cell>
          <cell r="F48">
            <v>7824</v>
          </cell>
          <cell r="G48">
            <v>9758.27</v>
          </cell>
          <cell r="I48">
            <v>10695.06</v>
          </cell>
          <cell r="J48">
            <v>109.59995982894509</v>
          </cell>
          <cell r="K48">
            <v>0</v>
          </cell>
          <cell r="L48">
            <v>118.03920270180781</v>
          </cell>
          <cell r="M48">
            <v>136.69555214723925</v>
          </cell>
        </row>
        <row r="49">
          <cell r="E49">
            <v>2949.8</v>
          </cell>
          <cell r="F49">
            <v>2115</v>
          </cell>
          <cell r="G49">
            <v>5171.91</v>
          </cell>
          <cell r="I49">
            <v>5039.42</v>
          </cell>
          <cell r="J49">
            <v>97.438277154861552</v>
          </cell>
          <cell r="K49">
            <v>0</v>
          </cell>
          <cell r="L49">
            <v>170.83937894094515</v>
          </cell>
          <cell r="M49">
            <v>238.27044917257686</v>
          </cell>
        </row>
        <row r="50">
          <cell r="E50">
            <v>1854</v>
          </cell>
          <cell r="F50">
            <v>326</v>
          </cell>
          <cell r="G50">
            <v>14981.16</v>
          </cell>
          <cell r="I50">
            <v>13000</v>
          </cell>
          <cell r="J50">
            <v>86.775656891722676</v>
          </cell>
          <cell r="K50">
            <v>0</v>
          </cell>
          <cell r="L50">
            <v>701.1866235167206</v>
          </cell>
          <cell r="M50">
            <v>3987.7300613496936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E53">
            <v>76539.5</v>
          </cell>
          <cell r="F53">
            <v>83732.259999999995</v>
          </cell>
          <cell r="G53">
            <v>54864.83</v>
          </cell>
          <cell r="I53">
            <v>89932.37</v>
          </cell>
          <cell r="J53">
            <v>163.91624652805811</v>
          </cell>
          <cell r="K53">
            <v>0</v>
          </cell>
          <cell r="L53">
            <v>117.49798470071009</v>
          </cell>
          <cell r="M53">
            <v>107.40468488489383</v>
          </cell>
        </row>
        <row r="54">
          <cell r="E54">
            <v>41235.949999999997</v>
          </cell>
          <cell r="F54">
            <v>100041</v>
          </cell>
          <cell r="G54">
            <v>45789.16</v>
          </cell>
          <cell r="H54">
            <v>0</v>
          </cell>
          <cell r="I54">
            <v>74664.840000000011</v>
          </cell>
          <cell r="J54">
            <v>163.06226189779414</v>
          </cell>
          <cell r="K54">
            <v>0</v>
          </cell>
          <cell r="L54">
            <v>181.06734536248109</v>
          </cell>
          <cell r="M54">
            <v>74.634239961615748</v>
          </cell>
        </row>
        <row r="55">
          <cell r="E55">
            <v>573.70000000000005</v>
          </cell>
          <cell r="F55">
            <v>2513</v>
          </cell>
          <cell r="G55">
            <v>2452.65</v>
          </cell>
          <cell r="I55">
            <v>2688.1</v>
          </cell>
          <cell r="J55">
            <v>109.59982060220577</v>
          </cell>
          <cell r="K55">
            <v>0</v>
          </cell>
          <cell r="L55">
            <v>468.55499389925041</v>
          </cell>
          <cell r="M55">
            <v>106.96776760843613</v>
          </cell>
        </row>
        <row r="56">
          <cell r="E56">
            <v>37013.050000000003</v>
          </cell>
          <cell r="F56">
            <v>82368</v>
          </cell>
          <cell r="G56">
            <v>40839.33</v>
          </cell>
          <cell r="I56">
            <v>69239.83</v>
          </cell>
          <cell r="J56">
            <v>169.54203215380858</v>
          </cell>
          <cell r="K56">
            <v>0</v>
          </cell>
          <cell r="L56">
            <v>187.06869604099094</v>
          </cell>
          <cell r="M56">
            <v>84.061565170940185</v>
          </cell>
        </row>
        <row r="57">
          <cell r="E57">
            <v>2487</v>
          </cell>
          <cell r="F57">
            <v>736</v>
          </cell>
          <cell r="G57">
            <v>2497.1800000000003</v>
          </cell>
          <cell r="H57">
            <v>0</v>
          </cell>
          <cell r="I57">
            <v>2736.91</v>
          </cell>
          <cell r="J57">
            <v>109.60002883252307</v>
          </cell>
          <cell r="K57">
            <v>0</v>
          </cell>
          <cell r="L57">
            <v>110.048652995577</v>
          </cell>
          <cell r="M57">
            <v>371.86277173913044</v>
          </cell>
        </row>
        <row r="58">
          <cell r="E58">
            <v>4.67</v>
          </cell>
          <cell r="F58">
            <v>1.3820345798150382</v>
          </cell>
          <cell r="G58">
            <v>4.76</v>
          </cell>
          <cell r="I58">
            <v>16.41</v>
          </cell>
          <cell r="J58">
            <v>344.74789915966386</v>
          </cell>
          <cell r="K58">
            <v>0</v>
          </cell>
          <cell r="L58">
            <v>351.39186295503208</v>
          </cell>
          <cell r="M58">
            <v>1187.3798412624524</v>
          </cell>
        </row>
        <row r="59">
          <cell r="E59">
            <v>11.62</v>
          </cell>
          <cell r="F59">
            <v>3.4388098110172898</v>
          </cell>
          <cell r="G59">
            <v>11.73</v>
          </cell>
          <cell r="I59">
            <v>21.89</v>
          </cell>
          <cell r="J59">
            <v>186.61551577152599</v>
          </cell>
          <cell r="K59">
            <v>0</v>
          </cell>
          <cell r="L59">
            <v>188.382099827883</v>
          </cell>
          <cell r="M59">
            <v>636.55744873905564</v>
          </cell>
        </row>
        <row r="60">
          <cell r="E60">
            <v>1761.19</v>
          </cell>
          <cell r="F60">
            <v>521.20459991958182</v>
          </cell>
          <cell r="G60">
            <v>1768.5</v>
          </cell>
          <cell r="I60">
            <v>1929.52</v>
          </cell>
          <cell r="J60">
            <v>109.10489115069268</v>
          </cell>
          <cell r="K60">
            <v>0</v>
          </cell>
          <cell r="L60">
            <v>109.55774220839318</v>
          </cell>
          <cell r="M60">
            <v>370.2039468373286</v>
          </cell>
        </row>
        <row r="61">
          <cell r="E61">
            <v>709.52</v>
          </cell>
          <cell r="F61">
            <v>209.97455568958583</v>
          </cell>
          <cell r="G61">
            <v>712.19</v>
          </cell>
          <cell r="I61">
            <v>769.09</v>
          </cell>
          <cell r="J61">
            <v>107.98944101995254</v>
          </cell>
          <cell r="K61">
            <v>0</v>
          </cell>
          <cell r="L61">
            <v>108.39581689029202</v>
          </cell>
          <cell r="M61">
            <v>366.27771278010368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E63">
            <v>1162.2</v>
          </cell>
          <cell r="F63">
            <v>14424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1626579.5455146413</v>
          </cell>
          <cell r="F64">
            <v>1495734.3682983001</v>
          </cell>
          <cell r="G64">
            <v>2147092.3605058114</v>
          </cell>
          <cell r="H64">
            <v>0</v>
          </cell>
          <cell r="I64">
            <v>2600662.9750691336</v>
          </cell>
          <cell r="J64">
            <v>121.12487673592534</v>
          </cell>
          <cell r="K64">
            <v>0</v>
          </cell>
          <cell r="L64">
            <v>159.88538539295951</v>
          </cell>
          <cell r="M64">
            <v>173.87198089376744</v>
          </cell>
        </row>
        <row r="65">
          <cell r="E65">
            <v>3055.1918897769069</v>
          </cell>
          <cell r="F65">
            <v>2809.4277195085297</v>
          </cell>
          <cell r="G65">
            <v>5415.8977761074984</v>
          </cell>
          <cell r="H65">
            <v>0</v>
          </cell>
          <cell r="I65">
            <v>16320.79845476162</v>
          </cell>
          <cell r="J65">
            <v>301.34982470979475</v>
          </cell>
          <cell r="K65">
            <v>0</v>
          </cell>
          <cell r="L65">
            <v>534.1988013706524</v>
          </cell>
          <cell r="M65">
            <v>580.9296441916191</v>
          </cell>
        </row>
        <row r="66">
          <cell r="E66">
            <v>7598.624307168413</v>
          </cell>
          <cell r="F66">
            <v>6987.3757899952016</v>
          </cell>
          <cell r="G66">
            <v>12965.183436306655</v>
          </cell>
          <cell r="H66">
            <v>0</v>
          </cell>
          <cell r="I66">
            <v>22310.134805693895</v>
          </cell>
          <cell r="J66">
            <v>172.07727846887525</v>
          </cell>
          <cell r="K66">
            <v>0</v>
          </cell>
          <cell r="L66">
            <v>293.60755189129293</v>
          </cell>
          <cell r="M66">
            <v>319.29204147912611</v>
          </cell>
        </row>
        <row r="67">
          <cell r="E67">
            <v>1151875.1501694869</v>
          </cell>
          <cell r="F67">
            <v>1059216.103230058</v>
          </cell>
          <cell r="G67">
            <v>1507167.7256459305</v>
          </cell>
          <cell r="H67">
            <v>0</v>
          </cell>
          <cell r="I67">
            <v>1829461.1389253198</v>
          </cell>
          <cell r="J67">
            <v>121.38404424373294</v>
          </cell>
          <cell r="K67">
            <v>0</v>
          </cell>
          <cell r="L67">
            <v>158.82460340047555</v>
          </cell>
          <cell r="M67">
            <v>172.7184031045615</v>
          </cell>
        </row>
        <row r="68">
          <cell r="E68">
            <v>464050.5791482089</v>
          </cell>
          <cell r="F68">
            <v>426721.46155873832</v>
          </cell>
          <cell r="G68">
            <v>621543.55364746647</v>
          </cell>
          <cell r="H68">
            <v>0</v>
          </cell>
          <cell r="I68">
            <v>732570.90288335807</v>
          </cell>
          <cell r="J68">
            <v>117.86316479100117</v>
          </cell>
          <cell r="K68">
            <v>0</v>
          </cell>
          <cell r="L68">
            <v>157.86445180782522</v>
          </cell>
          <cell r="M68">
            <v>171.67425800600833</v>
          </cell>
        </row>
        <row r="70">
          <cell r="E70">
            <v>199477.4</v>
          </cell>
          <cell r="F70">
            <v>169426.16</v>
          </cell>
          <cell r="G70">
            <v>216589.44</v>
          </cell>
          <cell r="H70">
            <v>0</v>
          </cell>
          <cell r="I70">
            <v>456149.36000000004</v>
          </cell>
          <cell r="J70">
            <v>210.60554014083053</v>
          </cell>
          <cell r="K70">
            <v>0</v>
          </cell>
          <cell r="L70">
            <v>228.6722004598015</v>
          </cell>
          <cell r="M70">
            <v>269.23195331818891</v>
          </cell>
        </row>
        <row r="71">
          <cell r="E71">
            <v>111535</v>
          </cell>
          <cell r="F71">
            <v>88151.9</v>
          </cell>
          <cell r="G71">
            <v>130000</v>
          </cell>
          <cell r="H71">
            <v>0</v>
          </cell>
          <cell r="I71">
            <v>361247.33</v>
          </cell>
          <cell r="J71">
            <v>277.88256153846157</v>
          </cell>
          <cell r="K71">
            <v>0</v>
          </cell>
          <cell r="L71">
            <v>323.88696821625501</v>
          </cell>
          <cell r="M71">
            <v>409.80095721135905</v>
          </cell>
        </row>
        <row r="72">
          <cell r="E72">
            <v>211.92</v>
          </cell>
          <cell r="F72">
            <v>167.49137623167613</v>
          </cell>
          <cell r="G72">
            <v>328.22</v>
          </cell>
          <cell r="I72">
            <v>1528.2</v>
          </cell>
          <cell r="J72">
            <v>465.60233989397358</v>
          </cell>
          <cell r="K72">
            <v>0</v>
          </cell>
          <cell r="L72">
            <v>721.12117780294454</v>
          </cell>
          <cell r="M72">
            <v>912.40518430404143</v>
          </cell>
        </row>
        <row r="73">
          <cell r="E73">
            <v>524.21</v>
          </cell>
          <cell r="F73">
            <v>414.31037341641638</v>
          </cell>
          <cell r="G73">
            <v>785.7</v>
          </cell>
          <cell r="I73">
            <v>2088.1999999999998</v>
          </cell>
          <cell r="J73">
            <v>265.77574137711593</v>
          </cell>
          <cell r="K73">
            <v>0</v>
          </cell>
          <cell r="L73">
            <v>398.35180557410189</v>
          </cell>
          <cell r="M73">
            <v>504.0182756662926</v>
          </cell>
        </row>
        <row r="74">
          <cell r="E74">
            <v>78989.09</v>
          </cell>
          <cell r="F74">
            <v>62429.177951055717</v>
          </cell>
          <cell r="G74">
            <v>91259.520000000004</v>
          </cell>
          <cell r="I74">
            <v>289542.63</v>
          </cell>
          <cell r="J74">
            <v>317.27389098693482</v>
          </cell>
          <cell r="K74">
            <v>0</v>
          </cell>
          <cell r="L74">
            <v>366.56028066660855</v>
          </cell>
          <cell r="M74">
            <v>463.79375718674447</v>
          </cell>
        </row>
        <row r="75">
          <cell r="E75">
            <v>31809.78</v>
          </cell>
          <cell r="F75">
            <v>25140.920299296184</v>
          </cell>
          <cell r="G75">
            <v>37626.559999999998</v>
          </cell>
          <cell r="I75">
            <v>68088.3</v>
          </cell>
          <cell r="J75">
            <v>180.95807854876981</v>
          </cell>
          <cell r="K75">
            <v>0</v>
          </cell>
          <cell r="L75">
            <v>214.04832098807353</v>
          </cell>
          <cell r="M75">
            <v>270.82660137109667</v>
          </cell>
        </row>
        <row r="76">
          <cell r="E76">
            <v>1500</v>
          </cell>
          <cell r="G76">
            <v>1615.5</v>
          </cell>
          <cell r="I76">
            <v>1770.59</v>
          </cell>
          <cell r="J76">
            <v>109.60012380068089</v>
          </cell>
          <cell r="K76">
            <v>0</v>
          </cell>
          <cell r="L76">
            <v>118.03933333333332</v>
          </cell>
          <cell r="M76">
            <v>0</v>
          </cell>
        </row>
        <row r="77">
          <cell r="E77">
            <v>28279.4</v>
          </cell>
          <cell r="F77">
            <v>35941</v>
          </cell>
          <cell r="G77">
            <v>30455.94</v>
          </cell>
          <cell r="I77">
            <v>33379.71</v>
          </cell>
          <cell r="J77">
            <v>109.59999921197638</v>
          </cell>
          <cell r="K77">
            <v>0</v>
          </cell>
          <cell r="L77">
            <v>118.03542507974001</v>
          </cell>
          <cell r="M77">
            <v>92.873626220750666</v>
          </cell>
        </row>
        <row r="78"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E79">
            <v>58163</v>
          </cell>
          <cell r="F79">
            <v>45333.26</v>
          </cell>
          <cell r="G79">
            <v>54518</v>
          </cell>
          <cell r="I79">
            <v>59751.73</v>
          </cell>
          <cell r="J79">
            <v>109.60000366851317</v>
          </cell>
          <cell r="K79">
            <v>0</v>
          </cell>
          <cell r="L79">
            <v>102.73151316128811</v>
          </cell>
          <cell r="M79">
            <v>131.80549997948526</v>
          </cell>
        </row>
        <row r="81">
          <cell r="E81">
            <v>17682.07</v>
          </cell>
          <cell r="F81">
            <v>12110.0731397</v>
          </cell>
          <cell r="G81">
            <v>32830.9</v>
          </cell>
          <cell r="I81">
            <v>29736.620547700004</v>
          </cell>
          <cell r="J81">
            <v>90.575100127319089</v>
          </cell>
          <cell r="K81">
            <v>0</v>
          </cell>
          <cell r="L81">
            <v>168.17386509441488</v>
          </cell>
          <cell r="M81">
            <v>245.55277416298628</v>
          </cell>
        </row>
        <row r="83">
          <cell r="E83">
            <v>279070.17130526312</v>
          </cell>
          <cell r="F83">
            <v>222929.15789473685</v>
          </cell>
          <cell r="G83">
            <v>284722.91923505266</v>
          </cell>
          <cell r="H83">
            <v>0</v>
          </cell>
          <cell r="I83">
            <v>600196.52631578967</v>
          </cell>
          <cell r="J83">
            <v>210.80021514541235</v>
          </cell>
          <cell r="K83">
            <v>0</v>
          </cell>
          <cell r="L83">
            <v>215.07011068526558</v>
          </cell>
          <cell r="M83">
            <v>269.23195331818897</v>
          </cell>
        </row>
        <row r="84">
          <cell r="E84">
            <v>66976.841113263145</v>
          </cell>
          <cell r="F84">
            <v>53502.997894736844</v>
          </cell>
          <cell r="G84">
            <v>68333.500616412639</v>
          </cell>
          <cell r="H84">
            <v>0</v>
          </cell>
          <cell r="I84">
            <v>144047.16631578951</v>
          </cell>
          <cell r="J84">
            <v>210.80021514541235</v>
          </cell>
          <cell r="K84">
            <v>0</v>
          </cell>
          <cell r="L84">
            <v>215.07011068526558</v>
          </cell>
          <cell r="M84">
            <v>269.23195331818891</v>
          </cell>
        </row>
        <row r="85">
          <cell r="E85">
            <v>125.8</v>
          </cell>
          <cell r="F85">
            <v>100.49260346237868</v>
          </cell>
          <cell r="G85">
            <v>172.52</v>
          </cell>
          <cell r="I85">
            <v>671.21998658847906</v>
          </cell>
          <cell r="J85">
            <v>389.06792637866857</v>
          </cell>
          <cell r="K85">
            <v>0</v>
          </cell>
          <cell r="L85">
            <v>533.5611976061042</v>
          </cell>
          <cell r="M85">
            <v>667.92974155532056</v>
          </cell>
        </row>
        <row r="86">
          <cell r="E86">
            <v>312.88</v>
          </cell>
          <cell r="F86">
            <v>249.93740676716251</v>
          </cell>
          <cell r="G86">
            <v>413</v>
          </cell>
          <cell r="I86">
            <v>917.17439194935423</v>
          </cell>
          <cell r="J86">
            <v>222.07612395868139</v>
          </cell>
          <cell r="K86">
            <v>0</v>
          </cell>
          <cell r="L86">
            <v>293.13934797665377</v>
          </cell>
          <cell r="M86">
            <v>366.96163403974919</v>
          </cell>
        </row>
        <row r="87">
          <cell r="E87">
            <v>47430.18</v>
          </cell>
          <cell r="F87">
            <v>37888.57131072531</v>
          </cell>
          <cell r="G87">
            <v>47969.86</v>
          </cell>
          <cell r="I87">
            <v>112552.99203741402</v>
          </cell>
          <cell r="J87">
            <v>234.63272987958277</v>
          </cell>
          <cell r="K87">
            <v>0</v>
          </cell>
          <cell r="L87">
            <v>237.30247710933</v>
          </cell>
          <cell r="M87">
            <v>297.06317272922104</v>
          </cell>
        </row>
        <row r="88">
          <cell r="E88">
            <v>19107.98</v>
          </cell>
          <cell r="F88">
            <v>15263.995684475856</v>
          </cell>
          <cell r="G88">
            <v>19778.11</v>
          </cell>
          <cell r="I88">
            <v>29905.77989983766</v>
          </cell>
          <cell r="J88">
            <v>151.20645956483031</v>
          </cell>
          <cell r="K88">
            <v>0</v>
          </cell>
          <cell r="L88">
            <v>156.50937409311533</v>
          </cell>
          <cell r="M88">
            <v>195.92366584755479</v>
          </cell>
        </row>
        <row r="90">
          <cell r="I90">
            <v>-51451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266454.24111326312</v>
          </cell>
          <cell r="F92">
            <v>222929.15789473685</v>
          </cell>
          <cell r="G92">
            <v>284922.94061641267</v>
          </cell>
          <cell r="H92">
            <v>0</v>
          </cell>
          <cell r="I92">
            <v>548745.52631578955</v>
          </cell>
          <cell r="J92">
            <v>192.59436433184828</v>
          </cell>
          <cell r="K92">
            <v>0</v>
          </cell>
          <cell r="L92">
            <v>205.94362620129263</v>
          </cell>
          <cell r="M92">
            <v>246.15242415929163</v>
          </cell>
        </row>
        <row r="93">
          <cell r="E93">
            <v>502.90172234310614</v>
          </cell>
          <cell r="F93">
            <v>420.64097164516619</v>
          </cell>
          <cell r="G93">
            <v>719.35616847433153</v>
          </cell>
          <cell r="H93">
            <v>0</v>
          </cell>
          <cell r="I93">
            <v>2472.9083609103218</v>
          </cell>
          <cell r="J93">
            <v>343.76689452111947</v>
          </cell>
          <cell r="K93">
            <v>0</v>
          </cell>
          <cell r="L93">
            <v>491.72795618766497</v>
          </cell>
          <cell r="M93">
            <v>587.89051176792077</v>
          </cell>
        </row>
        <row r="94">
          <cell r="E94">
            <v>1247.9160842430697</v>
          </cell>
          <cell r="F94">
            <v>1043.9234086125634</v>
          </cell>
          <cell r="G94">
            <v>1722.0343082627919</v>
          </cell>
          <cell r="H94">
            <v>0</v>
          </cell>
          <cell r="I94">
            <v>3379.0661231319214</v>
          </cell>
          <cell r="J94">
            <v>196.22524980589745</v>
          </cell>
          <cell r="K94">
            <v>0</v>
          </cell>
          <cell r="L94">
            <v>270.7767105335061</v>
          </cell>
          <cell r="M94">
            <v>323.68908439584681</v>
          </cell>
        </row>
        <row r="95">
          <cell r="E95">
            <v>188696.37482819075</v>
          </cell>
          <cell r="F95">
            <v>157872.75810681633</v>
          </cell>
          <cell r="G95">
            <v>200014.846308315</v>
          </cell>
          <cell r="H95">
            <v>0</v>
          </cell>
          <cell r="I95">
            <v>432714.51786800183</v>
          </cell>
          <cell r="J95">
            <v>216.34119959324894</v>
          </cell>
          <cell r="K95">
            <v>0</v>
          </cell>
          <cell r="L95">
            <v>229.31787548223497</v>
          </cell>
          <cell r="M95">
            <v>274.09068103771784</v>
          </cell>
        </row>
        <row r="96">
          <cell r="E96">
            <v>76007.047365223043</v>
          </cell>
          <cell r="F96">
            <v>63591.834518356642</v>
          </cell>
          <cell r="G96">
            <v>82466.693214947925</v>
          </cell>
          <cell r="H96">
            <v>0</v>
          </cell>
          <cell r="I96">
            <v>110179.03396374549</v>
          </cell>
          <cell r="J96">
            <v>133.60428273335253</v>
          </cell>
          <cell r="K96">
            <v>0</v>
          </cell>
          <cell r="L96">
            <v>144.95897128370467</v>
          </cell>
          <cell r="M96">
            <v>173.25971926779502</v>
          </cell>
        </row>
        <row r="98">
          <cell r="E98">
            <v>1893033.7866279045</v>
          </cell>
          <cell r="F98">
            <v>1718663.5261930369</v>
          </cell>
          <cell r="G98">
            <v>2432015.301122224</v>
          </cell>
          <cell r="H98">
            <v>0</v>
          </cell>
          <cell r="I98">
            <v>3149408.5013849232</v>
          </cell>
          <cell r="J98">
            <v>129.49789008036532</v>
          </cell>
          <cell r="K98">
            <v>0</v>
          </cell>
          <cell r="L98">
            <v>166.36831965873264</v>
          </cell>
          <cell r="M98">
            <v>183.24753236377157</v>
          </cell>
        </row>
        <row r="101">
          <cell r="E101">
            <v>16.381261023970296</v>
          </cell>
          <cell r="F101">
            <v>14.904328109299501</v>
          </cell>
          <cell r="G101">
            <v>13.270176255915262</v>
          </cell>
          <cell r="H101">
            <v>0</v>
          </cell>
          <cell r="I101">
            <v>21.100216813030233</v>
          </cell>
          <cell r="J101">
            <v>159.0047969681238</v>
          </cell>
          <cell r="K101">
            <v>0</v>
          </cell>
          <cell r="L101">
            <v>128.80703617477803</v>
          </cell>
          <cell r="M101">
            <v>141.57107021728024</v>
          </cell>
        </row>
        <row r="102">
          <cell r="E102">
            <v>28.454504368776789</v>
          </cell>
          <cell r="F102">
            <v>25.83351610518805</v>
          </cell>
          <cell r="G102">
            <v>31.080259271862552</v>
          </cell>
          <cell r="H102">
            <v>0</v>
          </cell>
          <cell r="I102">
            <v>41.892109624825515</v>
          </cell>
          <cell r="J102">
            <v>134.7868731029252</v>
          </cell>
          <cell r="K102">
            <v>0</v>
          </cell>
          <cell r="L102">
            <v>147.22487899242361</v>
          </cell>
          <cell r="M102">
            <v>162.1618576977699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I120">
            <v>24</v>
          </cell>
          <cell r="J120">
            <v>100</v>
          </cell>
          <cell r="K120">
            <v>0</v>
          </cell>
          <cell r="L120">
            <v>100</v>
          </cell>
          <cell r="M120">
            <v>100</v>
          </cell>
        </row>
        <row r="121">
          <cell r="E121">
            <v>26.4</v>
          </cell>
          <cell r="G121">
            <v>26.4</v>
          </cell>
          <cell r="I121">
            <v>26.4</v>
          </cell>
          <cell r="J121">
            <v>100</v>
          </cell>
          <cell r="K121">
            <v>0</v>
          </cell>
          <cell r="L121">
            <v>100</v>
          </cell>
          <cell r="M121">
            <v>0</v>
          </cell>
        </row>
        <row r="123">
          <cell r="E123">
            <v>66528.44</v>
          </cell>
          <cell r="F123">
            <v>66528.44</v>
          </cell>
          <cell r="G123">
            <v>78249.517800000001</v>
          </cell>
          <cell r="H123">
            <v>0</v>
          </cell>
          <cell r="I123">
            <v>75179.038</v>
          </cell>
          <cell r="J123">
            <v>96.076039972734506</v>
          </cell>
          <cell r="K123">
            <v>0</v>
          </cell>
          <cell r="L123">
            <v>113.00285712396081</v>
          </cell>
          <cell r="M123">
            <v>113.00285712396081</v>
          </cell>
        </row>
        <row r="124">
          <cell r="E124">
            <v>124.96</v>
          </cell>
          <cell r="F124">
            <v>124.96</v>
          </cell>
          <cell r="G124">
            <v>197.56</v>
          </cell>
          <cell r="I124">
            <v>473.19</v>
          </cell>
          <cell r="J124">
            <v>239.51710872646282</v>
          </cell>
          <cell r="K124">
            <v>0</v>
          </cell>
          <cell r="L124">
            <v>378.67317541613318</v>
          </cell>
          <cell r="M124">
            <v>378.67317541613318</v>
          </cell>
        </row>
        <row r="125">
          <cell r="E125">
            <v>310.79000000000002</v>
          </cell>
          <cell r="F125">
            <v>310.79000000000002</v>
          </cell>
          <cell r="G125">
            <v>472.92899999999997</v>
          </cell>
          <cell r="I125">
            <v>646.56200000000001</v>
          </cell>
          <cell r="J125">
            <v>136.71439053219405</v>
          </cell>
          <cell r="K125">
            <v>0</v>
          </cell>
          <cell r="L125">
            <v>208.03822516811996</v>
          </cell>
          <cell r="M125">
            <v>208.03822516811996</v>
          </cell>
        </row>
        <row r="126">
          <cell r="E126">
            <v>47112.639999999999</v>
          </cell>
          <cell r="F126">
            <v>47112.639999999999</v>
          </cell>
          <cell r="G126">
            <v>54930.871799999994</v>
          </cell>
          <cell r="I126">
            <v>52976.86</v>
          </cell>
          <cell r="J126">
            <v>96.442780287350189</v>
          </cell>
          <cell r="K126">
            <v>0</v>
          </cell>
          <cell r="L126">
            <v>112.44723284451901</v>
          </cell>
          <cell r="M126">
            <v>112.44723284451901</v>
          </cell>
        </row>
        <row r="127">
          <cell r="E127">
            <v>18980.05</v>
          </cell>
          <cell r="F127">
            <v>18980.05</v>
          </cell>
          <cell r="G127">
            <v>22648.157000000007</v>
          </cell>
          <cell r="I127">
            <v>21082.425999999999</v>
          </cell>
          <cell r="J127">
            <v>93.08671782873985</v>
          </cell>
          <cell r="K127">
            <v>0</v>
          </cell>
          <cell r="L127">
            <v>111.07676744792559</v>
          </cell>
          <cell r="M127">
            <v>111.07676744792559</v>
          </cell>
        </row>
      </sheetData>
      <sheetData sheetId="12" refreshError="1"/>
      <sheetData sheetId="13" refreshError="1"/>
      <sheetData sheetId="14">
        <row r="9">
          <cell r="E9">
            <v>3005.8964999999998</v>
          </cell>
          <cell r="F9">
            <v>2681</v>
          </cell>
          <cell r="G9">
            <v>3155</v>
          </cell>
          <cell r="I9">
            <v>3155</v>
          </cell>
        </row>
        <row r="10">
          <cell r="E10">
            <v>0</v>
          </cell>
          <cell r="F10">
            <v>0</v>
          </cell>
          <cell r="G10">
            <v>0</v>
          </cell>
          <cell r="I10">
            <v>161</v>
          </cell>
        </row>
        <row r="11">
          <cell r="E11">
            <v>3005.8964999999998</v>
          </cell>
          <cell r="G11">
            <v>3155</v>
          </cell>
          <cell r="I11">
            <v>3155</v>
          </cell>
        </row>
        <row r="12">
          <cell r="I12">
            <v>3155</v>
          </cell>
        </row>
        <row r="13">
          <cell r="F13">
            <v>2681</v>
          </cell>
        </row>
        <row r="16">
          <cell r="E16">
            <v>3005.9</v>
          </cell>
          <cell r="F16">
            <v>2681</v>
          </cell>
          <cell r="G16">
            <v>3155</v>
          </cell>
          <cell r="H16">
            <v>3155</v>
          </cell>
          <cell r="I16">
            <v>3155</v>
          </cell>
        </row>
        <row r="18">
          <cell r="E18">
            <v>2625.9</v>
          </cell>
          <cell r="F18">
            <v>2900</v>
          </cell>
          <cell r="G18">
            <v>2907.9</v>
          </cell>
          <cell r="I18">
            <v>3554</v>
          </cell>
        </row>
        <row r="19">
          <cell r="E19">
            <v>5</v>
          </cell>
          <cell r="G19">
            <v>5.4</v>
          </cell>
          <cell r="I19">
            <v>5.8</v>
          </cell>
        </row>
        <row r="20">
          <cell r="E20">
            <v>1.5536862</v>
          </cell>
          <cell r="F20">
            <v>2.11</v>
          </cell>
          <cell r="G20">
            <v>1.7974001856999999</v>
          </cell>
          <cell r="I20">
            <v>1.7969999999999999</v>
          </cell>
        </row>
        <row r="23">
          <cell r="E23">
            <v>7.94</v>
          </cell>
          <cell r="F23">
            <v>7.25</v>
          </cell>
          <cell r="G23">
            <v>10</v>
          </cell>
          <cell r="I23">
            <v>3.1604999999999999</v>
          </cell>
        </row>
        <row r="26">
          <cell r="E26">
            <v>61.8643</v>
          </cell>
          <cell r="F26">
            <v>60</v>
          </cell>
          <cell r="G26">
            <v>68.181857712099998</v>
          </cell>
          <cell r="I26">
            <v>75</v>
          </cell>
        </row>
        <row r="29">
          <cell r="E29">
            <v>15.27</v>
          </cell>
          <cell r="F29">
            <v>15.23</v>
          </cell>
          <cell r="G29">
            <v>15</v>
          </cell>
          <cell r="I29">
            <v>15</v>
          </cell>
        </row>
        <row r="32">
          <cell r="E32">
            <v>24.834700000000002</v>
          </cell>
          <cell r="F32">
            <v>22.315000000000001</v>
          </cell>
          <cell r="G32">
            <v>33</v>
          </cell>
          <cell r="I32">
            <v>33</v>
          </cell>
        </row>
        <row r="34">
          <cell r="B34" t="str">
            <v>Выплаты &lt;______________&gt;:</v>
          </cell>
        </row>
        <row r="35">
          <cell r="E35">
            <v>1.0899000000000001</v>
          </cell>
          <cell r="F35">
            <v>2</v>
          </cell>
          <cell r="G35">
            <v>6.08</v>
          </cell>
          <cell r="I35">
            <v>0</v>
          </cell>
        </row>
        <row r="37">
          <cell r="B37" t="str">
            <v>Выплаты &lt;______________&gt;:</v>
          </cell>
        </row>
        <row r="38">
          <cell r="I38">
            <v>0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15" refreshError="1"/>
      <sheetData sheetId="16">
        <row r="9">
          <cell r="E9">
            <v>9083.6</v>
          </cell>
          <cell r="J9">
            <v>18852.099999999999</v>
          </cell>
        </row>
        <row r="10">
          <cell r="J10">
            <v>121974.9</v>
          </cell>
        </row>
        <row r="11">
          <cell r="J11">
            <v>12543.6</v>
          </cell>
        </row>
        <row r="13">
          <cell r="G13">
            <v>0</v>
          </cell>
          <cell r="J13">
            <v>26112.3</v>
          </cell>
        </row>
        <row r="14">
          <cell r="G14">
            <v>0</v>
          </cell>
        </row>
        <row r="15">
          <cell r="G15">
            <v>0</v>
          </cell>
        </row>
        <row r="16">
          <cell r="E16">
            <v>31489.8</v>
          </cell>
          <cell r="G16">
            <v>115087.37</v>
          </cell>
          <cell r="J16">
            <v>5412</v>
          </cell>
        </row>
        <row r="17">
          <cell r="E17">
            <v>163907.1</v>
          </cell>
          <cell r="F17">
            <v>59535.8</v>
          </cell>
          <cell r="G17">
            <v>0</v>
          </cell>
          <cell r="J17">
            <v>24584.2</v>
          </cell>
        </row>
        <row r="18">
          <cell r="E18">
            <v>18167.2</v>
          </cell>
          <cell r="F18">
            <v>10064</v>
          </cell>
          <cell r="G18">
            <v>157169.04</v>
          </cell>
          <cell r="J18">
            <v>23250</v>
          </cell>
        </row>
        <row r="19">
          <cell r="G19">
            <v>0</v>
          </cell>
        </row>
        <row r="20">
          <cell r="E20">
            <v>30884.240000000002</v>
          </cell>
          <cell r="F20">
            <v>13554</v>
          </cell>
          <cell r="G20">
            <v>0</v>
          </cell>
          <cell r="J20">
            <v>6314</v>
          </cell>
        </row>
        <row r="21">
          <cell r="E21">
            <v>14533.76</v>
          </cell>
          <cell r="F21">
            <v>1627</v>
          </cell>
          <cell r="G21">
            <v>0</v>
          </cell>
          <cell r="J21">
            <v>500</v>
          </cell>
        </row>
        <row r="24">
          <cell r="F24">
            <v>383</v>
          </cell>
        </row>
        <row r="25">
          <cell r="F25">
            <v>93078</v>
          </cell>
        </row>
        <row r="26">
          <cell r="G26">
            <v>130000</v>
          </cell>
          <cell r="M26">
            <v>193630</v>
          </cell>
        </row>
        <row r="28">
          <cell r="J28">
            <v>7542</v>
          </cell>
          <cell r="K28">
            <v>7542</v>
          </cell>
          <cell r="L28">
            <v>7542</v>
          </cell>
          <cell r="M28">
            <v>7543</v>
          </cell>
        </row>
        <row r="31">
          <cell r="J31">
            <v>1129</v>
          </cell>
          <cell r="K31">
            <v>1129</v>
          </cell>
          <cell r="L31">
            <v>1129</v>
          </cell>
          <cell r="M31">
            <v>1128</v>
          </cell>
        </row>
        <row r="32">
          <cell r="F32">
            <v>25993</v>
          </cell>
        </row>
        <row r="33">
          <cell r="F33">
            <v>3248</v>
          </cell>
        </row>
        <row r="35">
          <cell r="F35">
            <v>5409</v>
          </cell>
          <cell r="J35">
            <v>67</v>
          </cell>
          <cell r="K35">
            <v>67</v>
          </cell>
          <cell r="L35">
            <v>66</v>
          </cell>
          <cell r="M35">
            <v>66</v>
          </cell>
        </row>
        <row r="36">
          <cell r="F36">
            <v>162</v>
          </cell>
          <cell r="J36">
            <v>144</v>
          </cell>
          <cell r="K36">
            <v>144</v>
          </cell>
          <cell r="L36">
            <v>144</v>
          </cell>
          <cell r="M36">
            <v>143</v>
          </cell>
        </row>
        <row r="39">
          <cell r="F39">
            <v>6917</v>
          </cell>
        </row>
        <row r="40">
          <cell r="F40">
            <v>15988</v>
          </cell>
        </row>
      </sheetData>
      <sheetData sheetId="17" refreshError="1"/>
      <sheetData sheetId="18">
        <row r="9">
          <cell r="D9">
            <v>53.184205444732186</v>
          </cell>
          <cell r="I9">
            <v>6.7634362640693748</v>
          </cell>
        </row>
        <row r="10">
          <cell r="D10">
            <v>51.128060395653264</v>
          </cell>
          <cell r="I10">
            <v>6.5019562650200609</v>
          </cell>
        </row>
        <row r="11">
          <cell r="D11">
            <v>5409.9084004714105</v>
          </cell>
          <cell r="I11">
            <v>687.97813852958529</v>
          </cell>
        </row>
        <row r="12">
          <cell r="D12">
            <v>36876.622297284281</v>
          </cell>
          <cell r="I12">
            <v>4689.6006522279586</v>
          </cell>
        </row>
        <row r="14">
          <cell r="D14">
            <v>0</v>
          </cell>
          <cell r="I14">
            <v>0</v>
          </cell>
        </row>
        <row r="15">
          <cell r="D15">
            <v>101.62019964210685</v>
          </cell>
          <cell r="I15">
            <v>12.923042427241365</v>
          </cell>
        </row>
        <row r="16">
          <cell r="D16">
            <v>17458.786964369749</v>
          </cell>
          <cell r="I16">
            <v>2220.2342198039892</v>
          </cell>
        </row>
        <row r="17">
          <cell r="D17">
            <v>7812.5832057253983</v>
          </cell>
          <cell r="I17">
            <v>993.52633225991417</v>
          </cell>
        </row>
        <row r="19">
          <cell r="D19">
            <v>341.72266459163978</v>
          </cell>
          <cell r="I19">
            <v>43.456876766830298</v>
          </cell>
        </row>
        <row r="20">
          <cell r="D20">
            <v>466.22537670050775</v>
          </cell>
          <cell r="I20">
            <v>59.289888673479219</v>
          </cell>
        </row>
        <row r="21">
          <cell r="D21">
            <v>38200.873097485251</v>
          </cell>
          <cell r="I21">
            <v>4858.0056478447386</v>
          </cell>
        </row>
        <row r="22">
          <cell r="D22">
            <v>15202.24552788927</v>
          </cell>
          <cell r="I22">
            <v>1933.2698089371731</v>
          </cell>
        </row>
      </sheetData>
      <sheetData sheetId="19" refreshError="1"/>
      <sheetData sheetId="20">
        <row r="8">
          <cell r="E8">
            <v>1626579.5455146411</v>
          </cell>
          <cell r="F8">
            <v>1495734.3682983001</v>
          </cell>
          <cell r="G8">
            <v>2147092.3605058109</v>
          </cell>
          <cell r="H8">
            <v>0</v>
          </cell>
          <cell r="I8">
            <v>2600662.9750691336</v>
          </cell>
          <cell r="J8">
            <v>1.2112487673592536</v>
          </cell>
        </row>
        <row r="9">
          <cell r="E9">
            <v>3055.1918897769069</v>
          </cell>
          <cell r="F9">
            <v>2809.4277195085297</v>
          </cell>
          <cell r="G9">
            <v>5415.8977761074984</v>
          </cell>
          <cell r="H9">
            <v>0</v>
          </cell>
          <cell r="I9">
            <v>16320.79845476162</v>
          </cell>
          <cell r="J9">
            <v>3.0134982470979477</v>
          </cell>
        </row>
        <row r="10">
          <cell r="E10">
            <v>1159473.7744766553</v>
          </cell>
          <cell r="F10">
            <v>1066203.4790200533</v>
          </cell>
          <cell r="G10">
            <v>1520132.9090822372</v>
          </cell>
          <cell r="H10">
            <v>0</v>
          </cell>
          <cell r="I10">
            <v>1851771.2737310138</v>
          </cell>
          <cell r="J10">
            <v>1.2181640583315834</v>
          </cell>
        </row>
        <row r="12">
          <cell r="E12">
            <v>7598.624307168413</v>
          </cell>
          <cell r="F12">
            <v>6987.3757899952016</v>
          </cell>
          <cell r="G12">
            <v>12965.183436306655</v>
          </cell>
          <cell r="H12">
            <v>0</v>
          </cell>
          <cell r="I12">
            <v>22310.134805693895</v>
          </cell>
          <cell r="J12">
            <v>1.7207727846887526</v>
          </cell>
        </row>
        <row r="13">
          <cell r="E13">
            <v>1151875.1501694869</v>
          </cell>
          <cell r="F13">
            <v>1059216.103230058</v>
          </cell>
          <cell r="G13">
            <v>1507167.7256459305</v>
          </cell>
          <cell r="H13">
            <v>0</v>
          </cell>
          <cell r="I13">
            <v>1829461.1389253198</v>
          </cell>
          <cell r="J13">
            <v>1.2138404424373295</v>
          </cell>
        </row>
        <row r="14">
          <cell r="E14">
            <v>464050.5791482089</v>
          </cell>
          <cell r="F14">
            <v>426721.46155873832</v>
          </cell>
          <cell r="G14">
            <v>621543.55364746647</v>
          </cell>
          <cell r="H14">
            <v>0</v>
          </cell>
          <cell r="I14">
            <v>732570.90288335807</v>
          </cell>
          <cell r="J14">
            <v>1.1786316479100116</v>
          </cell>
        </row>
        <row r="15">
          <cell r="E15">
            <v>266454.24</v>
          </cell>
          <cell r="F15">
            <v>222929.15700543066</v>
          </cell>
          <cell r="G15">
            <v>284922.93000000005</v>
          </cell>
          <cell r="H15">
            <v>0</v>
          </cell>
          <cell r="I15">
            <v>548745.52631578955</v>
          </cell>
          <cell r="J15">
            <v>1.9259437150803884</v>
          </cell>
        </row>
        <row r="16">
          <cell r="E16">
            <v>502.90172234310614</v>
          </cell>
          <cell r="F16">
            <v>420.64097164516619</v>
          </cell>
          <cell r="G16">
            <v>719.35616847433153</v>
          </cell>
          <cell r="H16">
            <v>0</v>
          </cell>
          <cell r="I16">
            <v>2472.9083609103218</v>
          </cell>
          <cell r="J16">
            <v>3.4376689452111946</v>
          </cell>
        </row>
        <row r="17">
          <cell r="E17">
            <v>189944.29091243382</v>
          </cell>
          <cell r="F17">
            <v>158916.68151542888</v>
          </cell>
          <cell r="G17">
            <v>201736.88061657778</v>
          </cell>
          <cell r="H17">
            <v>0</v>
          </cell>
          <cell r="I17">
            <v>436093.58399113372</v>
          </cell>
          <cell r="J17">
            <v>2.161694890187063</v>
          </cell>
        </row>
        <row r="19">
          <cell r="E19">
            <v>1247.9160842430697</v>
          </cell>
          <cell r="F19">
            <v>1043.9234086125634</v>
          </cell>
          <cell r="G19">
            <v>1722.0343082627919</v>
          </cell>
          <cell r="H19">
            <v>0</v>
          </cell>
          <cell r="I19">
            <v>3379.0661231319214</v>
          </cell>
          <cell r="J19">
            <v>1.9622524980589744</v>
          </cell>
        </row>
        <row r="20">
          <cell r="E20">
            <v>188696.37482819075</v>
          </cell>
          <cell r="F20">
            <v>157872.75810681633</v>
          </cell>
          <cell r="G20">
            <v>200014.846308315</v>
          </cell>
          <cell r="H20">
            <v>0</v>
          </cell>
          <cell r="I20">
            <v>432714.51786800183</v>
          </cell>
          <cell r="J20">
            <v>2.1634119959324893</v>
          </cell>
        </row>
        <row r="21">
          <cell r="E21">
            <v>76007.047365223043</v>
          </cell>
          <cell r="F21">
            <v>63591.834518356642</v>
          </cell>
          <cell r="G21">
            <v>82466.693214947925</v>
          </cell>
          <cell r="H21">
            <v>0</v>
          </cell>
          <cell r="I21">
            <v>110179.03396374549</v>
          </cell>
          <cell r="J21">
            <v>1.3360428273335254</v>
          </cell>
        </row>
        <row r="22">
          <cell r="E22">
            <v>16.381260955528326</v>
          </cell>
          <cell r="F22">
            <v>14.904328049843343</v>
          </cell>
          <cell r="G22">
            <v>13.270175761459932</v>
          </cell>
          <cell r="H22">
            <v>0</v>
          </cell>
          <cell r="I22">
            <v>21.100216813030233</v>
          </cell>
          <cell r="J22">
            <v>1.5900480289274534</v>
          </cell>
        </row>
        <row r="23">
          <cell r="E23">
            <v>1893033.7855146411</v>
          </cell>
          <cell r="F23">
            <v>1718663.5253037307</v>
          </cell>
          <cell r="G23">
            <v>2432015.2905058111</v>
          </cell>
          <cell r="H23">
            <v>0</v>
          </cell>
          <cell r="I23">
            <v>3149408.5013849232</v>
          </cell>
          <cell r="J23">
            <v>1.2949789064565909</v>
          </cell>
        </row>
        <row r="24">
          <cell r="E24">
            <v>3558.0936121200129</v>
          </cell>
          <cell r="F24">
            <v>3230.0686911536959</v>
          </cell>
          <cell r="G24">
            <v>6135.2539445818302</v>
          </cell>
          <cell r="H24">
            <v>0</v>
          </cell>
          <cell r="I24">
            <v>18793.70681567194</v>
          </cell>
          <cell r="J24">
            <v>3.0632320985293608</v>
          </cell>
        </row>
        <row r="25">
          <cell r="E25">
            <v>1349418.0653890891</v>
          </cell>
          <cell r="F25">
            <v>1225120.1605354822</v>
          </cell>
          <cell r="G25">
            <v>1721869.789698815</v>
          </cell>
          <cell r="H25">
            <v>0</v>
          </cell>
          <cell r="I25">
            <v>2287864.8577221474</v>
          </cell>
          <cell r="J25">
            <v>1.3287095641084072</v>
          </cell>
        </row>
        <row r="27">
          <cell r="E27">
            <v>8846.5403914114831</v>
          </cell>
          <cell r="F27">
            <v>8031.299198607765</v>
          </cell>
          <cell r="G27">
            <v>14687.217744569447</v>
          </cell>
          <cell r="H27">
            <v>0</v>
          </cell>
          <cell r="I27">
            <v>25689.200928825816</v>
          </cell>
          <cell r="J27">
            <v>1.7490855909945449</v>
          </cell>
        </row>
        <row r="28">
          <cell r="E28">
            <v>1340571.5249976777</v>
          </cell>
          <cell r="F28">
            <v>1217088.8613368743</v>
          </cell>
          <cell r="G28">
            <v>1707182.5719542454</v>
          </cell>
          <cell r="H28">
            <v>0</v>
          </cell>
          <cell r="I28">
            <v>2262175.6567933215</v>
          </cell>
          <cell r="J28">
            <v>1.3250929888557641</v>
          </cell>
        </row>
        <row r="29">
          <cell r="E29">
            <v>540057.6265134319</v>
          </cell>
          <cell r="F29">
            <v>490313.29607709497</v>
          </cell>
          <cell r="G29">
            <v>704010.24686241441</v>
          </cell>
          <cell r="H29">
            <v>0</v>
          </cell>
          <cell r="I29">
            <v>842749.93684710353</v>
          </cell>
          <cell r="J29">
            <v>1.197070554871914</v>
          </cell>
        </row>
        <row r="30">
          <cell r="E30">
            <v>777.92</v>
          </cell>
          <cell r="F30">
            <v>932.3</v>
          </cell>
          <cell r="G30">
            <v>870.12999999999988</v>
          </cell>
          <cell r="H30">
            <v>0</v>
          </cell>
          <cell r="I30">
            <v>1040.0999999999999</v>
          </cell>
          <cell r="J30">
            <v>1.1953386275613989</v>
          </cell>
        </row>
        <row r="31">
          <cell r="E31">
            <v>771.86999999999989</v>
          </cell>
          <cell r="F31">
            <v>916.81999999999994</v>
          </cell>
          <cell r="G31">
            <v>836.05</v>
          </cell>
          <cell r="H31">
            <v>0</v>
          </cell>
          <cell r="I31">
            <v>1022.7699999999999</v>
          </cell>
          <cell r="J31">
            <v>1.2233359248848752</v>
          </cell>
        </row>
        <row r="32">
          <cell r="E32">
            <v>757.33999999999992</v>
          </cell>
          <cell r="F32">
            <v>903.68000000000006</v>
          </cell>
          <cell r="G32">
            <v>828.11999999999989</v>
          </cell>
          <cell r="H32">
            <v>0</v>
          </cell>
          <cell r="I32">
            <v>1008.1699999999998</v>
          </cell>
          <cell r="J32">
            <v>1.2174201806501472</v>
          </cell>
        </row>
        <row r="33">
          <cell r="E33">
            <v>267.58</v>
          </cell>
          <cell r="F33">
            <v>289.77000000000004</v>
          </cell>
          <cell r="G33">
            <v>311.72999999999996</v>
          </cell>
          <cell r="H33">
            <v>0</v>
          </cell>
          <cell r="I33">
            <v>321.80999999999995</v>
          </cell>
          <cell r="J33">
            <v>1.0323356751034549</v>
          </cell>
        </row>
        <row r="34">
          <cell r="J34">
            <v>0</v>
          </cell>
        </row>
        <row r="35">
          <cell r="E35">
            <v>49009.553885950598</v>
          </cell>
          <cell r="F35">
            <v>17388.397346865291</v>
          </cell>
          <cell r="G35">
            <v>15002.088088277165</v>
          </cell>
          <cell r="H35">
            <v>0</v>
          </cell>
          <cell r="I35">
            <v>90371.738871282636</v>
          </cell>
          <cell r="J35">
            <v>6.0239440229590659</v>
          </cell>
        </row>
        <row r="38">
          <cell r="E38">
            <v>50737.212614197546</v>
          </cell>
          <cell r="F38">
            <v>50934.165389445487</v>
          </cell>
          <cell r="G38">
            <v>154342.34704255412</v>
          </cell>
          <cell r="H38">
            <v>0</v>
          </cell>
          <cell r="I38">
            <v>146627.85918279577</v>
          </cell>
          <cell r="J38">
            <v>0.95001703675251636</v>
          </cell>
        </row>
        <row r="39">
          <cell r="E39">
            <v>228101.11303890194</v>
          </cell>
          <cell r="F39">
            <v>165770.5084472445</v>
          </cell>
          <cell r="G39">
            <v>276498.81343423767</v>
          </cell>
          <cell r="H39">
            <v>0</v>
          </cell>
          <cell r="I39">
            <v>276352.99758410786</v>
          </cell>
          <cell r="J39">
            <v>0.99947263480693205</v>
          </cell>
        </row>
        <row r="40">
          <cell r="E40">
            <v>435821.61091268371</v>
          </cell>
          <cell r="F40">
            <v>345437.87325596414</v>
          </cell>
          <cell r="G40">
            <v>504036.24309348222</v>
          </cell>
          <cell r="H40">
            <v>0</v>
          </cell>
          <cell r="I40">
            <v>562614.59875417198</v>
          </cell>
          <cell r="J40">
            <v>1.1162185387724697</v>
          </cell>
        </row>
        <row r="41">
          <cell r="J41">
            <v>0</v>
          </cell>
        </row>
        <row r="42">
          <cell r="E42">
            <v>67.13384173811346</v>
          </cell>
          <cell r="F42">
            <v>30.256733844943319</v>
          </cell>
          <cell r="G42">
            <v>20.554237019296437</v>
          </cell>
          <cell r="H42">
            <v>0</v>
          </cell>
          <cell r="I42">
            <v>154.50499898933646</v>
          </cell>
          <cell r="J42">
            <v>7.5169415845641101</v>
          </cell>
        </row>
        <row r="43">
          <cell r="J43">
            <v>0</v>
          </cell>
        </row>
        <row r="45">
          <cell r="E45">
            <v>69.484020481787155</v>
          </cell>
          <cell r="F45">
            <v>88.555992097558644</v>
          </cell>
          <cell r="G45">
            <v>211.40497274564382</v>
          </cell>
          <cell r="H45">
            <v>0</v>
          </cell>
          <cell r="I45">
            <v>250.91768006295757</v>
          </cell>
          <cell r="J45">
            <v>1.1869052880078383</v>
          </cell>
        </row>
        <row r="46">
          <cell r="E46">
            <v>312.46841431372985</v>
          </cell>
          <cell r="F46">
            <v>288.30207361003966</v>
          </cell>
          <cell r="G46">
            <v>378.77509996561349</v>
          </cell>
          <cell r="H46">
            <v>0</v>
          </cell>
          <cell r="I46">
            <v>472.56971248324766</v>
          </cell>
          <cell r="J46">
            <v>1.2476261309841887</v>
          </cell>
        </row>
        <row r="47">
          <cell r="E47">
            <v>597.00519696596086</v>
          </cell>
          <cell r="F47">
            <v>601.31579388986052</v>
          </cell>
          <cell r="G47">
            <v>690.46242753224624</v>
          </cell>
          <cell r="H47">
            <v>0</v>
          </cell>
          <cell r="I47">
            <v>962.07335559954242</v>
          </cell>
          <cell r="J47">
            <v>1.393375391964556</v>
          </cell>
        </row>
        <row r="49">
          <cell r="E49">
            <v>0</v>
          </cell>
          <cell r="F49">
            <v>150.2357530769159</v>
          </cell>
          <cell r="G49">
            <v>1654.430274375206</v>
          </cell>
          <cell r="H49">
            <v>0</v>
          </cell>
          <cell r="I49">
            <v>1041.0824317971819</v>
          </cell>
          <cell r="J49">
            <v>0.62926945179986249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150.2357530769159</v>
          </cell>
          <cell r="G53">
            <v>1654.430274375206</v>
          </cell>
          <cell r="H53">
            <v>0</v>
          </cell>
          <cell r="I53">
            <v>1041.0824317971819</v>
          </cell>
          <cell r="J53">
            <v>0.62926945179986249</v>
          </cell>
        </row>
        <row r="59">
          <cell r="E59">
            <v>6.0884655137015216</v>
          </cell>
          <cell r="F59">
            <v>3978.9770002234823</v>
          </cell>
          <cell r="G59">
            <v>4537.6650030510882</v>
          </cell>
          <cell r="H59">
            <v>0</v>
          </cell>
          <cell r="I59">
            <v>12914.981836820649</v>
          </cell>
          <cell r="J59">
            <v>2.8461734896993769</v>
          </cell>
        </row>
        <row r="66">
          <cell r="E66">
            <v>859348.13326275907</v>
          </cell>
          <cell r="F66">
            <v>710857.09432347398</v>
          </cell>
          <cell r="G66">
            <v>1181468.3698519599</v>
          </cell>
          <cell r="H66">
            <v>0</v>
          </cell>
          <cell r="I66">
            <v>1329910.1114538575</v>
          </cell>
          <cell r="J66">
            <v>1.1256417398804317</v>
          </cell>
        </row>
      </sheetData>
      <sheetData sheetId="21" refreshError="1"/>
      <sheetData sheetId="22">
        <row r="8">
          <cell r="E8">
            <v>681.8</v>
          </cell>
          <cell r="F8">
            <v>681.8</v>
          </cell>
          <cell r="G8">
            <v>889.66</v>
          </cell>
          <cell r="I8">
            <v>2519.3000000000002</v>
          </cell>
        </row>
        <row r="9">
          <cell r="I9">
            <v>2519.3000000000002</v>
          </cell>
        </row>
        <row r="10">
          <cell r="I10">
            <v>2519.3000000000002</v>
          </cell>
        </row>
      </sheetData>
      <sheetData sheetId="23" refreshError="1"/>
      <sheetData sheetId="24"/>
      <sheetData sheetId="25" refreshError="1"/>
      <sheetData sheetId="26"/>
      <sheetData sheetId="27"/>
      <sheetData sheetId="28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29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3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ь"/>
      <sheetName val="май"/>
      <sheetName val="апр."/>
      <sheetName val="2001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16"/>
      <sheetName val="17.1"/>
      <sheetName val="24"/>
      <sheetName val="25"/>
      <sheetName val="Справочники"/>
      <sheetName val="Баланс энергии"/>
      <sheetName val="УПХ"/>
      <sheetName val="УНПХ"/>
      <sheetName val="Транспортный налог"/>
      <sheetName val="Баланс мощности"/>
      <sheetName val="Страхование"/>
      <sheetName val=" КВЛ 2012-2014 план"/>
      <sheetName val="Амортизация по уровням напр-я"/>
      <sheetName val="Оплата труда"/>
      <sheetName val="TEHSHEET"/>
      <sheetName val="Материалы"/>
      <sheetName val="Ремонты 2014 год план"/>
      <sheetName val="Сводная ремонт"/>
      <sheetName val="Плата за землю"/>
      <sheetName val="ОТ и ТБ"/>
      <sheetName val="Аренда имущества"/>
      <sheetName val="Командировки"/>
      <sheetName val="Обучение"/>
      <sheetName val="Прочие НР"/>
      <sheetName val="Услуги банков"/>
      <sheetName val="Налог на имущество"/>
      <sheetName val="Выпадающий доход"/>
      <sheetName val="Соц характер"/>
      <sheetName val="Свод по амортизации"/>
      <sheetName val="Численн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FUELSHEET"/>
      <sheetName val="TEHSHEET"/>
      <sheetName val="Заголовок"/>
      <sheetName val="Справочники"/>
      <sheetName val="2010"/>
      <sheetName val="Топливо2009"/>
      <sheetName val="Топливо2010мин"/>
      <sheetName val="Топливо2010макс"/>
      <sheetName val="Топливо2010ФСТ"/>
      <sheetName val="Топливо2010ФСТмакс"/>
      <sheetName val="Приложение"/>
      <sheetName val="ИНДЕКСЫ"/>
      <sheetName val="Krasnodarskij kraj"/>
      <sheetName val="fes"/>
      <sheetName val="2001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16"/>
      <sheetName val="17.1"/>
      <sheetName val="24"/>
      <sheetName val="25"/>
      <sheetName val="alpha"/>
      <sheetName val="гр5(о)"/>
      <sheetName val="Стр1"/>
      <sheetName val="список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Заголовок"/>
      <sheetName val="TEHSHEET"/>
      <sheetName val="REESTR_MO"/>
      <sheetName val="SOL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  <sheetName val="REESTR_MO"/>
      <sheetName val="Титульный"/>
      <sheetName val="таблица7 (технол.нужды)"/>
      <sheetName val="таблица7 (хоз.нужды)"/>
      <sheetName val="гр5(о)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CommonProv"/>
      <sheetName val="modProvGeneralProc"/>
      <sheetName val="modLoad_Svod"/>
      <sheetName val="modCOMBI"/>
      <sheetName val="modfrmRegion"/>
      <sheetName val="modCommonProcedures"/>
      <sheetName val="Инструкция"/>
      <sheetName val="Обновление"/>
      <sheetName val="Лог обновления"/>
      <sheetName val="Контакты"/>
      <sheetName val="Т итого"/>
      <sheetName val="Т"/>
      <sheetName val="КВ"/>
      <sheetName val="Свод"/>
      <sheetName val="Результаты загрузки"/>
      <sheetName val="Комментарии"/>
      <sheetName val="Проверка"/>
      <sheetName val="modInfo"/>
      <sheetName val="Файлы"/>
      <sheetName val="REESTR_MO"/>
      <sheetName val="REESTR_ORG"/>
      <sheetName val="REESTR_FILTERED"/>
      <sheetName val="TECHSHEET"/>
      <sheetName val="tech"/>
      <sheetName val="REESTR_OPT_ORG"/>
      <sheetName val="PLAN_201X"/>
      <sheetName val="PLAN1X_LIST_ORG_TOTAL"/>
      <sheetName val="ORG_DATA_REGION"/>
      <sheetName val="FUEL_DATA_REGION"/>
      <sheetName val="modFUEL"/>
      <sheetName val="modOpen"/>
      <sheetName val="modfrmReestr"/>
      <sheetName val="modReestr"/>
      <sheetName val="modDataRegion"/>
      <sheetName val="modCommandButton"/>
      <sheetName val="modData_TOPL_QX"/>
      <sheetName val="modfrmReestrPreviousPeriod"/>
      <sheetName val="modfrmW1XORGs"/>
      <sheetName val="AUTHORISATION"/>
      <sheetName val="modUpdTemplMain"/>
      <sheetName val="modfrmCheckUpdates"/>
      <sheetName val="modfrmPLAN1XUpdateIsInProgress"/>
      <sheetName val="modfrmDictionary"/>
      <sheetName val="WARM.TOPL.Q2.2012(v1.0"/>
      <sheetName val="Титульный"/>
      <sheetName val="таблица7 (технол.нужды)"/>
      <sheetName val="таблица7 (хоз.нужды)"/>
      <sheetName val="TEHSHEET"/>
      <sheetName val="2002(v1)"/>
      <sheetName val="Заголовок"/>
      <sheetName val="fes"/>
      <sheetName val="гр5(о)"/>
    </sheetNames>
    <sheetDataSet>
      <sheetData sheetId="0">
        <row r="10">
          <cell r="G10" t="str">
            <v>Краснодарский край</v>
          </cell>
        </row>
      </sheetData>
      <sheetData sheetId="1"/>
      <sheetData sheetId="2">
        <row r="10">
          <cell r="G10" t="str">
            <v>Краснодарский край</v>
          </cell>
        </row>
      </sheetData>
      <sheetData sheetId="3"/>
      <sheetData sheetId="4">
        <row r="4">
          <cell r="H4" t="str">
            <v>Шаблон заполняется от организации (организаций)</v>
          </cell>
        </row>
      </sheetData>
      <sheetData sheetId="5"/>
      <sheetData sheetId="6">
        <row r="4">
          <cell r="H4" t="str">
            <v>Шаблон заполняется от организации (организаций)</v>
          </cell>
        </row>
      </sheetData>
      <sheetData sheetId="7"/>
      <sheetData sheetId="8">
        <row r="4">
          <cell r="H4" t="str">
            <v>Шаблон заполняется от организации (организаций)</v>
          </cell>
        </row>
      </sheetData>
      <sheetData sheetId="9"/>
      <sheetData sheetId="10">
        <row r="4">
          <cell r="H4" t="str">
            <v>Шаблон заполняется от организации (организаций)</v>
          </cell>
        </row>
      </sheetData>
      <sheetData sheetId="11"/>
      <sheetData sheetId="12">
        <row r="4">
          <cell r="H4" t="str">
            <v>Шаблон заполняется от организации (организаций)</v>
          </cell>
        </row>
      </sheetData>
      <sheetData sheetId="13"/>
      <sheetData sheetId="14">
        <row r="4">
          <cell r="H4" t="str">
            <v>Шаблон заполняется от организации (организаций)</v>
          </cell>
        </row>
      </sheetData>
      <sheetData sheetId="15"/>
      <sheetData sheetId="16"/>
      <sheetData sheetId="17"/>
      <sheetData sheetId="18">
        <row r="1">
          <cell r="B1" t="str">
            <v>да</v>
          </cell>
        </row>
      </sheetData>
      <sheetData sheetId="19">
        <row r="1">
          <cell r="B1" t="str">
            <v>да</v>
          </cell>
        </row>
      </sheetData>
      <sheetData sheetId="20">
        <row r="1">
          <cell r="B1" t="str">
            <v>да</v>
          </cell>
        </row>
      </sheetData>
      <sheetData sheetId="21">
        <row r="1">
          <cell r="B1" t="str">
            <v>да</v>
          </cell>
        </row>
      </sheetData>
      <sheetData sheetId="22">
        <row r="1">
          <cell r="B1" t="str">
            <v>да</v>
          </cell>
        </row>
      </sheetData>
      <sheetData sheetId="23">
        <row r="1">
          <cell r="B1" t="str">
            <v>да</v>
          </cell>
        </row>
        <row r="2">
          <cell r="B2" t="str">
            <v>нет</v>
          </cell>
          <cell r="E2" t="str">
            <v>Уголь</v>
          </cell>
        </row>
        <row r="3">
          <cell r="E3" t="str">
            <v>Газ природный</v>
          </cell>
        </row>
        <row r="4">
          <cell r="E4" t="str">
            <v>Газ сжиженный</v>
          </cell>
        </row>
        <row r="5">
          <cell r="E5" t="str">
            <v>Мазут</v>
          </cell>
        </row>
        <row r="6">
          <cell r="E6" t="str">
            <v>Дизельное топливо</v>
          </cell>
        </row>
        <row r="7">
          <cell r="E7" t="str">
            <v>Нефть</v>
          </cell>
        </row>
        <row r="8">
          <cell r="E8" t="str">
            <v>Электроэнергия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  <sheetName val="Свод"/>
      <sheetName val="TECHSHEET"/>
      <sheetName val="REESTR_MO"/>
      <sheetName val="Титульный"/>
      <sheetName val="таблица7 (технол.нужды)"/>
      <sheetName val="таблица7 (хоз.нужды)"/>
      <sheetName val="TEHSHEET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Стр1"/>
      <sheetName val="Список"/>
      <sheetName val="2002(v1)"/>
      <sheetName val="Лист2"/>
      <sheetName val="База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  <sheetName val="6_12"/>
      <sheetName val="6_14"/>
      <sheetName val="6_7"/>
      <sheetName val="6_8"/>
      <sheetName val="6_9_2"/>
      <sheetName val="6_9_1"/>
      <sheetName val="6_9"/>
      <sheetName val="6_10_1"/>
      <sheetName val="6_22"/>
      <sheetName val="6_17"/>
      <sheetName val="6_15"/>
      <sheetName val="6_11_1"/>
      <sheetName val="6_19"/>
      <sheetName val="6_20"/>
      <sheetName val="6_28"/>
      <sheetName val="6_5_1_ТНП"/>
      <sheetName val="6_13"/>
      <sheetName val="6_23"/>
      <sheetName val="6_24"/>
      <sheetName val="6_21"/>
      <sheetName val="Огл__Графиков"/>
      <sheetName val="Текущие_цены"/>
      <sheetName val="СБ"/>
      <sheetName val="Факт БДР"/>
      <sheetName val="ДДС (Форма №3)"/>
      <sheetName val="00"/>
      <sheetName val="Материалы"/>
      <sheetName val="tech"/>
      <sheetName val="REESTR_ORG"/>
      <sheetName val="НВВ по уровням"/>
      <sheetName val="REESTR"/>
      <sheetName val="Восстановл_Лист7"/>
      <sheetName val="Восстановл_Лист15"/>
      <sheetName val="Восстановл_Лист11"/>
      <sheetName val="Восстановл_Лист21"/>
      <sheetName val="ПОДПИСИ"/>
      <sheetName val="Лист1"/>
      <sheetName val="TSheet"/>
      <sheetName val="ИТ-бюджет"/>
      <sheetName val="Исходные данные"/>
      <sheetName val="Общехозяйственные расходы"/>
      <sheetName val="Штатное"/>
      <sheetName val="Реестр"/>
      <sheetName val="Вариант1"/>
      <sheetName val="Предлагаемая новая форма СТРС"/>
      <sheetName val="5"/>
      <sheetName val="11."/>
      <sheetName val="7"/>
      <sheetName val="10"/>
      <sheetName val="12"/>
      <sheetName val="3."/>
      <sheetName val="9."/>
      <sheetName val="8"/>
      <sheetName val="4."/>
      <sheetName val="заявка_на_произ"/>
      <sheetName val="темпы роста"/>
      <sheetName val="Услуги АТЦ"/>
      <sheetName val="СВОД ЗАТРАТ"/>
      <sheetName val="Цены"/>
      <sheetName val="MAIN"/>
      <sheetName val="ЗП (админ)"/>
      <sheetName val="УПРАВЛЕНИЕ11"/>
      <sheetName val="system"/>
      <sheetName val="Проект"/>
      <sheetName val="Топливо_пр_гК"/>
      <sheetName val="Под_воды_пр_г"/>
      <sheetName val="Пр_ст_вод_пр_г"/>
      <sheetName val="Топливо_пр_гВ "/>
      <sheetName val="Реаг_пр_годВ"/>
      <sheetName val="Реаг_пр_годК"/>
      <sheetName val="Лист17"/>
      <sheetName val="I"/>
      <sheetName val="P2.1"/>
      <sheetName val="топография"/>
      <sheetName val="Прочти меня!"/>
      <sheetName val="#ССЫЛКА"/>
      <sheetName val="Прочти_меня!"/>
      <sheetName val="2002(v2)"/>
      <sheetName val="Реж_НКК"/>
      <sheetName val="ДАО"/>
      <sheetName val="1999-veca"/>
      <sheetName val="влад-таблица"/>
      <sheetName val="Заявка"/>
      <sheetName val="пр_5_1"/>
      <sheetName val="Смета"/>
      <sheetName val="Подрядчики"/>
      <sheetName val="6_121"/>
      <sheetName val="6_141"/>
      <sheetName val="6_71"/>
      <sheetName val="6_81"/>
      <sheetName val="6_9_21"/>
      <sheetName val="6_9_11"/>
      <sheetName val="6_91"/>
      <sheetName val="6_10_11"/>
      <sheetName val="6_221"/>
      <sheetName val="6_171"/>
      <sheetName val="6_151"/>
      <sheetName val="6_11_11"/>
      <sheetName val="6_191"/>
      <sheetName val="6_201"/>
      <sheetName val="6_281"/>
      <sheetName val="6_5_1_ТНП1"/>
      <sheetName val="6_131"/>
      <sheetName val="6_231"/>
      <sheetName val="6_241"/>
      <sheetName val="6_211"/>
      <sheetName val="Огл__Графиков1"/>
      <sheetName val="Текущие_цены1"/>
      <sheetName val="Факт_БДР"/>
      <sheetName val="ДДС_(Форма_№3)"/>
      <sheetName val="НВВ_по_уровням"/>
      <sheetName val="М_1"/>
      <sheetName val="транс. налог ауп"/>
      <sheetName val="Лист визирования"/>
      <sheetName val="6.11 новый"/>
      <sheetName val=""/>
      <sheetName val="Info"/>
      <sheetName val="6_124"/>
      <sheetName val="6_144"/>
      <sheetName val="6_74"/>
      <sheetName val="6_84"/>
      <sheetName val="6_9_24"/>
      <sheetName val="6_9_14"/>
      <sheetName val="6_94"/>
      <sheetName val="6_10_14"/>
      <sheetName val="6_224"/>
      <sheetName val="6_174"/>
      <sheetName val="6_154"/>
      <sheetName val="6_11_14"/>
      <sheetName val="6_194"/>
      <sheetName val="6_204"/>
      <sheetName val="6_284"/>
      <sheetName val="6_5_1_ТНП4"/>
      <sheetName val="6_134"/>
      <sheetName val="6_234"/>
      <sheetName val="6_244"/>
      <sheetName val="6_214"/>
      <sheetName val="Огл__Графиков4"/>
      <sheetName val="Текущие_цены4"/>
      <sheetName val="Факт_БДР3"/>
      <sheetName val="ДДС_(Форма_№3)3"/>
      <sheetName val="НВВ_по_уровням3"/>
      <sheetName val="транс__налог_ауп3"/>
      <sheetName val="6_122"/>
      <sheetName val="6_142"/>
      <sheetName val="6_72"/>
      <sheetName val="6_82"/>
      <sheetName val="6_9_22"/>
      <sheetName val="6_9_12"/>
      <sheetName val="6_92"/>
      <sheetName val="6_10_12"/>
      <sheetName val="6_222"/>
      <sheetName val="6_172"/>
      <sheetName val="6_152"/>
      <sheetName val="6_11_12"/>
      <sheetName val="6_192"/>
      <sheetName val="6_202"/>
      <sheetName val="6_282"/>
      <sheetName val="6_5_1_ТНП2"/>
      <sheetName val="6_132"/>
      <sheetName val="6_232"/>
      <sheetName val="6_242"/>
      <sheetName val="6_212"/>
      <sheetName val="Огл__Графиков2"/>
      <sheetName val="Текущие_цены2"/>
      <sheetName val="Факт_БДР1"/>
      <sheetName val="ДДС_(Форма_№3)1"/>
      <sheetName val="НВВ_по_уровням1"/>
      <sheetName val="транс__налог_ауп1"/>
      <sheetName val="транс__налог_ауп"/>
      <sheetName val="6_123"/>
      <sheetName val="6_143"/>
      <sheetName val="6_73"/>
      <sheetName val="6_83"/>
      <sheetName val="6_9_23"/>
      <sheetName val="6_9_13"/>
      <sheetName val="6_93"/>
      <sheetName val="6_10_13"/>
      <sheetName val="6_223"/>
      <sheetName val="6_173"/>
      <sheetName val="6_153"/>
      <sheetName val="6_11_13"/>
      <sheetName val="6_193"/>
      <sheetName val="6_203"/>
      <sheetName val="6_283"/>
      <sheetName val="6_5_1_ТНП3"/>
      <sheetName val="6_133"/>
      <sheetName val="6_233"/>
      <sheetName val="6_243"/>
      <sheetName val="6_213"/>
      <sheetName val="Огл__Графиков3"/>
      <sheetName val="Текущие_цены3"/>
      <sheetName val="Факт_БДР2"/>
      <sheetName val="ДДС_(Форма_№3)2"/>
      <sheetName val="НВВ_по_уровням2"/>
      <sheetName val="транс__налог_ауп2"/>
      <sheetName val="6_125"/>
      <sheetName val="6_145"/>
      <sheetName val="6_75"/>
      <sheetName val="6_85"/>
      <sheetName val="6_9_25"/>
      <sheetName val="6_9_15"/>
      <sheetName val="6_95"/>
      <sheetName val="6_10_15"/>
      <sheetName val="6_225"/>
      <sheetName val="6_175"/>
      <sheetName val="6_155"/>
      <sheetName val="6_11_15"/>
      <sheetName val="6_195"/>
      <sheetName val="6_205"/>
      <sheetName val="6_285"/>
      <sheetName val="6_5_1_ТНП5"/>
      <sheetName val="6_135"/>
      <sheetName val="6_235"/>
      <sheetName val="6_245"/>
      <sheetName val="6_215"/>
      <sheetName val="Огл__Графиков5"/>
      <sheetName val="Текущие_цены5"/>
      <sheetName val="Факт_БДР4"/>
      <sheetName val="ДДС_(Форма_№3)4"/>
      <sheetName val="НВВ_по_уровням4"/>
      <sheetName val="транс__налог_ауп4"/>
      <sheetName val="6_126"/>
      <sheetName val="6_146"/>
      <sheetName val="6_76"/>
      <sheetName val="6_86"/>
      <sheetName val="6_9_26"/>
      <sheetName val="6_9_16"/>
      <sheetName val="6_96"/>
      <sheetName val="6_10_16"/>
      <sheetName val="6_226"/>
      <sheetName val="6_176"/>
      <sheetName val="6_156"/>
      <sheetName val="6_11_16"/>
      <sheetName val="6_196"/>
      <sheetName val="6_206"/>
      <sheetName val="6_286"/>
      <sheetName val="6_5_1_ТНП6"/>
      <sheetName val="6_136"/>
      <sheetName val="6_236"/>
      <sheetName val="6_246"/>
      <sheetName val="6_216"/>
      <sheetName val="Огл__Графиков6"/>
      <sheetName val="Текущие_цены6"/>
      <sheetName val="Факт_БДР5"/>
      <sheetName val="ДДС_(Форма_№3)5"/>
      <sheetName val="НВВ_по_уровням5"/>
      <sheetName val="транс__налог_ауп5"/>
      <sheetName val="Лист_визирования"/>
      <sheetName val="6_127"/>
      <sheetName val="6_147"/>
      <sheetName val="6_77"/>
      <sheetName val="6_87"/>
      <sheetName val="6_9_27"/>
      <sheetName val="6_9_17"/>
      <sheetName val="6_97"/>
      <sheetName val="6_10_17"/>
      <sheetName val="6_227"/>
      <sheetName val="6_177"/>
      <sheetName val="6_157"/>
      <sheetName val="6_11_17"/>
      <sheetName val="6_197"/>
      <sheetName val="6_207"/>
      <sheetName val="6_287"/>
      <sheetName val="6_5_1_ТНП7"/>
      <sheetName val="6_137"/>
      <sheetName val="6_237"/>
      <sheetName val="6_247"/>
      <sheetName val="6_217"/>
      <sheetName val="Огл__Графиков7"/>
      <sheetName val="Текущие_цены7"/>
      <sheetName val="Факт_БДР6"/>
      <sheetName val="ДДС_(Форма_№3)6"/>
      <sheetName val="НВВ_по_уровням6"/>
      <sheetName val="транс__налог_ауп6"/>
      <sheetName val="Лист_визирования1"/>
      <sheetName val="Lists"/>
      <sheetName val="Дебиторка"/>
      <sheetName val="Б.мчас (П)"/>
      <sheetName val="Гр(27.07.00)5Х"/>
      <sheetName val="пл. 2001 цехов и УГС"/>
      <sheetName val="справочник"/>
      <sheetName val="БДДС-cc"/>
      <sheetName val="РЕЕСТР_СИ"/>
      <sheetName val="БДДС$"/>
      <sheetName val="данные"/>
      <sheetName val="ТоКС-э"/>
      <sheetName val="6.21.3"/>
      <sheetName val="6.22.1"/>
      <sheetName val="6.25"/>
      <sheetName val="6.3.1"/>
      <sheetName val="6.3.1.2"/>
      <sheetName val="6.3.1.3"/>
      <sheetName val="6.30"/>
      <sheetName val="6.6"/>
      <sheetName val="6.11.2"/>
      <sheetName val="6.8.1"/>
      <sheetName val="6.12_Д"/>
      <sheetName val="6.2_ТН"/>
      <sheetName val="6.12_Р"/>
      <sheetName val="6.26"/>
      <sheetName val="6.1"/>
      <sheetName val="ИЦП9900"/>
      <sheetName val="Работы на объектах"/>
      <sheetName val="Adjustment schedule"/>
      <sheetName val="август"/>
      <sheetName val="BS_ias"/>
      <sheetName val="Сумм"/>
      <sheetName val="1.10.96"/>
      <sheetName val="ФОРМА по 1-12 (2015г.)"/>
      <sheetName val="план"/>
      <sheetName val="Россия-экспорт"/>
      <sheetName val="1"/>
      <sheetName val="Лист3"/>
      <sheetName val="МАТЕР.433,452"/>
      <sheetName val="Исх"/>
      <sheetName val="RAB"/>
      <sheetName val="Прочти_меня!1"/>
      <sheetName val="12июля"/>
      <sheetName val="Dati Caricati"/>
      <sheetName val="Перио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РУМН"/>
      <sheetName val="КРУМН"/>
      <sheetName val="БПО"/>
      <sheetName val="2 кв"/>
      <sheetName val="3 кв"/>
      <sheetName val="4 кв"/>
      <sheetName val="Лист2"/>
      <sheetName val="Гр5(о)"/>
      <sheetName val="Заголовок"/>
      <sheetName val="Инструкция"/>
    </sheetNames>
    <sheetDataSet>
      <sheetData sheetId="0">
        <row r="6">
          <cell r="B6" t="str">
            <v>автобусы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РУМН"/>
      <sheetName val="КРУМН"/>
      <sheetName val="БПО"/>
      <sheetName val="2 кв"/>
      <sheetName val="3 кв"/>
      <sheetName val="4 кв"/>
      <sheetName val="О"/>
      <sheetName val="Лист2"/>
      <sheetName val="Гр5(о)"/>
      <sheetName val="2002(v2)"/>
      <sheetName val="ТИТУЛ"/>
      <sheetName val="ОБЩЕСТВА"/>
      <sheetName val="М_1"/>
      <sheetName val="ДДС (Форма №3)"/>
      <sheetName val="00"/>
      <sheetName val="Свод 6.11.1 з (тр)"/>
      <sheetName val="проверка"/>
      <sheetName val="6.14"/>
      <sheetName val="6_11_1  сторонние"/>
      <sheetName val="Восстановл_Лист4"/>
      <sheetName val="Восстановл_Лист12"/>
      <sheetName val="Восстановл_Лист18"/>
      <sheetName val="Восстановл_Лист10"/>
      <sheetName val="Восстановл_Лист6"/>
      <sheetName val="Восстановл_Лист14"/>
      <sheetName val="Восстановл_Лист20"/>
      <sheetName val="Восстановл_Лист16"/>
      <sheetName val="Восстановл_Лист5"/>
      <sheetName val="Восстановл_Лист13"/>
      <sheetName val="Восстановл_Лист19"/>
      <sheetName val="Восстановл_Лист11"/>
      <sheetName val="Восстановл_Лист7"/>
      <sheetName val="Восстановл_Лист15"/>
      <sheetName val="Восстановл_Лист21"/>
      <sheetName val="Восстановл_Лист17"/>
      <sheetName val="XLR_NoRangeSheet"/>
      <sheetName val="Подрядчики"/>
      <sheetName val="C"/>
      <sheetName val="Восстановл_Лист23"/>
      <sheetName val="Восстановл_Лист25"/>
      <sheetName val="Восстановл_Лист31"/>
      <sheetName val="Восстановл_Лист37"/>
      <sheetName val="Восстановл_Лист29"/>
      <sheetName val="Восстановл_Лист27"/>
      <sheetName val="Восстановл_Лист33"/>
      <sheetName val="Восстановл_Лист39"/>
      <sheetName val="Восстановл_Лист35"/>
      <sheetName val="Восстановл_Лист24"/>
      <sheetName val="Восстановл_Лист26"/>
      <sheetName val="Восстановл_Лист32"/>
      <sheetName val="Восстановл_Лист38"/>
      <sheetName val="Восстановл_Лист30"/>
      <sheetName val="Восстановл_Лист28"/>
      <sheetName val="Восстановл_Лист34"/>
      <sheetName val="Восстановл_Лист40"/>
      <sheetName val="Восстановл_Лист36"/>
      <sheetName val="топография"/>
      <sheetName val="Стр1"/>
      <sheetName val="Список"/>
    </sheetNames>
    <sheetDataSet>
      <sheetData sheetId="0" refreshError="1">
        <row r="6">
          <cell r="B6" t="str">
            <v>автобусы</v>
          </cell>
          <cell r="C6">
            <v>1</v>
          </cell>
          <cell r="D6">
            <v>0</v>
          </cell>
          <cell r="E6">
            <v>200</v>
          </cell>
          <cell r="F6">
            <v>0</v>
          </cell>
          <cell r="G6">
            <v>147.1</v>
          </cell>
          <cell r="H6">
            <v>10</v>
          </cell>
          <cell r="I6">
            <v>0</v>
          </cell>
          <cell r="J6">
            <v>9</v>
          </cell>
          <cell r="K6">
            <v>7</v>
          </cell>
        </row>
        <row r="7">
          <cell r="C7">
            <v>2</v>
          </cell>
          <cell r="D7">
            <v>200</v>
          </cell>
          <cell r="E7" t="str">
            <v>-</v>
          </cell>
          <cell r="F7">
            <v>147.1</v>
          </cell>
          <cell r="G7" t="str">
            <v>-</v>
          </cell>
          <cell r="H7">
            <v>20</v>
          </cell>
          <cell r="I7">
            <v>0</v>
          </cell>
          <cell r="J7">
            <v>19</v>
          </cell>
          <cell r="K7">
            <v>18</v>
          </cell>
        </row>
        <row r="8">
          <cell r="B8" t="str">
            <v>водн, возд. б/дв</v>
          </cell>
          <cell r="C8">
            <v>3</v>
          </cell>
          <cell r="D8" t="str">
            <v>-</v>
          </cell>
          <cell r="E8">
            <v>0</v>
          </cell>
          <cell r="F8">
            <v>0</v>
          </cell>
          <cell r="G8">
            <v>0</v>
          </cell>
          <cell r="H8">
            <v>400</v>
          </cell>
          <cell r="I8">
            <v>0</v>
          </cell>
          <cell r="J8">
            <v>300</v>
          </cell>
          <cell r="K8">
            <v>200</v>
          </cell>
        </row>
        <row r="9">
          <cell r="B9" t="str">
            <v>гидроциклы</v>
          </cell>
          <cell r="C9">
            <v>4</v>
          </cell>
          <cell r="D9">
            <v>0</v>
          </cell>
          <cell r="E9">
            <v>100</v>
          </cell>
          <cell r="F9">
            <v>0</v>
          </cell>
          <cell r="G9">
            <v>73.55</v>
          </cell>
          <cell r="H9">
            <v>125</v>
          </cell>
          <cell r="I9">
            <v>0</v>
          </cell>
          <cell r="J9">
            <v>105</v>
          </cell>
          <cell r="K9">
            <v>85</v>
          </cell>
        </row>
        <row r="10">
          <cell r="C10">
            <v>5</v>
          </cell>
          <cell r="D10">
            <v>100</v>
          </cell>
          <cell r="E10" t="str">
            <v>-</v>
          </cell>
          <cell r="F10">
            <v>73.55</v>
          </cell>
          <cell r="G10" t="str">
            <v>-</v>
          </cell>
          <cell r="H10">
            <v>250</v>
          </cell>
          <cell r="I10">
            <v>0</v>
          </cell>
          <cell r="J10">
            <v>210</v>
          </cell>
          <cell r="K10">
            <v>170</v>
          </cell>
        </row>
        <row r="11">
          <cell r="B11" t="str">
            <v>грузовые</v>
          </cell>
          <cell r="C11">
            <v>6</v>
          </cell>
          <cell r="D11">
            <v>0</v>
          </cell>
          <cell r="E11">
            <v>100</v>
          </cell>
          <cell r="F11">
            <v>0</v>
          </cell>
          <cell r="G11">
            <v>73.55</v>
          </cell>
          <cell r="H11">
            <v>10</v>
          </cell>
          <cell r="I11">
            <v>0</v>
          </cell>
          <cell r="J11">
            <v>8</v>
          </cell>
          <cell r="K11">
            <v>6</v>
          </cell>
        </row>
        <row r="12">
          <cell r="C12">
            <v>7</v>
          </cell>
          <cell r="D12">
            <v>100</v>
          </cell>
          <cell r="E12">
            <v>150</v>
          </cell>
          <cell r="F12">
            <v>73.55</v>
          </cell>
          <cell r="G12">
            <v>110.33</v>
          </cell>
          <cell r="H12">
            <v>15</v>
          </cell>
          <cell r="I12">
            <v>0</v>
          </cell>
          <cell r="J12">
            <v>13</v>
          </cell>
          <cell r="K12">
            <v>12</v>
          </cell>
        </row>
        <row r="13">
          <cell r="C13">
            <v>8</v>
          </cell>
          <cell r="D13">
            <v>150</v>
          </cell>
          <cell r="E13">
            <v>200</v>
          </cell>
          <cell r="F13">
            <v>110.33</v>
          </cell>
          <cell r="G13">
            <v>147.1</v>
          </cell>
          <cell r="H13">
            <v>15</v>
          </cell>
          <cell r="I13">
            <v>0</v>
          </cell>
          <cell r="J13">
            <v>13</v>
          </cell>
          <cell r="K13">
            <v>12</v>
          </cell>
        </row>
        <row r="14">
          <cell r="C14">
            <v>9</v>
          </cell>
          <cell r="D14">
            <v>200</v>
          </cell>
          <cell r="E14">
            <v>250</v>
          </cell>
          <cell r="F14">
            <v>147.1</v>
          </cell>
          <cell r="G14">
            <v>183.9</v>
          </cell>
          <cell r="H14">
            <v>17</v>
          </cell>
          <cell r="I14">
            <v>0</v>
          </cell>
          <cell r="J14">
            <v>15</v>
          </cell>
          <cell r="K14">
            <v>14</v>
          </cell>
        </row>
        <row r="15">
          <cell r="C15">
            <v>10</v>
          </cell>
          <cell r="D15">
            <v>250</v>
          </cell>
          <cell r="E15" t="str">
            <v>-</v>
          </cell>
          <cell r="F15">
            <v>183.9</v>
          </cell>
          <cell r="G15" t="str">
            <v>-</v>
          </cell>
          <cell r="H15">
            <v>40</v>
          </cell>
          <cell r="I15">
            <v>0</v>
          </cell>
          <cell r="J15">
            <v>35</v>
          </cell>
          <cell r="K15">
            <v>25</v>
          </cell>
        </row>
        <row r="16">
          <cell r="B16" t="str">
            <v>другие с/х</v>
          </cell>
          <cell r="C16">
            <v>11</v>
          </cell>
          <cell r="D16" t="str">
            <v>-</v>
          </cell>
          <cell r="E16">
            <v>0</v>
          </cell>
          <cell r="F16">
            <v>0</v>
          </cell>
          <cell r="G16">
            <v>0</v>
          </cell>
          <cell r="H16">
            <v>5</v>
          </cell>
          <cell r="I16">
            <v>0</v>
          </cell>
          <cell r="J16">
            <v>4</v>
          </cell>
          <cell r="K16">
            <v>3</v>
          </cell>
        </row>
        <row r="17">
          <cell r="B17" t="str">
            <v>катера</v>
          </cell>
          <cell r="C17">
            <v>12</v>
          </cell>
          <cell r="D17">
            <v>0</v>
          </cell>
          <cell r="E17">
            <v>100</v>
          </cell>
          <cell r="F17">
            <v>0</v>
          </cell>
          <cell r="G17">
            <v>73.55</v>
          </cell>
          <cell r="H17">
            <v>15</v>
          </cell>
          <cell r="I17">
            <v>0</v>
          </cell>
          <cell r="J17">
            <v>10</v>
          </cell>
          <cell r="K17">
            <v>5</v>
          </cell>
        </row>
        <row r="18">
          <cell r="C18">
            <v>13</v>
          </cell>
          <cell r="D18">
            <v>100</v>
          </cell>
          <cell r="E18" t="str">
            <v>-</v>
          </cell>
          <cell r="F18">
            <v>73.55</v>
          </cell>
          <cell r="G18" t="str">
            <v>-</v>
          </cell>
          <cell r="H18">
            <v>25</v>
          </cell>
          <cell r="I18">
            <v>0</v>
          </cell>
          <cell r="J18">
            <v>20</v>
          </cell>
          <cell r="K18">
            <v>15</v>
          </cell>
        </row>
        <row r="19">
          <cell r="B19" t="str">
            <v>легковые</v>
          </cell>
          <cell r="C19">
            <v>14</v>
          </cell>
          <cell r="D19">
            <v>0</v>
          </cell>
          <cell r="E19">
            <v>100</v>
          </cell>
          <cell r="F19">
            <v>0</v>
          </cell>
          <cell r="G19">
            <v>73.55</v>
          </cell>
          <cell r="H19">
            <v>6</v>
          </cell>
          <cell r="I19">
            <v>0</v>
          </cell>
          <cell r="J19">
            <v>4</v>
          </cell>
          <cell r="K19">
            <v>3</v>
          </cell>
        </row>
        <row r="20">
          <cell r="C20">
            <v>15</v>
          </cell>
          <cell r="D20">
            <v>100</v>
          </cell>
          <cell r="E20">
            <v>150</v>
          </cell>
          <cell r="F20">
            <v>73.55</v>
          </cell>
          <cell r="G20">
            <v>110.33</v>
          </cell>
          <cell r="H20">
            <v>8</v>
          </cell>
          <cell r="I20">
            <v>0</v>
          </cell>
          <cell r="J20">
            <v>6</v>
          </cell>
          <cell r="K20">
            <v>5</v>
          </cell>
        </row>
        <row r="21">
          <cell r="C21">
            <v>16</v>
          </cell>
          <cell r="D21">
            <v>150</v>
          </cell>
          <cell r="E21">
            <v>200</v>
          </cell>
          <cell r="F21">
            <v>110.33</v>
          </cell>
          <cell r="G21">
            <v>147.1</v>
          </cell>
          <cell r="H21">
            <v>14</v>
          </cell>
          <cell r="I21">
            <v>0</v>
          </cell>
          <cell r="J21">
            <v>11</v>
          </cell>
          <cell r="K21">
            <v>9</v>
          </cell>
        </row>
        <row r="22">
          <cell r="C22">
            <v>17</v>
          </cell>
          <cell r="D22">
            <v>200</v>
          </cell>
          <cell r="E22">
            <v>250</v>
          </cell>
          <cell r="F22">
            <v>147.1</v>
          </cell>
          <cell r="G22">
            <v>183.9</v>
          </cell>
          <cell r="H22">
            <v>20</v>
          </cell>
          <cell r="I22">
            <v>0</v>
          </cell>
          <cell r="J22">
            <v>17</v>
          </cell>
          <cell r="K22">
            <v>14</v>
          </cell>
        </row>
        <row r="23">
          <cell r="C23">
            <v>18</v>
          </cell>
          <cell r="D23">
            <v>250</v>
          </cell>
          <cell r="E23" t="str">
            <v>-</v>
          </cell>
          <cell r="F23">
            <v>183.9</v>
          </cell>
          <cell r="G23" t="str">
            <v>-</v>
          </cell>
          <cell r="H23">
            <v>40</v>
          </cell>
          <cell r="I23">
            <v>0</v>
          </cell>
          <cell r="J23">
            <v>35</v>
          </cell>
          <cell r="K23">
            <v>30</v>
          </cell>
        </row>
        <row r="24">
          <cell r="B24" t="str">
            <v>мотоциклы</v>
          </cell>
          <cell r="C24">
            <v>19</v>
          </cell>
          <cell r="D24">
            <v>0</v>
          </cell>
          <cell r="E24">
            <v>20</v>
          </cell>
          <cell r="F24">
            <v>0</v>
          </cell>
          <cell r="G24">
            <v>14.7</v>
          </cell>
          <cell r="H24">
            <v>2</v>
          </cell>
          <cell r="I24">
            <v>0</v>
          </cell>
          <cell r="J24">
            <v>1.5</v>
          </cell>
          <cell r="K24">
            <v>1</v>
          </cell>
        </row>
        <row r="25">
          <cell r="C25">
            <v>20</v>
          </cell>
          <cell r="D25">
            <v>20</v>
          </cell>
          <cell r="E25">
            <v>35</v>
          </cell>
          <cell r="F25">
            <v>14.7</v>
          </cell>
          <cell r="G25">
            <v>25.74</v>
          </cell>
          <cell r="H25">
            <v>4</v>
          </cell>
          <cell r="I25">
            <v>4</v>
          </cell>
          <cell r="J25">
            <v>3</v>
          </cell>
          <cell r="K25">
            <v>2</v>
          </cell>
        </row>
        <row r="26">
          <cell r="C26">
            <v>21</v>
          </cell>
          <cell r="D26">
            <v>35</v>
          </cell>
          <cell r="E26" t="str">
            <v>-</v>
          </cell>
          <cell r="F26">
            <v>25.74</v>
          </cell>
          <cell r="G26" t="str">
            <v>-</v>
          </cell>
          <cell r="H26">
            <v>10</v>
          </cell>
          <cell r="I26">
            <v>0</v>
          </cell>
          <cell r="J26">
            <v>9</v>
          </cell>
          <cell r="K26">
            <v>8</v>
          </cell>
        </row>
        <row r="27">
          <cell r="B27" t="str">
            <v>н/с суда (буксир.)</v>
          </cell>
          <cell r="C27">
            <v>22</v>
          </cell>
          <cell r="D27" t="str">
            <v>-</v>
          </cell>
          <cell r="E27">
            <v>0</v>
          </cell>
          <cell r="F27">
            <v>0</v>
          </cell>
          <cell r="G27">
            <v>0</v>
          </cell>
          <cell r="H27">
            <v>20</v>
          </cell>
          <cell r="I27">
            <v>0</v>
          </cell>
          <cell r="J27">
            <v>20</v>
          </cell>
          <cell r="K27">
            <v>20</v>
          </cell>
        </row>
        <row r="28">
          <cell r="B28" t="str">
            <v>самолеты, верт.</v>
          </cell>
          <cell r="C28">
            <v>23</v>
          </cell>
          <cell r="D28" t="str">
            <v>-</v>
          </cell>
          <cell r="E28">
            <v>0</v>
          </cell>
          <cell r="F28">
            <v>0</v>
          </cell>
          <cell r="G28">
            <v>0</v>
          </cell>
          <cell r="H28">
            <v>25</v>
          </cell>
          <cell r="I28">
            <v>0</v>
          </cell>
          <cell r="J28">
            <v>25</v>
          </cell>
          <cell r="K28">
            <v>25</v>
          </cell>
        </row>
        <row r="29">
          <cell r="B29" t="str">
            <v>снегоходы</v>
          </cell>
          <cell r="C29">
            <v>24</v>
          </cell>
          <cell r="D29">
            <v>0</v>
          </cell>
          <cell r="E29">
            <v>50</v>
          </cell>
          <cell r="F29">
            <v>0</v>
          </cell>
          <cell r="G29">
            <v>36.770000000000003</v>
          </cell>
          <cell r="H29">
            <v>25</v>
          </cell>
          <cell r="I29">
            <v>0</v>
          </cell>
          <cell r="J29">
            <v>21</v>
          </cell>
          <cell r="K29">
            <v>17</v>
          </cell>
        </row>
        <row r="30">
          <cell r="C30">
            <v>25</v>
          </cell>
          <cell r="D30">
            <v>50</v>
          </cell>
          <cell r="E30" t="str">
            <v>-</v>
          </cell>
          <cell r="F30">
            <v>36.770000000000003</v>
          </cell>
          <cell r="G30" t="str">
            <v>-</v>
          </cell>
          <cell r="H30">
            <v>50</v>
          </cell>
          <cell r="I30">
            <v>0</v>
          </cell>
          <cell r="J30">
            <v>40</v>
          </cell>
          <cell r="K30">
            <v>30</v>
          </cell>
        </row>
        <row r="31">
          <cell r="B31" t="str">
            <v>яхты</v>
          </cell>
          <cell r="C31">
            <v>26</v>
          </cell>
          <cell r="D31">
            <v>0</v>
          </cell>
          <cell r="E31">
            <v>100</v>
          </cell>
          <cell r="F31">
            <v>0</v>
          </cell>
          <cell r="G31">
            <v>73.55</v>
          </cell>
          <cell r="H31">
            <v>100</v>
          </cell>
          <cell r="I31">
            <v>0</v>
          </cell>
          <cell r="J31">
            <v>80</v>
          </cell>
          <cell r="K31">
            <v>60</v>
          </cell>
        </row>
        <row r="32">
          <cell r="C32">
            <v>27</v>
          </cell>
          <cell r="D32">
            <v>100</v>
          </cell>
          <cell r="E32" t="str">
            <v>-</v>
          </cell>
          <cell r="F32">
            <v>73.55</v>
          </cell>
          <cell r="G32" t="str">
            <v>-</v>
          </cell>
          <cell r="H32">
            <v>125</v>
          </cell>
          <cell r="I32">
            <v>0</v>
          </cell>
          <cell r="J32">
            <v>105</v>
          </cell>
          <cell r="K32">
            <v>85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База"/>
      <sheetName val="Гр5(о)"/>
      <sheetName val="TEHSHEET"/>
      <sheetName val="Заголовок"/>
      <sheetName val="Инструкция"/>
      <sheetName val="м3 2015 "/>
      <sheetName val="vec"/>
      <sheetName val="SOL"/>
      <sheetName val="2002(v1)"/>
      <sheetName val="2002_v2_"/>
      <sheetName val="2002(v2)"/>
      <sheetName val="НТЦ"/>
      <sheetName val="План Газпрома"/>
      <sheetName val="расчет тарифов"/>
      <sheetName val="Лист2"/>
      <sheetName val="regs"/>
      <sheetName val="Реестр_Договоров"/>
      <sheetName val="Огл. Графиков"/>
      <sheetName val="Текущие цены"/>
      <sheetName val="рабочий"/>
      <sheetName val="окраска"/>
      <sheetName val="Т-5 (2012)"/>
      <sheetName val="Т-5  (ЛРНУ)"/>
      <sheetName val="Т-5  (ИРНУ)"/>
      <sheetName val="Реж_НКК (совм.работа)"/>
      <sheetName val="вводные"/>
      <sheetName val="Вахта  (2)"/>
      <sheetName val="топография"/>
      <sheetName val="#ССЫЛКА"/>
      <sheetName val="Восстановл_Лист19"/>
      <sheetName val="СКУТОР"/>
      <sheetName val="проверка"/>
      <sheetName val="Огл__Графиков"/>
      <sheetName val="Текущие_цены"/>
      <sheetName val="Т-5_(2012)"/>
      <sheetName val="Т-5__(ЛРНУ)"/>
      <sheetName val="Т-5__(ИРНУ)"/>
      <sheetName val="Реж_НКК_(совм_работа)"/>
      <sheetName val="Вахта__(2)"/>
      <sheetName val="Справочники"/>
      <sheetName val="XLR_NoRangeSheet"/>
      <sheetName val="Справочник"/>
      <sheetName val="List_"/>
      <sheetName val="Летн. час"/>
      <sheetName val="РЕЕСТР_СИ"/>
      <sheetName val="доходы ТЭК СПБ (всего 17095,7)"/>
      <sheetName val="доходы ТЭК СПБ (всего 16463,2)"/>
      <sheetName val="доходы транзит"/>
      <sheetName val="Анализ пл.усл."/>
      <sheetName val="платные услуги"/>
      <sheetName val="Доходы за подключение"/>
      <sheetName val="т_эн и тр"/>
      <sheetName val="Эл-эн ВСЕГО"/>
      <sheetName val="Топливо ВСЕГО заявка сл 16463,2"/>
      <sheetName val="Топливо ВСЕГО 16463,2"/>
      <sheetName val="Топливо ВСЕГО заявка сл 17095,7"/>
      <sheetName val="Вода ВСЕГО 16463,2"/>
      <sheetName val="Вода ВСЕГО 17095,7"/>
      <sheetName val="Покупка"/>
      <sheetName val="Смета 2013"/>
      <sheetName val="Смета 2013 транзит"/>
      <sheetName val="расх на подключение"/>
      <sheetName val="доходы ТЭК СПБ (город 16431)"/>
      <sheetName val="доходы ТЭК СПБ (город 17064,4)"/>
      <sheetName val="доходы ТЭК СПБ (Заневка 48)"/>
      <sheetName val="доходы Кащенко"/>
      <sheetName val="расчет разницы амортиз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1"/>
      <sheetName val="Список"/>
      <sheetName val="Стр2"/>
      <sheetName val="Стр3"/>
      <sheetName val="Стр4"/>
      <sheetName val="Стр5"/>
      <sheetName val="Стр6"/>
      <sheetName val="Стр7"/>
      <sheetName val="Стр8а"/>
      <sheetName val="Стр9а"/>
      <sheetName val="Стр8б"/>
      <sheetName val="Стр9б"/>
      <sheetName val="Стр8г"/>
      <sheetName val="Стр9г"/>
      <sheetName val="Стр8и"/>
      <sheetName val="Стр9и"/>
      <sheetName val="Стр14"/>
      <sheetName val="Данные"/>
      <sheetName val="Данные9мес"/>
      <sheetName val="Имущ"/>
      <sheetName val="Стр1По"/>
      <sheetName val="Стр2По"/>
      <sheetName val="Стр3По"/>
      <sheetName val="Стр4По"/>
      <sheetName val="Стр5По"/>
      <sheetName val="Стр6По(а)"/>
      <sheetName val="Стр6По(б)"/>
      <sheetName val="Стр6По(г)"/>
      <sheetName val="Стр6По(и)"/>
      <sheetName val="Стр7По"/>
      <sheetName val="ПРОГНОЗ_1"/>
      <sheetName val="База"/>
      <sheetName val="Лист2"/>
      <sheetName val="Текущие цены"/>
      <sheetName val="рабочий"/>
      <sheetName val="окраска"/>
      <sheetName val="Огл. Графиков"/>
      <sheetName val="Лист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1"/>
      <sheetName val="Список"/>
      <sheetName val="Лист2"/>
      <sheetName val="ПРОГНОЗ_1"/>
      <sheetName val="Текущие цены"/>
      <sheetName val="рабочий"/>
      <sheetName val="окраска"/>
      <sheetName val="Заголовок"/>
      <sheetName val="Инструкция"/>
      <sheetName val="База"/>
      <sheetName val="Лист1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Стр1"/>
      <sheetName val="Список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Гр5_о_"/>
      <sheetName val="Свод"/>
      <sheetName val="TECHSHEET"/>
      <sheetName val="2002(v1)"/>
      <sheetName val="Титульный"/>
      <sheetName val="TEHSHEET"/>
      <sheetName val="REESTR_MO"/>
      <sheetName val="таблица7 (технол.нужды)"/>
      <sheetName val="таблица7 (хоз.нужды)"/>
      <sheetName val="Лист2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энерг2004"/>
      <sheetName val="отопл 2004 ГОД"/>
      <sheetName val="отопл 2003 ГОД"/>
      <sheetName val="отопл 1 кв.2003"/>
      <sheetName val="отопл (2)"/>
      <sheetName val="прочие"/>
      <sheetName val="амортиз"/>
      <sheetName val="штатное"/>
      <sheetName val="ГСМ"/>
      <sheetName val="химреагенты"/>
      <sheetName val="Элэнерг"/>
      <sheetName val="отопл"/>
      <sheetName val="Налогооблож."/>
      <sheetName val="Кальк затрат 2003 (179,3)"/>
      <sheetName val="Калькуляция затрат 2004 182.5"/>
      <sheetName val="Кальк затрат 2004 (183,2) "/>
      <sheetName val="Лист3"/>
      <sheetName val="Лист2"/>
      <sheetName val="Лист1"/>
      <sheetName val=" затраты  2004 182,5"/>
      <sheetName val=" затраты  2004 189,9"/>
      <sheetName val="Стр1"/>
      <sheetName val="Список"/>
      <sheetName val="Ф-1 (для АО-энерго)"/>
      <sheetName val="свод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E11">
            <v>1307.8699999999999</v>
          </cell>
        </row>
      </sheetData>
      <sheetData sheetId="7">
        <row r="11">
          <cell r="E11">
            <v>1307.8699999999999</v>
          </cell>
        </row>
      </sheetData>
      <sheetData sheetId="8">
        <row r="11">
          <cell r="E11">
            <v>1307.8699999999999</v>
          </cell>
        </row>
      </sheetData>
      <sheetData sheetId="9">
        <row r="11">
          <cell r="E11">
            <v>1307.8699999999999</v>
          </cell>
        </row>
      </sheetData>
      <sheetData sheetId="10">
        <row r="11">
          <cell r="E11">
            <v>1307.8699999999999</v>
          </cell>
        </row>
      </sheetData>
      <sheetData sheetId="11">
        <row r="11">
          <cell r="E11">
            <v>1307.8699999999999</v>
          </cell>
          <cell r="F11">
            <v>1.35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3"/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УЗ-22(2002)"/>
      <sheetName val="УЗ-21(1кв.) (2)"/>
      <sheetName val="УЗ-21(2002)"/>
      <sheetName val="УЗ-22(3кв.) (2)"/>
      <sheetName val="Калькуляция кв"/>
      <sheetName val="Balance Sheet"/>
      <sheetName val="Константы"/>
      <sheetName val="инвестиции 2007"/>
      <sheetName val="1997"/>
      <sheetName val="1998"/>
      <sheetName val="TEHSHEET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БФ-2-8-П"/>
      <sheetName val="СписочнаяЧисленность"/>
      <sheetName val="Temp_TOV"/>
      <sheetName val="ф.2 за 4 кв.2005"/>
      <sheetName val="FEK 2002.Н"/>
      <sheetName val="Приложение 2.1"/>
      <sheetName val="обслуживание"/>
      <sheetName val="Титульный лист С-П"/>
      <sheetName val="2002(v1)"/>
      <sheetName val="ФИНПЛАН"/>
      <sheetName val="13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Списки"/>
      <sheetName val="ИТ-бюджет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FES"/>
      <sheetName val="расшифровка"/>
      <sheetName val="исходные данные"/>
      <sheetName val="июнь9"/>
      <sheetName val="Лист1"/>
      <sheetName val="Тарифы _ЗН"/>
      <sheetName val="Тарифы _СК"/>
      <sheetName val="Исходные"/>
      <sheetName val="sapactivexlhiddensheet"/>
      <sheetName val="продВ(I)"/>
      <sheetName val="У-Алд_наслегаХранение"/>
      <sheetName val="расчет тарифов"/>
      <sheetName val="свод"/>
      <sheetName val="Номенклатура"/>
      <sheetName val="РСД ИА "/>
      <sheetName val="Проценты"/>
      <sheetName val="1.19.1 произв тэ"/>
      <sheetName val="План Газпрома"/>
      <sheetName val="01-02 (БДиР Общества)"/>
      <sheetName val="Настр"/>
      <sheetName val="t_настройки"/>
      <sheetName val="Внеш Совме"/>
      <sheetName val="AddList"/>
      <sheetName val="AddList "/>
      <sheetName val="Стоимость ЭЭ"/>
      <sheetName val="Стр1"/>
      <sheetName val="Список"/>
      <sheetName val="Standard"/>
      <sheetName val="Pricelist"/>
      <sheetName val="Контрагенты"/>
      <sheetName val="Расчёт НВВ по RAB"/>
      <sheetName val="ОХЗ КТС"/>
      <sheetName val="EKDEB90"/>
      <sheetName val="Закупки центр"/>
      <sheetName val="sverxtip"/>
      <sheetName val="УЗ-21(2002):УЗ-22(3кв.) (2)"/>
      <sheetName val="Титульный"/>
      <sheetName val="Выгрузка"/>
      <sheetName val="Данные ОАО"/>
      <sheetName val="Прил1"/>
      <sheetName val="мониторинг"/>
      <sheetName val="лист"/>
      <sheetName val="навигация"/>
      <sheetName val="т3"/>
      <sheetName val="содержание2"/>
      <sheetName val="БФ-2-13-П"/>
      <sheetName val="коэфф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регионы"/>
      <sheetName val="на 1 тут"/>
      <sheetName val="Договоры"/>
      <sheetName val="ОПФ"/>
      <sheetName val="ДДС_Статьи"/>
      <sheetName val="МО"/>
      <sheetName val="Рабочий"/>
      <sheetName val="сценарные условия ОГК"/>
      <sheetName val="ГВС 2014"/>
      <sheetName val="Предприятие"/>
      <sheetName val="ф17"/>
      <sheetName val="ф20"/>
      <sheetName val="ф18"/>
      <sheetName val="ф19"/>
      <sheetName val="ф4"/>
      <sheetName val="ф5"/>
      <sheetName val="ф6"/>
      <sheetName val="ф7"/>
      <sheetName val="ф8"/>
      <sheetName val="ф9"/>
      <sheetName val="ф9(замена)"/>
      <sheetName val="ф16"/>
      <sheetName val="31.08.2004"/>
      <sheetName val="гр5(о)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все"/>
      <sheetName val="лист2"/>
      <sheetName val="отопл"/>
      <sheetName val="Сводная ЭЛЦЕХ"/>
      <sheetName val="Сводная КТЦ"/>
      <sheetName val="ремонт кровли гл.корпуса"/>
      <sheetName val="ремонт зд.электрофильтров"/>
      <sheetName val="Сводная ТАИ"/>
      <sheetName val="Покрытие пастой"/>
      <sheetName val="Свод расчет"/>
      <sheetName val="Дебиторы"/>
      <sheetName val="НФИк"/>
      <sheetName val="эл.энергия"/>
      <sheetName val="Огл. Графиков"/>
      <sheetName val="Текущие цены"/>
      <sheetName val="окраска"/>
      <sheetName val="Рейтинг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  <sheetName val="REESTR_MO"/>
      <sheetName val="Инструкция"/>
      <sheetName val="баланс1"/>
      <sheetName val="TECHSHEET"/>
      <sheetName val="таблица"/>
      <sheetName val="_Скрытый"/>
      <sheetName val="[FEK 2002.Н.xls][FEK 2002.Н.xls"/>
      <sheetName val="Ф-1 (для АО-энерго)"/>
      <sheetName val="Ф-2 (для АО-энерго)"/>
      <sheetName val="перекрестка"/>
      <sheetName val="взз"/>
      <sheetName val="PriceListAP"/>
      <sheetName val="IS-$"/>
      <sheetName val="Индексы "/>
      <sheetName val="Заявка ГВК ВО 2014"/>
      <sheetName val="Заявка ГВК ВС 2014"/>
      <sheetName val="хоз_расходы"/>
      <sheetName val="Group_221"/>
      <sheetName val="Пер-Вл"/>
      <sheetName val="Общехозяйственные расходы"/>
      <sheetName val="индексы"/>
      <sheetName val="реестр жф население"/>
      <sheetName val="Тепло свод"/>
      <sheetName val="Цеховые расходы ТС"/>
      <sheetName val="2008 -2010"/>
      <sheetName val="КВАНТ"/>
      <sheetName val="БИ-2-18-П"/>
      <sheetName val="БИ-2-19-П"/>
      <sheetName val="БИ-2-7-П"/>
      <sheetName val="БИ-2-9-П"/>
      <sheetName val="БИ-2-14-П"/>
      <sheetName val="БИ-2-16-П"/>
      <sheetName val="Main"/>
      <sheetName val="links"/>
      <sheetName val="Свод__табл_7"/>
      <sheetName val="Отпуск_ээ7"/>
      <sheetName val="Вспом__мат-лы7"/>
      <sheetName val="Прочие_затраты7"/>
      <sheetName val="ИТОГИ__по_Н,Р,Э,Q7"/>
      <sheetName val="эл_ст7"/>
      <sheetName val="Производство_электроэнергии7"/>
      <sheetName val="18_17"/>
      <sheetName val="19_1_17"/>
      <sheetName val="19_1_27"/>
      <sheetName val="19_27"/>
      <sheetName val="2_17"/>
      <sheetName val="21_17"/>
      <sheetName val="21_2_17"/>
      <sheetName val="21_2_27"/>
      <sheetName val="21_47"/>
      <sheetName val="28_37"/>
      <sheetName val="1_17"/>
      <sheetName val="1_27"/>
      <sheetName val="18_27"/>
      <sheetName val="2_27"/>
      <sheetName val="20_17"/>
      <sheetName val="21_37"/>
      <sheetName val="24_17"/>
      <sheetName val="25_17"/>
      <sheetName val="28_17"/>
      <sheetName val="28_27"/>
      <sheetName val="P2_17"/>
      <sheetName val="P2_27"/>
      <sheetName val="инвестиции_20077"/>
      <sheetName val="УЗ-21(1кв_)_(2)7"/>
      <sheetName val="УЗ-22(3кв_)_(2)7"/>
      <sheetName val="Калькуляция_кв7"/>
      <sheetName val="Balance_Sheet7"/>
      <sheetName val="хар-ка_земли_1_6"/>
      <sheetName val="Приложение_16"/>
      <sheetName val="факт_2009_года6"/>
      <sheetName val="Факт_2010_года6"/>
      <sheetName val="План_на_2011_год6"/>
      <sheetName val="1_117"/>
      <sheetName val="ф_2_за_4_кв_20056"/>
      <sheetName val="FEK_2002_Н6"/>
      <sheetName val="Приложение_2_16"/>
      <sheetName val="Титульный_лист_С-П6"/>
      <sheetName val="17_16"/>
      <sheetName val="Услуги_ПХ6"/>
      <sheetName val="_накладные_расходы6"/>
      <sheetName val="Ожид_ФР6"/>
      <sheetName val="жилой_фонд6"/>
      <sheetName val="Фин_план6"/>
      <sheetName val="Исходные_данные_и_тариф_ЭЛЕКТР3"/>
      <sheetName val="Справочник_затрат_СБ3"/>
      <sheetName val="Коды_статей3"/>
      <sheetName val="исходные_данные3"/>
      <sheetName val="Тарифы__ЗН3"/>
      <sheetName val="Тарифы__СК3"/>
      <sheetName val="расчет_тарифов3"/>
      <sheetName val="РСД_ИА_3"/>
      <sheetName val="AddList_3"/>
      <sheetName val="1_19_1_произв_тэ3"/>
      <sheetName val="План_Газпрома3"/>
      <sheetName val="01-02_(БДиР_Общества)3"/>
      <sheetName val="Внеш_Совме3"/>
      <sheetName val="Стоимость_ЭЭ"/>
      <sheetName val="Расчёт_НВВ_по_RAB"/>
      <sheetName val="ОХЗ_КТС"/>
      <sheetName val="на_1_тут"/>
      <sheetName val="Закупки_центр"/>
      <sheetName val="УЗ-21(2002):УЗ-22(3кв_)_(2)"/>
      <sheetName val="сценарные_условия_ОГК"/>
      <sheetName val="Данные_ОАО"/>
      <sheetName val="баланс_энергии"/>
      <sheetName val="ремонты_2010"/>
      <sheetName val="п_1_20__расшифровка_квл_2010"/>
      <sheetName val="соц_характер"/>
      <sheetName val="баланс_мощности"/>
      <sheetName val="амортизация_по_уровням_напряжен"/>
      <sheetName val="п_1_16__оплата_труда"/>
      <sheetName val="сводная_ремонт"/>
      <sheetName val="проч_прямые"/>
      <sheetName val="квл_сводная"/>
      <sheetName val="н_на_им"/>
      <sheetName val="п_1_18__калькуляция"/>
      <sheetName val="п_1_21_прибыль"/>
      <sheetName val="п_1_24"/>
      <sheetName val="п_1_25"/>
      <sheetName val="п2_1"/>
      <sheetName val="п_1_17"/>
      <sheetName val="Огл__Графиков"/>
      <sheetName val="Текущие_цены"/>
      <sheetName val="транспортный_налог"/>
      <sheetName val="_квл_2012-2014_"/>
      <sheetName val="П_1_16__оплата_труда_ОПР"/>
      <sheetName val="Амортизация_по_уровням_напр-я"/>
      <sheetName val="[FEK_2002_Н_xls][FEK_2002_Н_xls"/>
      <sheetName val="Сводная_ЭЛЦЕХ"/>
      <sheetName val="Сводная_КТЦ"/>
      <sheetName val="ремонт_кровли_гл_корпуса"/>
      <sheetName val="ремонт_зд_электрофильтров"/>
      <sheetName val="Сводная_ТАИ"/>
      <sheetName val="Покрытие_пастой"/>
      <sheetName val="ГВС_2014"/>
      <sheetName val="31_08_2004"/>
      <sheetName val="Свод__табл_8"/>
      <sheetName val="Отпуск_ээ8"/>
      <sheetName val="Вспом__мат-лы8"/>
      <sheetName val="Прочие_затраты8"/>
      <sheetName val="ИТОГИ__по_Н,Р,Э,Q8"/>
      <sheetName val="эл_ст8"/>
      <sheetName val="Производство_электроэнергии8"/>
      <sheetName val="18_18"/>
      <sheetName val="19_1_18"/>
      <sheetName val="19_1_28"/>
      <sheetName val="19_28"/>
      <sheetName val="2_18"/>
      <sheetName val="21_18"/>
      <sheetName val="21_2_18"/>
      <sheetName val="21_2_28"/>
      <sheetName val="21_48"/>
      <sheetName val="28_38"/>
      <sheetName val="1_18"/>
      <sheetName val="1_28"/>
      <sheetName val="18_28"/>
      <sheetName val="2_28"/>
      <sheetName val="20_18"/>
      <sheetName val="21_38"/>
      <sheetName val="24_18"/>
      <sheetName val="25_18"/>
      <sheetName val="28_18"/>
      <sheetName val="28_28"/>
      <sheetName val="P2_18"/>
      <sheetName val="P2_28"/>
      <sheetName val="инвестиции_20078"/>
      <sheetName val="УЗ-21(1кв_)_(2)8"/>
      <sheetName val="УЗ-22(3кв_)_(2)8"/>
      <sheetName val="Калькуляция_кв8"/>
      <sheetName val="Balance_Sheet8"/>
      <sheetName val="хар-ка_земли_1_7"/>
      <sheetName val="Приложение_17"/>
      <sheetName val="факт_2009_года7"/>
      <sheetName val="Факт_2010_года7"/>
      <sheetName val="План_на_2011_год7"/>
      <sheetName val="1_118"/>
      <sheetName val="ф_2_за_4_кв_20057"/>
      <sheetName val="FEK_2002_Н7"/>
      <sheetName val="Приложение_2_17"/>
      <sheetName val="Титульный_лист_С-П7"/>
      <sheetName val="17_17"/>
      <sheetName val="Услуги_ПХ7"/>
      <sheetName val="_накладные_расходы7"/>
      <sheetName val="Ожид_ФР7"/>
      <sheetName val="жилой_фонд7"/>
      <sheetName val="Фин_план7"/>
      <sheetName val="Исходные_данные_и_тариф_ЭЛЕКТР4"/>
      <sheetName val="Справочник_затрат_СБ4"/>
      <sheetName val="Коды_статей4"/>
      <sheetName val="исходные_данные4"/>
      <sheetName val="Тарифы__ЗН4"/>
      <sheetName val="Тарифы__СК4"/>
      <sheetName val="расчет_тарифов4"/>
      <sheetName val="РСД_ИА_4"/>
      <sheetName val="AddList_4"/>
      <sheetName val="1_19_1_произв_тэ4"/>
      <sheetName val="План_Газпрома4"/>
      <sheetName val="01-02_(БДиР_Общества)4"/>
      <sheetName val="Внеш_Совме4"/>
      <sheetName val="Стоимость_ЭЭ1"/>
      <sheetName val="Расчёт_НВВ_по_RAB1"/>
      <sheetName val="ОХЗ_КТС1"/>
      <sheetName val="на_1_тут1"/>
      <sheetName val="Закупки_центр1"/>
      <sheetName val="УЗ-21(2002):УЗ-22(3кв_)_(2)1"/>
      <sheetName val="сценарные_условия_ОГК1"/>
      <sheetName val="Данные_ОАО1"/>
      <sheetName val="баланс_энергии1"/>
      <sheetName val="ремонты_20101"/>
      <sheetName val="п_1_20__расшифровка_квл_20101"/>
      <sheetName val="соц_характер1"/>
      <sheetName val="баланс_мощности1"/>
      <sheetName val="амортизация_по_уровням_напряже1"/>
      <sheetName val="п_1_16__оплата_труда1"/>
      <sheetName val="сводная_ремонт1"/>
      <sheetName val="проч_прямые1"/>
      <sheetName val="квл_сводная1"/>
      <sheetName val="н_на_им1"/>
      <sheetName val="п_1_18__калькуляция1"/>
      <sheetName val="п_1_21_прибыль1"/>
      <sheetName val="п_1_241"/>
      <sheetName val="п_1_251"/>
      <sheetName val="п2_11"/>
      <sheetName val="п_1_171"/>
      <sheetName val="Огл__Графиков1"/>
      <sheetName val="Текущие_цены1"/>
      <sheetName val="транспортный_налог1"/>
      <sheetName val="_квл_2012-2014_1"/>
      <sheetName val="П_1_16__оплата_труда_ОПР1"/>
      <sheetName val="Амортизация_по_уровням_напр-я1"/>
      <sheetName val="[FEK_2002_Н_xls][FEK_2002_Н_xl1"/>
      <sheetName val="Сводная_ЭЛЦЕХ1"/>
      <sheetName val="Сводная_КТЦ1"/>
      <sheetName val="ремонт_кровли_гл_корпуса1"/>
      <sheetName val="ремонт_зд_электрофильтров1"/>
      <sheetName val="Сводная_ТАИ1"/>
      <sheetName val="Покрытие_пастой1"/>
      <sheetName val="ГВС_20141"/>
      <sheetName val="31_08_20041"/>
      <sheetName val="Cfg_Rv"/>
      <sheetName val="XLR_NoRangeSheet"/>
      <sheetName val="2"/>
      <sheetName val="4.1"/>
      <sheetName val="2007 (Min)"/>
      <sheetName val="2007 (Max)"/>
      <sheetName val="2006"/>
      <sheetName val="2001"/>
    </sheetNames>
    <sheetDataSet>
      <sheetData sheetId="0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">
        <row r="2">
          <cell r="A2">
            <v>1.0489999999999999</v>
          </cell>
        </row>
      </sheetData>
      <sheetData sheetId="2">
        <row r="2">
          <cell r="A2">
            <v>1.0489999999999999</v>
          </cell>
        </row>
      </sheetData>
      <sheetData sheetId="3">
        <row r="2">
          <cell r="A2">
            <v>1.0489999999999999</v>
          </cell>
        </row>
      </sheetData>
      <sheetData sheetId="4">
        <row r="2">
          <cell r="A2">
            <v>1.0489999999999999</v>
          </cell>
        </row>
      </sheetData>
      <sheetData sheetId="5">
        <row r="2">
          <cell r="A2">
            <v>1.0489999999999999</v>
          </cell>
        </row>
      </sheetData>
      <sheetData sheetId="6">
        <row r="2">
          <cell r="A2">
            <v>1.0489999999999999</v>
          </cell>
        </row>
      </sheetData>
      <sheetData sheetId="7">
        <row r="2">
          <cell r="A2">
            <v>1.0489999999999999</v>
          </cell>
        </row>
      </sheetData>
      <sheetData sheetId="8">
        <row r="2">
          <cell r="A2">
            <v>1.0489999999999999</v>
          </cell>
        </row>
      </sheetData>
      <sheetData sheetId="9">
        <row r="2">
          <cell r="A2">
            <v>1.0489999999999999</v>
          </cell>
        </row>
      </sheetData>
      <sheetData sheetId="10">
        <row r="2">
          <cell r="A2">
            <v>1.0489999999999999</v>
          </cell>
        </row>
      </sheetData>
      <sheetData sheetId="11">
        <row r="2">
          <cell r="A2">
            <v>1.0489999999999999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>
        <row r="2">
          <cell r="A2">
            <v>1.0489999999999999</v>
          </cell>
        </row>
      </sheetData>
      <sheetData sheetId="399">
        <row r="2">
          <cell r="A2">
            <v>1.0489999999999999</v>
          </cell>
        </row>
      </sheetData>
      <sheetData sheetId="400">
        <row r="2">
          <cell r="A2">
            <v>1.0489999999999999</v>
          </cell>
        </row>
      </sheetData>
      <sheetData sheetId="401">
        <row r="2">
          <cell r="A2">
            <v>1.0489999999999999</v>
          </cell>
        </row>
      </sheetData>
      <sheetData sheetId="402">
        <row r="2">
          <cell r="A2">
            <v>1.0489999999999999</v>
          </cell>
        </row>
      </sheetData>
      <sheetData sheetId="403">
        <row r="2">
          <cell r="A2">
            <v>1.0489999999999999</v>
          </cell>
        </row>
      </sheetData>
      <sheetData sheetId="404">
        <row r="2">
          <cell r="A2">
            <v>1.0489999999999999</v>
          </cell>
        </row>
      </sheetData>
      <sheetData sheetId="405">
        <row r="2">
          <cell r="A2">
            <v>1.0489999999999999</v>
          </cell>
        </row>
      </sheetData>
      <sheetData sheetId="406">
        <row r="2">
          <cell r="A2">
            <v>1.0489999999999999</v>
          </cell>
        </row>
      </sheetData>
      <sheetData sheetId="407">
        <row r="2">
          <cell r="A2">
            <v>1.0489999999999999</v>
          </cell>
        </row>
      </sheetData>
      <sheetData sheetId="408">
        <row r="2">
          <cell r="A2">
            <v>1.0489999999999999</v>
          </cell>
        </row>
      </sheetData>
      <sheetData sheetId="409">
        <row r="2">
          <cell r="A2">
            <v>1.0489999999999999</v>
          </cell>
        </row>
      </sheetData>
      <sheetData sheetId="410">
        <row r="2">
          <cell r="A2">
            <v>1.0489999999999999</v>
          </cell>
        </row>
      </sheetData>
      <sheetData sheetId="411">
        <row r="2">
          <cell r="A2">
            <v>1.0489999999999999</v>
          </cell>
        </row>
      </sheetData>
      <sheetData sheetId="412">
        <row r="2">
          <cell r="A2">
            <v>1.0489999999999999</v>
          </cell>
        </row>
      </sheetData>
      <sheetData sheetId="413">
        <row r="2">
          <cell r="A2">
            <v>1.0489999999999999</v>
          </cell>
        </row>
      </sheetData>
      <sheetData sheetId="414">
        <row r="2">
          <cell r="A2">
            <v>1.0489999999999999</v>
          </cell>
        </row>
      </sheetData>
      <sheetData sheetId="415">
        <row r="2">
          <cell r="A2">
            <v>1.0489999999999999</v>
          </cell>
        </row>
      </sheetData>
      <sheetData sheetId="416">
        <row r="2">
          <cell r="A2">
            <v>1.0489999999999999</v>
          </cell>
        </row>
      </sheetData>
      <sheetData sheetId="417">
        <row r="2">
          <cell r="A2">
            <v>1.0489999999999999</v>
          </cell>
        </row>
      </sheetData>
      <sheetData sheetId="418">
        <row r="2">
          <cell r="A2">
            <v>1.0489999999999999</v>
          </cell>
        </row>
      </sheetData>
      <sheetData sheetId="419">
        <row r="2">
          <cell r="A2">
            <v>1.0489999999999999</v>
          </cell>
        </row>
      </sheetData>
      <sheetData sheetId="420">
        <row r="2">
          <cell r="A2">
            <v>1.0489999999999999</v>
          </cell>
        </row>
      </sheetData>
      <sheetData sheetId="421">
        <row r="2">
          <cell r="A2">
            <v>1.0489999999999999</v>
          </cell>
        </row>
      </sheetData>
      <sheetData sheetId="422">
        <row r="2">
          <cell r="A2">
            <v>1.0489999999999999</v>
          </cell>
        </row>
      </sheetData>
      <sheetData sheetId="423">
        <row r="2">
          <cell r="A2">
            <v>1.0489999999999999</v>
          </cell>
        </row>
      </sheetData>
      <sheetData sheetId="424">
        <row r="2">
          <cell r="A2">
            <v>1.0489999999999999</v>
          </cell>
        </row>
      </sheetData>
      <sheetData sheetId="425">
        <row r="2">
          <cell r="A2">
            <v>1.0489999999999999</v>
          </cell>
        </row>
      </sheetData>
      <sheetData sheetId="426">
        <row r="2">
          <cell r="A2">
            <v>1.0489999999999999</v>
          </cell>
        </row>
      </sheetData>
      <sheetData sheetId="427">
        <row r="2">
          <cell r="A2">
            <v>1.0489999999999999</v>
          </cell>
        </row>
      </sheetData>
      <sheetData sheetId="428">
        <row r="2">
          <cell r="A2">
            <v>1.0489999999999999</v>
          </cell>
        </row>
      </sheetData>
      <sheetData sheetId="429">
        <row r="2">
          <cell r="A2">
            <v>1.0489999999999999</v>
          </cell>
        </row>
      </sheetData>
      <sheetData sheetId="430">
        <row r="2">
          <cell r="A2">
            <v>1.0489999999999999</v>
          </cell>
        </row>
      </sheetData>
      <sheetData sheetId="431">
        <row r="2">
          <cell r="A2">
            <v>1.0489999999999999</v>
          </cell>
        </row>
      </sheetData>
      <sheetData sheetId="432">
        <row r="2">
          <cell r="A2">
            <v>1.0489999999999999</v>
          </cell>
        </row>
      </sheetData>
      <sheetData sheetId="433">
        <row r="2">
          <cell r="A2">
            <v>1.0489999999999999</v>
          </cell>
        </row>
      </sheetData>
      <sheetData sheetId="434">
        <row r="2">
          <cell r="A2">
            <v>1.0489999999999999</v>
          </cell>
        </row>
      </sheetData>
      <sheetData sheetId="435">
        <row r="2">
          <cell r="A2">
            <v>1.0489999999999999</v>
          </cell>
        </row>
      </sheetData>
      <sheetData sheetId="436">
        <row r="2">
          <cell r="A2">
            <v>1.0489999999999999</v>
          </cell>
        </row>
      </sheetData>
      <sheetData sheetId="437">
        <row r="2">
          <cell r="A2">
            <v>1.0489999999999999</v>
          </cell>
        </row>
      </sheetData>
      <sheetData sheetId="438">
        <row r="2">
          <cell r="A2">
            <v>1.0489999999999999</v>
          </cell>
        </row>
      </sheetData>
      <sheetData sheetId="439">
        <row r="2">
          <cell r="A2">
            <v>1.0489999999999999</v>
          </cell>
        </row>
      </sheetData>
      <sheetData sheetId="440">
        <row r="2">
          <cell r="A2">
            <v>1.0489999999999999</v>
          </cell>
        </row>
      </sheetData>
      <sheetData sheetId="441">
        <row r="2">
          <cell r="A2">
            <v>1.0489999999999999</v>
          </cell>
        </row>
      </sheetData>
      <sheetData sheetId="442">
        <row r="2">
          <cell r="A2">
            <v>1.0489999999999999</v>
          </cell>
        </row>
      </sheetData>
      <sheetData sheetId="443">
        <row r="2">
          <cell r="A2">
            <v>1.0489999999999999</v>
          </cell>
        </row>
      </sheetData>
      <sheetData sheetId="444">
        <row r="2">
          <cell r="A2">
            <v>1.0489999999999999</v>
          </cell>
        </row>
      </sheetData>
      <sheetData sheetId="445">
        <row r="2">
          <cell r="A2">
            <v>1.0489999999999999</v>
          </cell>
        </row>
      </sheetData>
      <sheetData sheetId="446">
        <row r="2">
          <cell r="A2">
            <v>1.0489999999999999</v>
          </cell>
        </row>
      </sheetData>
      <sheetData sheetId="447">
        <row r="2">
          <cell r="A2">
            <v>1.0489999999999999</v>
          </cell>
        </row>
      </sheetData>
      <sheetData sheetId="448">
        <row r="2">
          <cell r="A2">
            <v>1.0489999999999999</v>
          </cell>
        </row>
      </sheetData>
      <sheetData sheetId="449">
        <row r="2">
          <cell r="A2">
            <v>1.0489999999999999</v>
          </cell>
        </row>
      </sheetData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>
        <row r="2">
          <cell r="A2">
            <v>1.0489999999999999</v>
          </cell>
        </row>
      </sheetData>
      <sheetData sheetId="495">
        <row r="2">
          <cell r="A2">
            <v>1.0489999999999999</v>
          </cell>
        </row>
      </sheetData>
      <sheetData sheetId="496">
        <row r="2">
          <cell r="A2">
            <v>1.0489999999999999</v>
          </cell>
        </row>
      </sheetData>
      <sheetData sheetId="497">
        <row r="2">
          <cell r="A2">
            <v>1.0489999999999999</v>
          </cell>
        </row>
      </sheetData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>
        <row r="2">
          <cell r="A2">
            <v>1.0489999999999999</v>
          </cell>
        </row>
      </sheetData>
      <sheetData sheetId="533">
        <row r="2">
          <cell r="A2">
            <v>1.0489999999999999</v>
          </cell>
        </row>
      </sheetData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>
        <row r="2">
          <cell r="A2">
            <v>1.0489999999999999</v>
          </cell>
        </row>
      </sheetData>
      <sheetData sheetId="607">
        <row r="2">
          <cell r="A2">
            <v>1.0489999999999999</v>
          </cell>
        </row>
      </sheetData>
      <sheetData sheetId="608">
        <row r="2">
          <cell r="A2">
            <v>1.0489999999999999</v>
          </cell>
        </row>
      </sheetData>
      <sheetData sheetId="609">
        <row r="2">
          <cell r="A2">
            <v>1.0489999999999999</v>
          </cell>
        </row>
      </sheetData>
      <sheetData sheetId="610">
        <row r="2">
          <cell r="A2">
            <v>1.0489999999999999</v>
          </cell>
        </row>
      </sheetData>
      <sheetData sheetId="611">
        <row r="2">
          <cell r="A2">
            <v>1.0489999999999999</v>
          </cell>
        </row>
      </sheetData>
      <sheetData sheetId="612">
        <row r="2">
          <cell r="A2">
            <v>1.0489999999999999</v>
          </cell>
        </row>
      </sheetData>
      <sheetData sheetId="613">
        <row r="2">
          <cell r="A2">
            <v>1.0489999999999999</v>
          </cell>
        </row>
      </sheetData>
      <sheetData sheetId="614">
        <row r="2">
          <cell r="A2">
            <v>1.0489999999999999</v>
          </cell>
        </row>
      </sheetData>
      <sheetData sheetId="615">
        <row r="2">
          <cell r="A2">
            <v>1.0489999999999999</v>
          </cell>
        </row>
      </sheetData>
      <sheetData sheetId="616">
        <row r="2">
          <cell r="A2">
            <v>1.0489999999999999</v>
          </cell>
        </row>
      </sheetData>
      <sheetData sheetId="617">
        <row r="2">
          <cell r="A2">
            <v>1.0489999999999999</v>
          </cell>
        </row>
      </sheetData>
      <sheetData sheetId="618">
        <row r="2">
          <cell r="A2">
            <v>1.0489999999999999</v>
          </cell>
        </row>
      </sheetData>
      <sheetData sheetId="619">
        <row r="2">
          <cell r="A2">
            <v>1.0489999999999999</v>
          </cell>
        </row>
      </sheetData>
      <sheetData sheetId="620">
        <row r="2">
          <cell r="A2">
            <v>1.0489999999999999</v>
          </cell>
        </row>
      </sheetData>
      <sheetData sheetId="621">
        <row r="2">
          <cell r="A2">
            <v>1.0489999999999999</v>
          </cell>
        </row>
      </sheetData>
      <sheetData sheetId="622">
        <row r="2">
          <cell r="A2">
            <v>1.0489999999999999</v>
          </cell>
        </row>
      </sheetData>
      <sheetData sheetId="623">
        <row r="2">
          <cell r="A2">
            <v>1.0489999999999999</v>
          </cell>
        </row>
      </sheetData>
      <sheetData sheetId="624">
        <row r="2">
          <cell r="A2">
            <v>1.0489999999999999</v>
          </cell>
        </row>
      </sheetData>
      <sheetData sheetId="625">
        <row r="2">
          <cell r="A2">
            <v>1.0489999999999999</v>
          </cell>
        </row>
      </sheetData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 refreshError="1"/>
      <sheetData sheetId="774">
        <row r="2">
          <cell r="A2">
            <v>1.0489999999999999</v>
          </cell>
        </row>
      </sheetData>
      <sheetData sheetId="775">
        <row r="2">
          <cell r="A2">
            <v>1.0489999999999999</v>
          </cell>
        </row>
      </sheetData>
      <sheetData sheetId="776">
        <row r="2">
          <cell r="A2">
            <v>1.0489999999999999</v>
          </cell>
        </row>
      </sheetData>
      <sheetData sheetId="777">
        <row r="2">
          <cell r="A2">
            <v>1.0489999999999999</v>
          </cell>
        </row>
      </sheetData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/>
      <sheetData sheetId="892"/>
      <sheetData sheetId="893"/>
      <sheetData sheetId="894"/>
      <sheetData sheetId="895"/>
      <sheetData sheetId="896"/>
      <sheetData sheetId="89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_52_свод"/>
      <sheetName val="6.52-свод"/>
      <sheetName val="11.1-Н.на прибыль"/>
      <sheetName val="11.2Прочие"/>
      <sheetName val="11.3-НДС"/>
      <sheetName val="11.4-в с-ти"/>
      <sheetName val="11.5-на фин.рез."/>
      <sheetName val="Приб-мес"/>
      <sheetName val="11.6-ЕСН"/>
      <sheetName val="Им"/>
      <sheetName val="ИмВвод"/>
      <sheetName val="КВЛ_нлг"/>
      <sheetName val="Табл3_Зем"/>
      <sheetName val="Земля_нач"/>
      <sheetName val="Земля_опл"/>
      <sheetName val="Табл4_Аренда"/>
      <sheetName val="Аренд_нач"/>
      <sheetName val="Арен_опл"/>
      <sheetName val="ЕНВД_нач"/>
      <sheetName val="ЕНВД"/>
      <sheetName val="Водн_расч"/>
      <sheetName val="Водн_срок"/>
      <sheetName val="Эк_расч"/>
      <sheetName val="Эк_срок"/>
      <sheetName val="Стр1"/>
      <sheetName val="Список"/>
      <sheetName val="База"/>
      <sheetName val="Гр5(о)"/>
      <sheetName val="Текущие цены"/>
      <sheetName val="рабочий"/>
      <sheetName val="окраска"/>
      <sheetName val="2002(v1)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1По"/>
      <sheetName val="Стр5"/>
      <sheetName val="Стр6"/>
      <sheetName val="Стр7"/>
      <sheetName val="Стр8а"/>
      <sheetName val="Стр9а"/>
      <sheetName val="Стр8б"/>
      <sheetName val="Стр9б"/>
      <sheetName val="Стр8г"/>
      <sheetName val="Стр9г"/>
      <sheetName val="Стр8и"/>
      <sheetName val="Стр9и"/>
      <sheetName val="Стр14"/>
      <sheetName val="Список"/>
      <sheetName val="Иммакр"/>
      <sheetName val="Данные1кв."/>
      <sheetName val="Данные"/>
      <sheetName val="Стр2По"/>
      <sheetName val="Стр3По"/>
      <sheetName val="Стр4По"/>
      <sheetName val="Стр5По"/>
      <sheetName val="Стр6По(а)"/>
      <sheetName val="Стр6По(б)"/>
      <sheetName val="Стр6По(г)"/>
      <sheetName val="Стр6По(и)"/>
      <sheetName val="Стр7По"/>
      <sheetName val="Стр1"/>
      <sheetName val="январь"/>
      <sheetName val="6_52_свод"/>
      <sheetName val="Гр5(о)"/>
      <sheetName val="Текущие цены"/>
      <sheetName val="рабочий"/>
      <sheetName val="окраска"/>
      <sheetName val="Баз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1По"/>
      <sheetName val="Гр5(о)"/>
      <sheetName val="6_52_свод"/>
      <sheetName val="Стр1"/>
      <sheetName val="Список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1 кв "/>
      <sheetName val="2 кв"/>
      <sheetName val="3 кв"/>
      <sheetName val="4 кв"/>
      <sheetName val="Стр1По"/>
      <sheetName val="6_52_свод"/>
    </sheetNames>
    <sheetDataSet>
      <sheetData sheetId="0">
        <row r="6">
          <cell r="C6">
            <v>1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Лист1"/>
      <sheetName val="СВОД"/>
      <sheetName val="жилье"/>
      <sheetName val="Лист3"/>
      <sheetName val="Лист2"/>
      <sheetName val="Х-ка жилья"/>
      <sheetName val="своя"/>
      <sheetName val="Стр1П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Лист1"/>
      <sheetName val="СВОД"/>
      <sheetName val="жилье"/>
      <sheetName val="Лист3"/>
      <sheetName val="Лист2"/>
      <sheetName val="Х-ка жилья"/>
      <sheetName val="своя"/>
      <sheetName val="Стр1П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рядчики"/>
      <sheetName val="Лоты (3)"/>
      <sheetName val="Лоты (2)"/>
      <sheetName val="Лоты"/>
      <sheetName val="влад-таблица"/>
      <sheetName val="Приложение 1"/>
      <sheetName val="РСС_АУ"/>
      <sheetName val="Раб.АУ"/>
      <sheetName val="ТИТУЛ"/>
      <sheetName val="6.14"/>
      <sheetName val="ОБЩЕСТВА"/>
      <sheetName val="Коды"/>
      <sheetName val="Лист2"/>
      <sheetName val="База"/>
      <sheetName val="2002(v2)"/>
      <sheetName val="Лист1"/>
      <sheetName val="Стр1По"/>
      <sheetName val="6_52_свод"/>
      <sheetName val="НДС"/>
      <sheetName val="ПРОГНОЗ_1"/>
      <sheetName val="установки"/>
      <sheetName val="XLR_NoRangeSheet"/>
      <sheetName val="Гр5(о)"/>
      <sheetName val="Материалы"/>
      <sheetName val="2"/>
      <sheetName val="Стр1"/>
      <sheetName val="Список"/>
      <sheetName val="ИНДЕКС_МАТЕРИАЛЫ"/>
      <sheetName val="Смета"/>
      <sheetName val="6_11_1  сторонние"/>
      <sheetName val="Восстановл_Лист4"/>
      <sheetName val="Восстановл_Лист12"/>
      <sheetName val="Восстановл_Лист18"/>
      <sheetName val="Восстановл_Лист10"/>
      <sheetName val="Восстановл_Лист6"/>
      <sheetName val="Восстановл_Лист14"/>
      <sheetName val="Восстановл_Лист20"/>
      <sheetName val="Восстановл_Лист16"/>
      <sheetName val="Восстановл_Лист5"/>
      <sheetName val="Восстановл_Лист13"/>
      <sheetName val="Восстановл_Лист19"/>
      <sheetName val="Восстановл_Лист11"/>
      <sheetName val="Восстановл_Лист7"/>
      <sheetName val="Восстановл_Лист15"/>
      <sheetName val="Восстановл_Лист21"/>
      <sheetName val="Восстановл_Лист17"/>
      <sheetName val="топография"/>
      <sheetName val="Коэф КВ"/>
      <sheetName val="пр_5_1"/>
      <sheetName val="январь"/>
      <sheetName val="САР сводн. (2006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2,3)"/>
      <sheetName val="2009(2,3) (2)"/>
      <sheetName val="Печ40"/>
      <sheetName val="2002-03(2,3)"/>
      <sheetName val="I"/>
      <sheetName val="2002_v2_"/>
      <sheetName val="Подрядчики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_v2_"/>
      <sheetName val="2002(v2)"/>
      <sheetName val="Стр1По"/>
      <sheetName val="Подрядчики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 электроэнергии"/>
      <sheetName val="Расчет электроэнергии Кубаньэне"/>
      <sheetName val="Расчет э-э 12,28,29,37"/>
      <sheetName val="Лист1"/>
      <sheetName val="Лист2"/>
      <sheetName val="Лист3"/>
      <sheetName val="2002(v2)"/>
      <sheetName val="Стр1"/>
      <sheetName val="Список"/>
      <sheetName val="2002_v2_"/>
      <sheetName val="Подрядчики"/>
      <sheetName val="Гр5(о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(2)"/>
      <sheetName val="1"/>
      <sheetName val="2"/>
      <sheetName val="3"/>
      <sheetName val="4"/>
      <sheetName val="5"/>
      <sheetName val="6"/>
      <sheetName val="8"/>
      <sheetName val="8 (2)"/>
      <sheetName val="9 (2)"/>
      <sheetName val="9"/>
      <sheetName val="10"/>
      <sheetName val="11"/>
      <sheetName val="15"/>
      <sheetName val="15а"/>
      <sheetName val="2002_v2_"/>
      <sheetName val="Содержание"/>
      <sheetName val="отопл"/>
      <sheetName val="список"/>
      <sheetName val="База"/>
    </sheetNames>
    <sheetDataSet>
      <sheetData sheetId="0">
        <row r="9">
          <cell r="B9">
            <v>4</v>
          </cell>
        </row>
      </sheetData>
      <sheetData sheetId="1">
        <row r="9">
          <cell r="B9">
            <v>4</v>
          </cell>
        </row>
      </sheetData>
      <sheetData sheetId="2">
        <row r="9">
          <cell r="B9">
            <v>4</v>
          </cell>
        </row>
      </sheetData>
      <sheetData sheetId="3">
        <row r="9">
          <cell r="B9">
            <v>4</v>
          </cell>
        </row>
      </sheetData>
      <sheetData sheetId="4">
        <row r="9">
          <cell r="B9">
            <v>4</v>
          </cell>
        </row>
      </sheetData>
      <sheetData sheetId="5">
        <row r="9">
          <cell r="B9">
            <v>4</v>
          </cell>
        </row>
      </sheetData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  <sheetName val="ПРОГНОЗ_1"/>
      <sheetName val="2002(v1)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Стр1"/>
      <sheetName val="Список"/>
      <sheetName val="Свод"/>
      <sheetName val="TECHSHEET"/>
      <sheetName val="REESTR_MO"/>
      <sheetName val="Титульный"/>
      <sheetName val="таблица7 (технол.нужды)"/>
      <sheetName val="таблица7 (хоз.нужды)"/>
      <sheetName val="TEHSHEET"/>
      <sheetName val="Лист2"/>
      <sheetName val="База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  <sheetName val="6_12"/>
      <sheetName val="6_14"/>
      <sheetName val="6_7"/>
      <sheetName val="6_8"/>
      <sheetName val="6_9_2"/>
      <sheetName val="6_9_1"/>
      <sheetName val="6_9"/>
      <sheetName val="6_10_1"/>
      <sheetName val="6_22"/>
      <sheetName val="6_17"/>
      <sheetName val="6_15"/>
      <sheetName val="6_11_1"/>
      <sheetName val="6_19"/>
      <sheetName val="6_20"/>
      <sheetName val="6_28"/>
      <sheetName val="6_5_1_ТНП"/>
      <sheetName val="6_13"/>
      <sheetName val="6_23"/>
      <sheetName val="6_24"/>
      <sheetName val="6_21"/>
      <sheetName val="Огл__Графиков"/>
      <sheetName val="Текущие_цены"/>
      <sheetName val="СБ"/>
      <sheetName val="Факт БДР"/>
      <sheetName val="ДДС (Форма №3)"/>
      <sheetName val="00"/>
      <sheetName val="Материалы"/>
      <sheetName val="tech"/>
      <sheetName val="REESTR_ORG"/>
      <sheetName val="НВВ по уровням"/>
      <sheetName val="REESTR"/>
      <sheetName val="Восстановл_Лист7"/>
      <sheetName val="Восстановл_Лист15"/>
      <sheetName val="Восстановл_Лист11"/>
      <sheetName val="Восстановл_Лист21"/>
      <sheetName val="ПОДПИСИ"/>
      <sheetName val="топография"/>
      <sheetName val="Прочти меня!"/>
      <sheetName val="#ССЫЛКА"/>
      <sheetName val="Лист1"/>
      <sheetName val="Прочти_меня!"/>
      <sheetName val="2002(v2)"/>
      <sheetName val="Реж_НКК"/>
      <sheetName val="ДАО"/>
      <sheetName val="1999-veca"/>
      <sheetName val="влад-таблица"/>
      <sheetName val="Заявка"/>
      <sheetName val="пр_5_1"/>
      <sheetName val="Смета"/>
      <sheetName val="Подрядчики"/>
      <sheetName val="УСО"/>
      <sheetName val="Актив"/>
      <sheetName val="Реестр"/>
      <sheetName val="Вариант1"/>
      <sheetName val="TSheet"/>
      <sheetName val="ИТ-бюджет"/>
      <sheetName val="Исходные данные"/>
      <sheetName val="Общехозяйственные расходы"/>
      <sheetName val="Штатное"/>
      <sheetName val="Предлагаемая новая форма СТРС"/>
      <sheetName val="5"/>
      <sheetName val="11."/>
      <sheetName val="7"/>
      <sheetName val="10"/>
      <sheetName val="12"/>
      <sheetName val="3."/>
      <sheetName val="9."/>
      <sheetName val="8"/>
      <sheetName val="4."/>
      <sheetName val="заявка_на_произ"/>
      <sheetName val="темпы роста"/>
      <sheetName val="Услуги АТЦ"/>
      <sheetName val="СВОД ЗАТРАТ"/>
      <sheetName val="Цены"/>
      <sheetName val="MAIN"/>
      <sheetName val="ЗП (админ)"/>
      <sheetName val="УПРАВЛЕНИЕ11"/>
      <sheetName val="system"/>
      <sheetName val="Проект"/>
      <sheetName val="Топливо_пр_гК"/>
      <sheetName val="Под_воды_пр_г"/>
      <sheetName val="Пр_ст_вод_пр_г"/>
      <sheetName val="Топливо_пр_гВ "/>
      <sheetName val="Реаг_пр_годВ"/>
      <sheetName val="Реаг_пр_годК"/>
      <sheetName val="Лист17"/>
      <sheetName val="14б ДПН отчет"/>
      <sheetName val="16а Сводный анализ"/>
      <sheetName val="P2.1"/>
      <sheetName val="I"/>
      <sheetName val="план 2000"/>
      <sheetName val="расчет тарифов"/>
      <sheetName val="Справочники"/>
      <sheetName val="Прочти_меня!1"/>
      <sheetName val="Восстановл_Лист5"/>
      <sheetName val="Восстановл_Лист13"/>
      <sheetName val="Восстановл_Лист19"/>
      <sheetName val="Восстановл_Лист17"/>
      <sheetName val="РСС_АУ"/>
      <sheetName val="Раб.АУ"/>
      <sheetName val="6.11 новый"/>
      <sheetName val="База (БАЗА)"/>
      <sheetName val="износ по ТНФ"/>
      <sheetName val="справ."/>
      <sheetName val="6_11_1  сторонние"/>
      <sheetName val="Восстановл_Лист4"/>
      <sheetName val="Восстановл_Лист12"/>
      <sheetName val="Восстановл_Лист18"/>
      <sheetName val="Восстановл_Лист10"/>
      <sheetName val="Восстановл_Лист6"/>
      <sheetName val="Восстановл_Лист14"/>
      <sheetName val="Восстановл_Лист20"/>
      <sheetName val="Восстановл_Лист16"/>
      <sheetName val="Восстановл_Лист23"/>
      <sheetName val="Восстановл_Лист25"/>
      <sheetName val="Восстановл_Лист31"/>
      <sheetName val="Восстановл_Лист37"/>
      <sheetName val="Восстановл_Лист29"/>
      <sheetName val="Восстановл_Лист27"/>
      <sheetName val="Восстановл_Лист33"/>
      <sheetName val="Восстановл_Лист39"/>
      <sheetName val="Восстановл_Лист35"/>
      <sheetName val="Восстановл_Лист24"/>
      <sheetName val="Восстановл_Лист26"/>
      <sheetName val="Восстановл_Лист32"/>
      <sheetName val="Восстановл_Лист38"/>
      <sheetName val="Восстановл_Лист30"/>
      <sheetName val="Восстановл_Лист28"/>
      <sheetName val="Восстановл_Лист34"/>
      <sheetName val="Восстановл_Лист40"/>
      <sheetName val="Восстановл_Лист36"/>
      <sheetName val="М_1"/>
      <sheetName val="транс. налог ауп"/>
      <sheetName val="Приложение 7 (ЕНП)"/>
      <sheetName val="Прочти_меня!4"/>
      <sheetName val="6_11_новый3"/>
      <sheetName val="6_124"/>
      <sheetName val="6_144"/>
      <sheetName val="6_74"/>
      <sheetName val="6_84"/>
      <sheetName val="6_9_24"/>
      <sheetName val="6_9_14"/>
      <sheetName val="6_94"/>
      <sheetName val="6_10_14"/>
      <sheetName val="6_224"/>
      <sheetName val="6_174"/>
      <sheetName val="6_154"/>
      <sheetName val="6_11_14"/>
      <sheetName val="6_194"/>
      <sheetName val="6_204"/>
      <sheetName val="6_284"/>
      <sheetName val="6_5_1_ТНП4"/>
      <sheetName val="6_134"/>
      <sheetName val="6_234"/>
      <sheetName val="6_244"/>
      <sheetName val="6_214"/>
      <sheetName val="Огл__Графиков4"/>
      <sheetName val="Текущие_цены4"/>
      <sheetName val="Факт_БДР3"/>
      <sheetName val="ДДС_(Форма_№3)3"/>
      <sheetName val="НВВ_по_уровням3"/>
      <sheetName val="износ_по_ТНФ3"/>
      <sheetName val="База_(БАЗА)3"/>
      <sheetName val="справ_3"/>
      <sheetName val="Прочти_меня!2"/>
      <sheetName val="6_11_новый1"/>
      <sheetName val="6_122"/>
      <sheetName val="6_142"/>
      <sheetName val="6_72"/>
      <sheetName val="6_82"/>
      <sheetName val="6_9_22"/>
      <sheetName val="6_9_12"/>
      <sheetName val="6_92"/>
      <sheetName val="6_10_12"/>
      <sheetName val="6_222"/>
      <sheetName val="6_172"/>
      <sheetName val="6_152"/>
      <sheetName val="6_11_12"/>
      <sheetName val="6_192"/>
      <sheetName val="6_202"/>
      <sheetName val="6_282"/>
      <sheetName val="6_5_1_ТНП2"/>
      <sheetName val="6_132"/>
      <sheetName val="6_232"/>
      <sheetName val="6_242"/>
      <sheetName val="6_212"/>
      <sheetName val="Огл__Графиков2"/>
      <sheetName val="Текущие_цены2"/>
      <sheetName val="Факт_БДР1"/>
      <sheetName val="ДДС_(Форма_№3)1"/>
      <sheetName val="НВВ_по_уровням1"/>
      <sheetName val="износ_по_ТНФ1"/>
      <sheetName val="База_(БАЗА)1"/>
      <sheetName val="справ_1"/>
      <sheetName val="6_11_новый"/>
      <sheetName val="6_121"/>
      <sheetName val="6_141"/>
      <sheetName val="6_71"/>
      <sheetName val="6_81"/>
      <sheetName val="6_9_21"/>
      <sheetName val="6_9_11"/>
      <sheetName val="6_91"/>
      <sheetName val="6_10_11"/>
      <sheetName val="6_221"/>
      <sheetName val="6_171"/>
      <sheetName val="6_151"/>
      <sheetName val="6_11_11"/>
      <sheetName val="6_191"/>
      <sheetName val="6_201"/>
      <sheetName val="6_281"/>
      <sheetName val="6_5_1_ТНП1"/>
      <sheetName val="6_131"/>
      <sheetName val="6_231"/>
      <sheetName val="6_241"/>
      <sheetName val="6_211"/>
      <sheetName val="Огл__Графиков1"/>
      <sheetName val="Текущие_цены1"/>
      <sheetName val="Факт_БДР"/>
      <sheetName val="ДДС_(Форма_№3)"/>
      <sheetName val="НВВ_по_уровням"/>
      <sheetName val="износ_по_ТНФ"/>
      <sheetName val="База_(БАЗА)"/>
      <sheetName val="справ_"/>
      <sheetName val="Прочти_меня!3"/>
      <sheetName val="6_11_новый2"/>
      <sheetName val="6_123"/>
      <sheetName val="6_143"/>
      <sheetName val="6_73"/>
      <sheetName val="6_83"/>
      <sheetName val="6_9_23"/>
      <sheetName val="6_9_13"/>
      <sheetName val="6_93"/>
      <sheetName val="6_10_13"/>
      <sheetName val="6_223"/>
      <sheetName val="6_173"/>
      <sheetName val="6_153"/>
      <sheetName val="6_11_13"/>
      <sheetName val="6_193"/>
      <sheetName val="6_203"/>
      <sheetName val="6_283"/>
      <sheetName val="6_5_1_ТНП3"/>
      <sheetName val="6_133"/>
      <sheetName val="6_233"/>
      <sheetName val="6_243"/>
      <sheetName val="6_213"/>
      <sheetName val="Огл__Графиков3"/>
      <sheetName val="Текущие_цены3"/>
      <sheetName val="Факт_БДР2"/>
      <sheetName val="ДДС_(Форма_№3)2"/>
      <sheetName val="НВВ_по_уровням2"/>
      <sheetName val="износ_по_ТНФ2"/>
      <sheetName val="База_(БАЗА)2"/>
      <sheetName val="справ_2"/>
      <sheetName val="Прочти_меня!5"/>
      <sheetName val="6_11_новый4"/>
      <sheetName val="6_125"/>
      <sheetName val="6_145"/>
      <sheetName val="6_75"/>
      <sheetName val="6_85"/>
      <sheetName val="6_9_25"/>
      <sheetName val="6_9_15"/>
      <sheetName val="6_95"/>
      <sheetName val="6_10_15"/>
      <sheetName val="6_225"/>
      <sheetName val="6_175"/>
      <sheetName val="6_155"/>
      <sheetName val="6_11_15"/>
      <sheetName val="6_195"/>
      <sheetName val="6_205"/>
      <sheetName val="6_285"/>
      <sheetName val="6_5_1_ТНП5"/>
      <sheetName val="6_135"/>
      <sheetName val="6_235"/>
      <sheetName val="6_245"/>
      <sheetName val="6_215"/>
      <sheetName val="Огл__Графиков5"/>
      <sheetName val="Текущие_цены5"/>
      <sheetName val="Факт_БДР4"/>
      <sheetName val="ДДС_(Форма_№3)4"/>
      <sheetName val="НВВ_по_уровням4"/>
      <sheetName val="износ_по_ТНФ4"/>
      <sheetName val="База_(БАЗА)4"/>
      <sheetName val="справ_4"/>
      <sheetName val="Прочти_меня!6"/>
      <sheetName val="износ_по_ТНФ5"/>
      <sheetName val="6_11_новый5"/>
      <sheetName val="6_126"/>
      <sheetName val="6_146"/>
      <sheetName val="6_76"/>
      <sheetName val="6_86"/>
      <sheetName val="6_9_26"/>
      <sheetName val="6_9_16"/>
      <sheetName val="6_96"/>
      <sheetName val="6_10_16"/>
      <sheetName val="6_226"/>
      <sheetName val="6_176"/>
      <sheetName val="6_156"/>
      <sheetName val="6_11_16"/>
      <sheetName val="6_196"/>
      <sheetName val="6_206"/>
      <sheetName val="6_286"/>
      <sheetName val="6_5_1_ТНП6"/>
      <sheetName val="6_136"/>
      <sheetName val="6_236"/>
      <sheetName val="6_246"/>
      <sheetName val="6_216"/>
      <sheetName val="Огл__Графиков6"/>
      <sheetName val="Текущие_цены6"/>
      <sheetName val="Факт_БДР5"/>
      <sheetName val="ДДС_(Форма_№3)5"/>
      <sheetName val="НВВ_по_уровням5"/>
      <sheetName val="База_(БАЗА)5"/>
      <sheetName val="справ_5"/>
      <sheetName val="Прочти_меня!7"/>
      <sheetName val="износ_по_ТНФ6"/>
      <sheetName val="6_11_новый6"/>
      <sheetName val="6_127"/>
      <sheetName val="6_147"/>
      <sheetName val="6_77"/>
      <sheetName val="6_87"/>
      <sheetName val="6_9_27"/>
      <sheetName val="6_9_17"/>
      <sheetName val="6_97"/>
      <sheetName val="6_10_17"/>
      <sheetName val="6_227"/>
      <sheetName val="6_177"/>
      <sheetName val="6_157"/>
      <sheetName val="6_11_17"/>
      <sheetName val="6_197"/>
      <sheetName val="6_207"/>
      <sheetName val="6_287"/>
      <sheetName val="6_5_1_ТНП7"/>
      <sheetName val="6_137"/>
      <sheetName val="6_237"/>
      <sheetName val="6_247"/>
      <sheetName val="6_217"/>
      <sheetName val="Огл__Графиков7"/>
      <sheetName val="Текущие_цены7"/>
      <sheetName val="Факт_БДР6"/>
      <sheetName val="ДДС_(Форма_№3)6"/>
      <sheetName val="НВВ_по_уровням6"/>
      <sheetName val="База_(БАЗА)6"/>
      <sheetName val="справ_6"/>
      <sheetName val="август"/>
      <sheetName val="L-1"/>
      <sheetName val="СписокТЭП"/>
      <sheetName val="остатки приход"/>
      <sheetName val="Справочник (для реестра)"/>
      <sheetName val="Assumptions"/>
      <sheetName val="Гр(27.07.00)5Х"/>
      <sheetName val="Дебиторка"/>
      <sheetName val="Январь"/>
      <sheetName val="Отопление"/>
      <sheetName val="service"/>
      <sheetName val="Б.мчас (П)"/>
      <sheetName val="пл. 2001 цехов и УГС"/>
      <sheetName val="справочник"/>
      <sheetName val="БДДС-cc"/>
      <sheetName val="Материалы план"/>
      <sheetName val="Перечень данных"/>
      <sheetName val="Движение по месяцам"/>
      <sheetName val="Факт07"/>
      <sheetName val="Лист3"/>
      <sheetName val="МАТЕР.433,452"/>
      <sheetName val="Исх"/>
      <sheetName val="RAB"/>
      <sheetName val=""/>
      <sheetName val="Инвестиции"/>
      <sheetName val="2.2.4"/>
      <sheetName val="com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 10.1"/>
      <sheetName val="Т1.1"/>
      <sheetName val="Т2.1"/>
      <sheetName val="Т2.2"/>
      <sheetName val="Т2.3"/>
      <sheetName val="Всего"/>
      <sheetName val="т_потери гв "/>
      <sheetName val="Гр5(о)"/>
      <sheetName val="ПРОГНОЗ_1"/>
      <sheetName val="2002_v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F5">
            <v>1074.3999999999999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Расчет тарифов июль"/>
      <sheetName val="Лист1"/>
      <sheetName val="Топливо"/>
    </sheetNames>
    <sheetDataSet>
      <sheetData sheetId="0">
        <row r="10">
          <cell r="AT10">
            <v>25223.153263761</v>
          </cell>
          <cell r="AU10">
            <v>6877.7143441784328</v>
          </cell>
        </row>
        <row r="11">
          <cell r="AT11">
            <v>570.04326376099857</v>
          </cell>
          <cell r="AU11">
            <v>155.43634417843256</v>
          </cell>
        </row>
        <row r="12">
          <cell r="AT12">
            <v>0</v>
          </cell>
          <cell r="AU12">
            <v>0</v>
          </cell>
        </row>
        <row r="13">
          <cell r="AT13">
            <v>24653.11</v>
          </cell>
          <cell r="AU13">
            <v>6722.2780000000002</v>
          </cell>
        </row>
        <row r="14">
          <cell r="AT14">
            <v>4433.45</v>
          </cell>
          <cell r="AU14">
            <v>964.85799999999995</v>
          </cell>
        </row>
        <row r="15">
          <cell r="AT15">
            <v>20219.660000000003</v>
          </cell>
          <cell r="AU15">
            <v>5757.42</v>
          </cell>
        </row>
        <row r="16">
          <cell r="AT16">
            <v>20219.66</v>
          </cell>
          <cell r="AU16">
            <v>5757.42</v>
          </cell>
        </row>
        <row r="17">
          <cell r="AT17">
            <v>20219.66</v>
          </cell>
          <cell r="AU17">
            <v>4649.51</v>
          </cell>
        </row>
        <row r="18">
          <cell r="AT18">
            <v>0</v>
          </cell>
          <cell r="AU18">
            <v>1107.9100000000001</v>
          </cell>
        </row>
        <row r="19">
          <cell r="AT19">
            <v>0</v>
          </cell>
          <cell r="AU19">
            <v>0</v>
          </cell>
        </row>
        <row r="20">
          <cell r="AT20">
            <v>0</v>
          </cell>
          <cell r="AU20">
            <v>0</v>
          </cell>
        </row>
        <row r="21">
          <cell r="AT21">
            <v>0</v>
          </cell>
          <cell r="AU21">
            <v>0</v>
          </cell>
        </row>
        <row r="24">
          <cell r="AT24">
            <v>3970.5783404747294</v>
          </cell>
          <cell r="AU24">
            <v>1052.2902946593003</v>
          </cell>
        </row>
        <row r="25">
          <cell r="AT25">
            <v>21836.234205669116</v>
          </cell>
          <cell r="AU25">
            <v>5815.240561321878</v>
          </cell>
        </row>
        <row r="26">
          <cell r="AT26">
            <v>3518.2384260389067</v>
          </cell>
          <cell r="AU26">
            <v>932.41030211621819</v>
          </cell>
        </row>
        <row r="27">
          <cell r="AT27">
            <v>6206.5816927177293</v>
          </cell>
          <cell r="AU27">
            <v>6236.7828284645557</v>
          </cell>
        </row>
        <row r="28">
          <cell r="AT28">
            <v>21836.234205669116</v>
          </cell>
          <cell r="AU28">
            <v>5815.240561321878</v>
          </cell>
        </row>
        <row r="35">
          <cell r="AT35">
            <v>0</v>
          </cell>
          <cell r="AU35">
            <v>932.41030211621819</v>
          </cell>
        </row>
        <row r="36">
          <cell r="AT36">
            <v>0</v>
          </cell>
          <cell r="AU36">
            <v>6236.7828284645557</v>
          </cell>
        </row>
        <row r="37">
          <cell r="AT37">
            <v>0</v>
          </cell>
          <cell r="AU37">
            <v>5815.240561321878</v>
          </cell>
        </row>
        <row r="68">
          <cell r="AT68">
            <v>796.25196000000005</v>
          </cell>
          <cell r="AU68">
            <v>241.62</v>
          </cell>
        </row>
        <row r="69">
          <cell r="AT69">
            <v>7.7959999999999994</v>
          </cell>
          <cell r="AU69">
            <v>7.7960000000000003</v>
          </cell>
        </row>
        <row r="70">
          <cell r="AT70">
            <v>6207.5802801600003</v>
          </cell>
          <cell r="AU70">
            <v>1883.6695200000001</v>
          </cell>
        </row>
        <row r="74">
          <cell r="AT74">
            <v>796.25196000000005</v>
          </cell>
          <cell r="AU74">
            <v>241.62</v>
          </cell>
        </row>
        <row r="75">
          <cell r="AT75">
            <v>7.7959999999999994</v>
          </cell>
          <cell r="AU75">
            <v>7.7960000000000003</v>
          </cell>
        </row>
        <row r="76">
          <cell r="AT76">
            <v>6207.5802801600003</v>
          </cell>
          <cell r="AU76">
            <v>1883.6695200000001</v>
          </cell>
        </row>
        <row r="83">
          <cell r="AT83">
            <v>15.47</v>
          </cell>
          <cell r="AU83">
            <v>4.38</v>
          </cell>
        </row>
        <row r="84">
          <cell r="AT84">
            <v>23.839822139792425</v>
          </cell>
          <cell r="AU84">
            <v>23.839951652551854</v>
          </cell>
        </row>
        <row r="85">
          <cell r="AT85">
            <v>368.80204850258883</v>
          </cell>
          <cell r="AU85">
            <v>104.41898823817712</v>
          </cell>
        </row>
        <row r="90">
          <cell r="AT90">
            <v>2492.193108935297</v>
          </cell>
          <cell r="AU90">
            <v>2312.8678019930235</v>
          </cell>
        </row>
        <row r="91">
          <cell r="AT91">
            <v>15.741132653542536</v>
          </cell>
          <cell r="AU91">
            <v>1607.7138015160572</v>
          </cell>
        </row>
        <row r="92">
          <cell r="AT92">
            <v>1011.532338050606</v>
          </cell>
          <cell r="AU92">
            <v>288.02742052731446</v>
          </cell>
        </row>
        <row r="93">
          <cell r="AT93">
            <v>232.28697291425419</v>
          </cell>
          <cell r="AU93">
            <v>66.142242925745791</v>
          </cell>
        </row>
        <row r="94">
          <cell r="AT94">
            <v>1232.6326653168942</v>
          </cell>
          <cell r="AU94">
            <v>350.98433702390599</v>
          </cell>
        </row>
        <row r="95">
          <cell r="AT95">
            <v>752.64231889845962</v>
          </cell>
          <cell r="AU95">
            <v>698.48607620189307</v>
          </cell>
        </row>
        <row r="96">
          <cell r="AT96">
            <v>5196.3565350504987</v>
          </cell>
          <cell r="AU96">
            <v>754.52025850239011</v>
          </cell>
        </row>
        <row r="97">
          <cell r="AT97">
            <v>2546.6046362481611</v>
          </cell>
          <cell r="AU97">
            <v>2.0203743677484454E-2</v>
          </cell>
        </row>
        <row r="98">
          <cell r="AT98">
            <v>2212.2123901806353</v>
          </cell>
          <cell r="AU98">
            <v>629.9134535137481</v>
          </cell>
        </row>
        <row r="99">
          <cell r="AT99">
            <v>437.53950862170211</v>
          </cell>
          <cell r="AU99">
            <v>124.58660124496456</v>
          </cell>
        </row>
        <row r="100">
          <cell r="AT100">
            <v>318.14658052464648</v>
          </cell>
          <cell r="AU100">
            <v>90.590221875353492</v>
          </cell>
        </row>
        <row r="101">
          <cell r="AT101">
            <v>37171.955077740611</v>
          </cell>
          <cell r="AU101">
            <v>11659.793428132714</v>
          </cell>
        </row>
        <row r="102">
          <cell r="AT102">
            <v>1838.406534914069</v>
          </cell>
          <cell r="AU102">
            <v>2025.1768028270849</v>
          </cell>
        </row>
        <row r="103">
          <cell r="AT103">
            <v>186.82659671085878</v>
          </cell>
          <cell r="AU103">
            <v>53.197689003426973</v>
          </cell>
        </row>
        <row r="104">
          <cell r="AT104">
            <v>37358.781674451471</v>
          </cell>
          <cell r="AU104">
            <v>11712.991117136142</v>
          </cell>
        </row>
        <row r="105">
          <cell r="AT105">
            <v>0</v>
          </cell>
          <cell r="AU105">
            <v>0</v>
          </cell>
        </row>
        <row r="106">
          <cell r="AT106">
            <v>37358.781674451471</v>
          </cell>
          <cell r="AU106">
            <v>11712.991117136142</v>
          </cell>
        </row>
        <row r="107">
          <cell r="AT107">
            <v>0</v>
          </cell>
          <cell r="AU107">
            <v>0</v>
          </cell>
        </row>
        <row r="108">
          <cell r="AT108">
            <v>0</v>
          </cell>
          <cell r="AU108">
            <v>0</v>
          </cell>
        </row>
        <row r="109">
          <cell r="AT109">
            <v>0</v>
          </cell>
          <cell r="AU109">
            <v>0</v>
          </cell>
        </row>
        <row r="110">
          <cell r="AT110">
            <v>0</v>
          </cell>
          <cell r="AU110">
            <v>0</v>
          </cell>
        </row>
        <row r="111">
          <cell r="AT111">
            <v>37358.781674451471</v>
          </cell>
          <cell r="AU111">
            <v>11712.991117136142</v>
          </cell>
        </row>
        <row r="112">
          <cell r="AT112">
            <v>37358.781674451464</v>
          </cell>
          <cell r="AU112">
            <v>11712.991117136142</v>
          </cell>
        </row>
        <row r="113">
          <cell r="AT113">
            <v>0</v>
          </cell>
          <cell r="AU113">
            <v>0</v>
          </cell>
        </row>
        <row r="114">
          <cell r="AT114">
            <v>37358.781674451464</v>
          </cell>
          <cell r="AU114">
            <v>11712.991117136142</v>
          </cell>
        </row>
        <row r="115">
          <cell r="AT115">
            <v>1847.6463834926735</v>
          </cell>
          <cell r="AU115">
            <v>2034.4166514056892</v>
          </cell>
        </row>
        <row r="116">
          <cell r="AT116">
            <v>1847.6463834926731</v>
          </cell>
          <cell r="AU116">
            <v>2034.4166514056892</v>
          </cell>
        </row>
      </sheetData>
      <sheetData sheetId="1"/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Т.1"/>
      <sheetName val="Табл.Т.2.."/>
      <sheetName val="Табл.Т.3 Реестр сч"/>
      <sheetName val="Т.3-А"/>
      <sheetName val="Табл.Т.4 Реестр сч"/>
      <sheetName val="Табл.Т.6"/>
      <sheetName val="Табл. Т.5"/>
      <sheetName val="Табл.Т.8 (2)"/>
      <sheetName val="Табл Т.9"/>
      <sheetName val="Табл Т.10.1"/>
      <sheetName val="Табл.Т.11"/>
      <sheetName val="Табл.Т.11. факт"/>
      <sheetName val="Табл.Т.12."/>
      <sheetName val="Табл Т.13 поставщики"/>
      <sheetName val="Табл.1.14. структура и балансы"/>
      <sheetName val="Табл. 1.14.1 (46-ТЭ)"/>
      <sheetName val="Табл. 1.14.2 (46-ТЭ)"/>
      <sheetName val="Табл.1.15"/>
      <sheetName val="Реестр абонентов"/>
      <sheetName val="Расчет план t и n на 2023"/>
      <sheetName val="Расчет план t и n на 2022"/>
      <sheetName val="Потери-исх дан"/>
    </sheetNames>
    <sheetDataSet>
      <sheetData sheetId="0">
        <row r="32">
          <cell r="N32">
            <v>155.51805259417202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5">
          <cell r="J15">
            <v>291.53105156537748</v>
          </cell>
          <cell r="N15">
            <v>1052.8</v>
          </cell>
        </row>
        <row r="16">
          <cell r="J16">
            <v>613.05813949867002</v>
          </cell>
          <cell r="N16">
            <v>5122.04</v>
          </cell>
        </row>
        <row r="17">
          <cell r="J17">
            <v>130.6071665643544</v>
          </cell>
          <cell r="N17">
            <v>422.22</v>
          </cell>
        </row>
        <row r="18">
          <cell r="J18">
            <v>15.324483323102106</v>
          </cell>
          <cell r="N18">
            <v>44.19</v>
          </cell>
          <cell r="BI18">
            <v>190.273</v>
          </cell>
        </row>
        <row r="19">
          <cell r="J19">
            <v>48.674512993656641</v>
          </cell>
          <cell r="N19">
            <v>176.13</v>
          </cell>
        </row>
        <row r="20">
          <cell r="J20">
            <v>188.48374565172907</v>
          </cell>
          <cell r="N20">
            <v>809.32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Т.1"/>
      <sheetName val="Табл.Т.2.."/>
      <sheetName val="Табл.Т.3 Реестр сч"/>
      <sheetName val="Т.3-А"/>
      <sheetName val="Табл.Т.4 Реестр сч"/>
      <sheetName val="Табл.Т.6"/>
      <sheetName val="Табл. Т.5"/>
      <sheetName val="Табл.Т.8 (2)"/>
      <sheetName val="Табл Т.9"/>
      <sheetName val="Табл Т.10.1"/>
      <sheetName val="Табл.Т.11"/>
      <sheetName val="Табл.Т.11. факт"/>
      <sheetName val="Табл.Т.12."/>
      <sheetName val="Табл Т.13 поставщики"/>
      <sheetName val="Табл.1.14. структура и балансы"/>
      <sheetName val="Табл. 1.14.1 (46-ТЭ)"/>
      <sheetName val="Табл. 1.14.2 (46-ТЭ)"/>
      <sheetName val="Табл.1.15"/>
      <sheetName val="Реестр абонентов"/>
      <sheetName val="Расчет план t и n на 2023"/>
      <sheetName val="Расчет план t и n на 2024"/>
      <sheetName val="температуры"/>
      <sheetName val="Потери-исх д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5">
          <cell r="Q15">
            <v>11104.602999999999</v>
          </cell>
          <cell r="R15">
            <v>450.67000000000007</v>
          </cell>
          <cell r="S15">
            <v>0</v>
          </cell>
        </row>
        <row r="16">
          <cell r="Q16">
            <v>23458.857209999998</v>
          </cell>
          <cell r="R16">
            <v>0</v>
          </cell>
          <cell r="S16">
            <v>491.68400000000003</v>
          </cell>
        </row>
        <row r="17">
          <cell r="Q17">
            <v>4904.0300000000007</v>
          </cell>
          <cell r="R17">
            <v>248.75</v>
          </cell>
          <cell r="S17">
            <v>80.230999999999995</v>
          </cell>
        </row>
        <row r="18">
          <cell r="Q18">
            <v>431.05200000000002</v>
          </cell>
          <cell r="R18">
            <v>176.89400000000001</v>
          </cell>
          <cell r="S18">
            <v>0</v>
          </cell>
        </row>
        <row r="19">
          <cell r="Q19">
            <v>1854.24</v>
          </cell>
          <cell r="R19">
            <v>0</v>
          </cell>
          <cell r="S19">
            <v>74.694999999999993</v>
          </cell>
        </row>
        <row r="20">
          <cell r="Q20">
            <v>7130.8279999999995</v>
          </cell>
          <cell r="R20">
            <v>337.06200000000001</v>
          </cell>
          <cell r="S20">
            <v>23.937000000000001</v>
          </cell>
        </row>
      </sheetData>
      <sheetData sheetId="12">
        <row r="15">
          <cell r="J15">
            <v>260.20111276494316</v>
          </cell>
          <cell r="P15">
            <v>9428.0710154551343</v>
          </cell>
          <cell r="Q15">
            <v>474.49307716540534</v>
          </cell>
          <cell r="R15">
            <v>0</v>
          </cell>
        </row>
        <row r="16">
          <cell r="J16">
            <v>935.17878673413259</v>
          </cell>
          <cell r="N16">
            <v>5715.09</v>
          </cell>
          <cell r="P16">
            <v>32191.091050944</v>
          </cell>
          <cell r="Q16">
            <v>0</v>
          </cell>
          <cell r="R16">
            <v>1468.0706249999998</v>
          </cell>
          <cell r="AK16">
            <v>5606.3048633448207</v>
          </cell>
        </row>
        <row r="17">
          <cell r="J17">
            <v>1121.5085468088682</v>
          </cell>
          <cell r="P17">
            <v>38786.303429234154</v>
          </cell>
          <cell r="Q17">
            <v>2613.4117340540543</v>
          </cell>
          <cell r="R17">
            <v>1773.7419282162157</v>
          </cell>
        </row>
        <row r="18">
          <cell r="J18">
            <v>77.00206693482221</v>
          </cell>
          <cell r="P18">
            <v>1307.4704212436754</v>
          </cell>
          <cell r="Q18">
            <v>1507.8721210810811</v>
          </cell>
          <cell r="R18">
            <v>0</v>
          </cell>
        </row>
        <row r="19">
          <cell r="J19">
            <v>337.98092513387604</v>
          </cell>
          <cell r="P19">
            <v>12211.063067710271</v>
          </cell>
          <cell r="Q19">
            <v>0</v>
          </cell>
          <cell r="R19">
            <v>332.3393318918919</v>
          </cell>
          <cell r="AI19">
            <v>155.51805259417202</v>
          </cell>
          <cell r="AJ19">
            <v>2265.6092797757351</v>
          </cell>
        </row>
        <row r="20">
          <cell r="J20">
            <v>1495.5914340045424</v>
          </cell>
          <cell r="P20">
            <v>53824.423340492103</v>
          </cell>
          <cell r="Q20">
            <v>1071.730795589189</v>
          </cell>
          <cell r="R20">
            <v>306.45244735135128</v>
          </cell>
          <cell r="AK20">
            <v>8982.7222682799656</v>
          </cell>
        </row>
        <row r="21">
          <cell r="J21">
            <v>99.6239876211488</v>
          </cell>
          <cell r="P21">
            <v>4055.4934098421618</v>
          </cell>
        </row>
      </sheetData>
      <sheetData sheetId="13" refreshError="1"/>
      <sheetData sheetId="14">
        <row r="51">
          <cell r="Z51">
            <v>8041.2243000000008</v>
          </cell>
        </row>
        <row r="52">
          <cell r="Z52">
            <v>7989.9943000000012</v>
          </cell>
        </row>
        <row r="53">
          <cell r="Z53">
            <v>7585.8986000000004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Т.1"/>
      <sheetName val="Табл.Т.2.."/>
      <sheetName val="Табл.Т.3 Реестр сч"/>
      <sheetName val="Т.3-А"/>
      <sheetName val="Табл.Т.4 Реестр сч"/>
      <sheetName val="Табл.Т.6"/>
      <sheetName val="Табл. Т.5"/>
      <sheetName val="Табл.Т.8 (2)"/>
      <sheetName val="Табл Т.9"/>
      <sheetName val="Табл Т.10.1"/>
      <sheetName val="Табл.Т.11"/>
      <sheetName val="Табл.Т.11. факт"/>
      <sheetName val="Табл.Т.12."/>
      <sheetName val="Табл Т.13 поставщики"/>
      <sheetName val="Табл.1.14. структура и балансы"/>
      <sheetName val="Табл. 1.14.1 (46-ТЭ)"/>
      <sheetName val="Табл. 1.14.2 (46-ТЭ)"/>
      <sheetName val="Табл.1.15"/>
      <sheetName val="Реестр абонентов"/>
      <sheetName val="Расчет план t и n на 2023"/>
      <sheetName val="Расчет план t и n на 2024"/>
      <sheetName val="температуры"/>
      <sheetName val="Потери-исх да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1">
          <cell r="J21">
            <v>99.6239876211488</v>
          </cell>
          <cell r="N21">
            <v>139.02000000000001</v>
          </cell>
          <cell r="Q21">
            <v>0</v>
          </cell>
          <cell r="R21">
            <v>0</v>
          </cell>
          <cell r="AI21">
            <v>174.91</v>
          </cell>
          <cell r="AK21">
            <v>665.52063358634859</v>
          </cell>
          <cell r="AS21">
            <v>154.86951599999998</v>
          </cell>
          <cell r="AT21">
            <v>9.2740240000000002E-2</v>
          </cell>
          <cell r="BC21">
            <v>1.179582857142857</v>
          </cell>
        </row>
      </sheetData>
      <sheetData sheetId="13"/>
      <sheetData sheetId="14">
        <row r="51">
          <cell r="Z51">
            <v>8041.2243000000008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Т.1"/>
      <sheetName val="Табл.Т.2.."/>
      <sheetName val="Табл.Т.3 Реестр сч"/>
      <sheetName val="Т.3-А"/>
      <sheetName val="Табл.Т.4 Реестр сч"/>
      <sheetName val="Табл.Т.6"/>
      <sheetName val="Табл. Т.5"/>
      <sheetName val="Табл.Т.8 (2)"/>
      <sheetName val="Табл Т.9"/>
      <sheetName val="Табл Т.10.1"/>
      <sheetName val="Табл.Т.11"/>
      <sheetName val="Табл.Т.11. факт"/>
      <sheetName val="Табл.Т.12."/>
      <sheetName val="Табл Т.13 поставщики"/>
      <sheetName val="Табл.1.14. структура и балансы"/>
      <sheetName val="Табл. 1.14.1 (46-ТЭ)"/>
      <sheetName val="Табл. 1.14.2 (46-ТЭ)"/>
      <sheetName val="Табл.1.15"/>
      <sheetName val="Реестр абонентов"/>
      <sheetName val="Расчет план t и n на 2023"/>
      <sheetName val="Расчет план t и n на 2024"/>
      <sheetName val="температуры"/>
      <sheetName val="Потери-исх д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G10">
            <v>92573890.387290388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5">
          <cell r="N15">
            <v>1052.8</v>
          </cell>
          <cell r="AK15">
            <v>1551.0736263803631</v>
          </cell>
        </row>
        <row r="17">
          <cell r="N17">
            <v>4045.92</v>
          </cell>
          <cell r="AK17">
            <v>6598.3208555658239</v>
          </cell>
        </row>
        <row r="18">
          <cell r="N18">
            <v>426.71</v>
          </cell>
          <cell r="AK18">
            <v>454.44145284288277</v>
          </cell>
        </row>
        <row r="19">
          <cell r="N19">
            <v>1686.76</v>
          </cell>
          <cell r="AK19">
            <v>2007.5018934721704</v>
          </cell>
        </row>
        <row r="20">
          <cell r="N20">
            <v>7766.95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Т.1"/>
      <sheetName val="Табл.Т.2.."/>
      <sheetName val="Табл.Т.3 Реестр сч"/>
      <sheetName val="Т.3-А"/>
      <sheetName val="Табл.Т.4 Реестр сч"/>
      <sheetName val="Табл.Т.6"/>
      <sheetName val="Табл. Т.5"/>
      <sheetName val="Табл.Т.8 (2)"/>
      <sheetName val="Табл Т.9"/>
      <sheetName val="Табл Т.10.1"/>
      <sheetName val="Табл.Т.11"/>
      <sheetName val="Табл.Т.11. факт"/>
      <sheetName val="Табл.Т.12."/>
      <sheetName val="Табл Т.13 поставщики"/>
      <sheetName val="Табл.1.14. структура и балансы"/>
      <sheetName val="Табл. 1.14.1 (46-ТЭ)"/>
      <sheetName val="Табл. 1.14.2 (46-ТЭ)"/>
      <sheetName val="Табл.1.15"/>
      <sheetName val="Реестр абонентов"/>
      <sheetName val="Расчет план t и n на 2023"/>
      <sheetName val="Расчет план t и n на 2024"/>
      <sheetName val="температуры"/>
      <sheetName val="Потери-исх дан"/>
    </sheetNames>
    <sheetDataSet>
      <sheetData sheetId="0"/>
      <sheetData sheetId="1"/>
      <sheetData sheetId="2">
        <row r="11">
          <cell r="S11">
            <v>1.1816573471245746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4">
          <cell r="AF14">
            <v>12480.908321743265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Т.1"/>
      <sheetName val="Табл.Т.2.."/>
      <sheetName val="Табл.Т.3 Реестр сч"/>
      <sheetName val="Т.3-А"/>
      <sheetName val="Табл.Т.4 Реестр сч"/>
      <sheetName val="Табл.Т.6"/>
      <sheetName val="Табл. Т.5"/>
      <sheetName val="Табл.Т.8 (2)"/>
      <sheetName val="Табл Т.9"/>
      <sheetName val="Табл Т.10.1"/>
      <sheetName val="Табл.Т.11"/>
      <sheetName val="Табл.Т.11. факт"/>
      <sheetName val="Табл.Т.12."/>
      <sheetName val="Табл Т.13 поставщики"/>
      <sheetName val="Табл.1.14. структура и балансы"/>
      <sheetName val="Табл. 1.14.1 (46-ТЭ)"/>
      <sheetName val="Табл. 1.14.2 (46-ТЭ)"/>
      <sheetName val="Табл.1.15"/>
      <sheetName val="Реестр абонентов"/>
      <sheetName val="Расчет план t и n на 2023"/>
      <sheetName val="Расчет план t и n на 2024"/>
      <sheetName val="температуры"/>
      <sheetName val="Потери-исх да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AG15">
            <v>1720.452</v>
          </cell>
          <cell r="AO15">
            <v>268.09199999999998</v>
          </cell>
          <cell r="AP15">
            <v>4.8259999999999996</v>
          </cell>
        </row>
        <row r="16">
          <cell r="AG16">
            <v>3947.1489999999999</v>
          </cell>
          <cell r="AO16">
            <v>375.37400000000002</v>
          </cell>
          <cell r="AP16">
            <v>15.576000000000001</v>
          </cell>
        </row>
        <row r="17">
          <cell r="AG17">
            <v>1669.5219999999999</v>
          </cell>
          <cell r="AO17">
            <v>63.845999999999997</v>
          </cell>
        </row>
        <row r="18">
          <cell r="AG18">
            <v>190.273</v>
          </cell>
          <cell r="AO18">
            <v>5.4939999999999998</v>
          </cell>
          <cell r="AP18">
            <v>0.13600000000000001</v>
          </cell>
        </row>
        <row r="19">
          <cell r="AG19">
            <v>632.14</v>
          </cell>
          <cell r="AO19">
            <v>35.424999999999997</v>
          </cell>
          <cell r="AP19">
            <v>1.62</v>
          </cell>
        </row>
        <row r="20">
          <cell r="AG20">
            <v>2402.67</v>
          </cell>
          <cell r="AO20">
            <v>107.85899999999999</v>
          </cell>
          <cell r="AP20">
            <v>2.7120000000000002</v>
          </cell>
        </row>
      </sheetData>
      <sheetData sheetId="12">
        <row r="15">
          <cell r="AT15">
            <v>4.5960000000000001</v>
          </cell>
        </row>
        <row r="16">
          <cell r="AT16">
            <v>15.699</v>
          </cell>
        </row>
        <row r="18">
          <cell r="AT18">
            <v>0.71187599999999995</v>
          </cell>
        </row>
        <row r="19">
          <cell r="AT19">
            <v>3.41709</v>
          </cell>
        </row>
        <row r="20">
          <cell r="AT20">
            <v>29.940999999999999</v>
          </cell>
        </row>
      </sheetData>
      <sheetData sheetId="13"/>
      <sheetData sheetId="14">
        <row r="52">
          <cell r="Z52">
            <v>7989.9943000000012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быль предприн."/>
      <sheetName val="Приложение №1 (2.7) ОБЩАЯ"/>
      <sheetName val="5.1"/>
      <sheetName val="5.2"/>
      <sheetName val="5.3"/>
      <sheetName val="5.4"/>
      <sheetName val="5.9"/>
      <sheetName val="2.1"/>
      <sheetName val="2.2 Амортизация"/>
      <sheetName val="2.4"/>
      <sheetName val="2.9 Аренда"/>
      <sheetName val="Ремонтная программа"/>
      <sheetName val="НАЛОГ НА ИМУЩЕСТВО"/>
      <sheetName val="Земельный налог"/>
      <sheetName val="Траснспорт.налог"/>
      <sheetName val="2.5"/>
      <sheetName val="2.6"/>
      <sheetName val="Ремонт хозспособ"/>
      <sheetName val="2.8"/>
      <sheetName val="2.10 Прибыль"/>
      <sheetName val="ФОТ 2024-2025"/>
      <sheetName val="2.3"/>
    </sheetNames>
    <sheetDataSet>
      <sheetData sheetId="0">
        <row r="18">
          <cell r="F18">
            <v>1457.6667308619026</v>
          </cell>
          <cell r="G18">
            <v>587.90572175803038</v>
          </cell>
          <cell r="H18">
            <v>188.73138962302585</v>
          </cell>
          <cell r="I18">
            <v>124.12905167025349</v>
          </cell>
          <cell r="J18">
            <v>178.44097592165343</v>
          </cell>
          <cell r="K18">
            <v>292.58631511645893</v>
          </cell>
          <cell r="M18">
            <v>2769.5033413399797</v>
          </cell>
          <cell r="N18">
            <v>1048.3259162458573</v>
          </cell>
          <cell r="O18">
            <v>2279.7847517747682</v>
          </cell>
          <cell r="P18">
            <v>292.84633517565584</v>
          </cell>
          <cell r="Q18">
            <v>1281.9858299945784</v>
          </cell>
          <cell r="R18">
            <v>4255.6801735728241</v>
          </cell>
          <cell r="T18">
            <v>2769.5033413399797</v>
          </cell>
          <cell r="U18">
            <v>1048.3259162458573</v>
          </cell>
          <cell r="V18">
            <v>1508.71103909518</v>
          </cell>
          <cell r="W18">
            <v>292.84633517565584</v>
          </cell>
          <cell r="X18">
            <v>1281.9858299945784</v>
          </cell>
          <cell r="Y18">
            <v>4255.6801735728241</v>
          </cell>
          <cell r="AG18">
            <v>296.21178829969489</v>
          </cell>
        </row>
        <row r="19">
          <cell r="F19">
            <v>291.5333461723805</v>
          </cell>
          <cell r="G19">
            <v>117.58114435160608</v>
          </cell>
          <cell r="H19">
            <v>37.746277924605174</v>
          </cell>
          <cell r="I19">
            <v>24.825810334050701</v>
          </cell>
          <cell r="J19">
            <v>35.688195184330688</v>
          </cell>
          <cell r="K19">
            <v>58.51726302329179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6">
          <cell r="G16">
            <v>6584.7670799999996</v>
          </cell>
        </row>
        <row r="17">
          <cell r="G17">
            <v>16933.990409999999</v>
          </cell>
        </row>
        <row r="18">
          <cell r="G18">
            <v>34641.96</v>
          </cell>
        </row>
        <row r="19">
          <cell r="G19">
            <v>2308.84231</v>
          </cell>
        </row>
      </sheetData>
      <sheetData sheetId="8">
        <row r="18">
          <cell r="X18">
            <v>308333.27999999997</v>
          </cell>
        </row>
        <row r="26">
          <cell r="X26">
            <v>46470.28</v>
          </cell>
        </row>
        <row r="102">
          <cell r="U102">
            <v>377920</v>
          </cell>
        </row>
        <row r="103">
          <cell r="O103">
            <v>15332131.324161097</v>
          </cell>
        </row>
        <row r="117">
          <cell r="O117">
            <v>14747517.699858068</v>
          </cell>
          <cell r="U117">
            <v>20541632.798009709</v>
          </cell>
          <cell r="X117">
            <v>20338612.508972596</v>
          </cell>
        </row>
        <row r="118">
          <cell r="U118">
            <v>4065079.1638834951</v>
          </cell>
          <cell r="X118">
            <v>4093463.4486834952</v>
          </cell>
        </row>
        <row r="119">
          <cell r="O119">
            <v>485299.6162474748</v>
          </cell>
          <cell r="U119">
            <v>14078626.323061833</v>
          </cell>
          <cell r="X119">
            <v>13987605.350006277</v>
          </cell>
        </row>
        <row r="120">
          <cell r="U120">
            <v>2093068.4495999999</v>
          </cell>
          <cell r="X120">
            <v>1538324.7750000001</v>
          </cell>
        </row>
        <row r="121">
          <cell r="U121">
            <v>7690419.2062009564</v>
          </cell>
          <cell r="X121">
            <v>6857359.9841282303</v>
          </cell>
        </row>
        <row r="122">
          <cell r="U122">
            <v>40514268.152162954</v>
          </cell>
          <cell r="X122">
            <v>4503873.1316561792</v>
          </cell>
        </row>
        <row r="123">
          <cell r="O123">
            <v>99314.008055555561</v>
          </cell>
          <cell r="U123">
            <v>452172.95999999996</v>
          </cell>
        </row>
      </sheetData>
      <sheetData sheetId="9">
        <row r="11">
          <cell r="F11">
            <v>18.5</v>
          </cell>
        </row>
        <row r="12">
          <cell r="F12">
            <v>5</v>
          </cell>
        </row>
        <row r="13">
          <cell r="F13">
            <v>21.66</v>
          </cell>
        </row>
        <row r="14">
          <cell r="F14">
            <v>568.21420999999998</v>
          </cell>
        </row>
        <row r="15">
          <cell r="F15">
            <v>166.5</v>
          </cell>
        </row>
        <row r="16">
          <cell r="F16">
            <v>69.188333333333333</v>
          </cell>
        </row>
        <row r="17">
          <cell r="F17">
            <v>69.188333333333333</v>
          </cell>
        </row>
        <row r="24">
          <cell r="F24">
            <v>45</v>
          </cell>
        </row>
        <row r="50">
          <cell r="F50">
            <v>1217.3920000000001</v>
          </cell>
        </row>
        <row r="51">
          <cell r="G51">
            <v>1712.1565000000001</v>
          </cell>
          <cell r="H51">
            <v>56735.837926266671</v>
          </cell>
          <cell r="I51">
            <v>59005.271443317339</v>
          </cell>
        </row>
      </sheetData>
      <sheetData sheetId="10">
        <row r="7">
          <cell r="O7">
            <v>5353912.5445488896</v>
          </cell>
          <cell r="R7">
            <v>5353912.5745488899</v>
          </cell>
        </row>
        <row r="34">
          <cell r="O34">
            <v>15614831.1674776</v>
          </cell>
          <cell r="R34">
            <v>12036150.8474776</v>
          </cell>
        </row>
        <row r="37">
          <cell r="O37">
            <v>105120.35</v>
          </cell>
          <cell r="R37">
            <v>1125776.357504762</v>
          </cell>
        </row>
        <row r="40">
          <cell r="O40">
            <v>309937.88</v>
          </cell>
          <cell r="R40">
            <v>2571076.8022914301</v>
          </cell>
        </row>
        <row r="42">
          <cell r="O42">
            <v>327841.77</v>
          </cell>
          <cell r="R42">
            <v>11972177.272452377</v>
          </cell>
        </row>
        <row r="49">
          <cell r="O49">
            <v>21711643.712026492</v>
          </cell>
        </row>
      </sheetData>
      <sheetData sheetId="11">
        <row r="33">
          <cell r="L33">
            <v>1999.3598499999998</v>
          </cell>
        </row>
        <row r="45">
          <cell r="L45">
            <v>750.53800000000001</v>
          </cell>
        </row>
        <row r="52">
          <cell r="L52">
            <v>440.04899999999998</v>
          </cell>
        </row>
        <row r="65">
          <cell r="L65">
            <v>1885.8600000000001</v>
          </cell>
        </row>
        <row r="79">
          <cell r="L79">
            <v>1866.0940000000001</v>
          </cell>
        </row>
        <row r="89">
          <cell r="L89">
            <v>879.27300000000014</v>
          </cell>
        </row>
        <row r="93">
          <cell r="K93">
            <v>643.52963</v>
          </cell>
        </row>
        <row r="94">
          <cell r="K94">
            <v>1123.2540100000001</v>
          </cell>
        </row>
        <row r="95">
          <cell r="L95">
            <v>1160.4065599999999</v>
          </cell>
        </row>
        <row r="96">
          <cell r="L96">
            <v>295.15616999999997</v>
          </cell>
        </row>
        <row r="97">
          <cell r="L97">
            <v>537.36431000000005</v>
          </cell>
        </row>
        <row r="98">
          <cell r="L98">
            <v>1706.1892</v>
          </cell>
        </row>
      </sheetData>
      <sheetData sheetId="12" refreshError="1"/>
      <sheetData sheetId="13" refreshError="1"/>
      <sheetData sheetId="14" refreshError="1"/>
      <sheetData sheetId="15">
        <row r="11">
          <cell r="F11">
            <v>326.75799999999998</v>
          </cell>
          <cell r="G11">
            <v>1889.81916</v>
          </cell>
          <cell r="H11">
            <v>1965.4119264000003</v>
          </cell>
        </row>
      </sheetData>
      <sheetData sheetId="16">
        <row r="12">
          <cell r="F12">
            <v>1113.7884999999997</v>
          </cell>
          <cell r="G12">
            <v>7633.3873845226663</v>
          </cell>
          <cell r="H12">
            <v>7447.5464525634652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30"/>
  <sheetViews>
    <sheetView view="pageBreakPreview" zoomScale="112" zoomScaleNormal="80" zoomScaleSheetLayoutView="112" workbookViewId="0">
      <pane xSplit="3" ySplit="9" topLeftCell="E10" activePane="bottomRight" state="frozen"/>
      <selection activeCell="B123" sqref="B123:C123"/>
      <selection pane="topRight" activeCell="B123" sqref="B123:C123"/>
      <selection pane="bottomLeft" activeCell="B123" sqref="B123:C123"/>
      <selection pane="bottomRight" activeCell="Y1" sqref="K1:Y1048576"/>
    </sheetView>
  </sheetViews>
  <sheetFormatPr defaultRowHeight="12.75" outlineLevelRow="1" outlineLevelCol="2" x14ac:dyDescent="0.25"/>
  <cols>
    <col min="1" max="1" width="7" style="195" customWidth="1"/>
    <col min="2" max="2" width="38.7109375" style="51" customWidth="1"/>
    <col min="3" max="3" width="12.85546875" style="51" customWidth="1"/>
    <col min="4" max="4" width="12.85546875" style="51" hidden="1" customWidth="1"/>
    <col min="5" max="5" width="12.85546875" style="203" customWidth="1"/>
    <col min="6" max="7" width="12.85546875" style="203" hidden="1" customWidth="1"/>
    <col min="8" max="8" width="8.85546875" style="203" hidden="1" customWidth="1"/>
    <col min="9" max="9" width="8.85546875" style="203" customWidth="1"/>
    <col min="10" max="10" width="16.140625" style="51" customWidth="1"/>
    <col min="11" max="11" width="8.85546875" style="203" hidden="1" customWidth="1"/>
    <col min="12" max="12" width="13.42578125" style="51" hidden="1" customWidth="1" outlineLevel="1"/>
    <col min="13" max="13" width="8.85546875" style="203" hidden="1" customWidth="1" outlineLevel="2"/>
    <col min="14" max="14" width="13.42578125" style="51" hidden="1" customWidth="1" outlineLevel="1"/>
    <col min="15" max="15" width="8.85546875" style="203" hidden="1" customWidth="1" outlineLevel="2"/>
    <col min="16" max="16" width="13.42578125" style="51" hidden="1" customWidth="1" outlineLevel="1"/>
    <col min="17" max="17" width="8.85546875" style="203" hidden="1" customWidth="1" outlineLevel="2"/>
    <col min="18" max="18" width="13.42578125" style="51" hidden="1" customWidth="1" outlineLevel="1"/>
    <col min="19" max="19" width="8.85546875" style="203" hidden="1" customWidth="1" outlineLevel="2"/>
    <col min="20" max="20" width="13.42578125" style="51" hidden="1" customWidth="1" outlineLevel="1"/>
    <col min="21" max="21" width="8.85546875" style="203" hidden="1" customWidth="1" outlineLevel="2"/>
    <col min="22" max="22" width="13.42578125" style="51" hidden="1" customWidth="1" outlineLevel="1"/>
    <col min="23" max="23" width="8.85546875" style="203" hidden="1" customWidth="1" outlineLevel="2"/>
    <col min="24" max="24" width="13.42578125" style="51" hidden="1" customWidth="1" outlineLevel="1"/>
    <col min="25" max="25" width="8.85546875" style="203" hidden="1" customWidth="1" outlineLevel="2"/>
    <col min="26" max="26" width="17.28515625" style="51" customWidth="1" collapsed="1"/>
    <col min="27" max="27" width="9.5703125" style="203" customWidth="1"/>
    <col min="28" max="28" width="13.42578125" style="51" hidden="1" customWidth="1" outlineLevel="1"/>
    <col min="29" max="29" width="8.7109375" style="203" hidden="1" customWidth="1" outlineLevel="2"/>
    <col min="30" max="30" width="13.42578125" style="51" hidden="1" customWidth="1" outlineLevel="1"/>
    <col min="31" max="31" width="8.5703125" style="203" hidden="1" customWidth="1" outlineLevel="2"/>
    <col min="32" max="32" width="13.42578125" style="51" hidden="1" customWidth="1" outlineLevel="1"/>
    <col min="33" max="33" width="8.140625" style="203" hidden="1" customWidth="1" outlineLevel="2"/>
    <col min="34" max="34" width="13.42578125" style="51" hidden="1" customWidth="1" outlineLevel="1"/>
    <col min="35" max="35" width="8" style="203" hidden="1" customWidth="1" outlineLevel="2"/>
    <col min="36" max="36" width="13.42578125" style="51" hidden="1" customWidth="1" outlineLevel="1"/>
    <col min="37" max="37" width="9.7109375" style="203" hidden="1" customWidth="1" outlineLevel="2"/>
    <col min="38" max="38" width="13.42578125" style="51" hidden="1" customWidth="1" outlineLevel="1"/>
    <col min="39" max="39" width="8.42578125" style="203" hidden="1" customWidth="1" outlineLevel="2"/>
    <col min="40" max="40" width="13.42578125" style="51" hidden="1" customWidth="1" outlineLevel="1"/>
    <col min="41" max="41" width="8.5703125" style="203" hidden="1" customWidth="1" outlineLevel="2"/>
    <col min="42" max="42" width="13.42578125" style="51" hidden="1" customWidth="1" outlineLevel="1"/>
    <col min="43" max="43" width="9" style="203" hidden="1" customWidth="1" outlineLevel="2"/>
    <col min="44" max="44" width="13.42578125" style="51" customWidth="1" collapsed="1"/>
    <col min="45" max="45" width="7.85546875" style="203" customWidth="1"/>
    <col min="46" max="46" width="13.42578125" style="51" hidden="1" customWidth="1" outlineLevel="1"/>
    <col min="47" max="47" width="8.5703125" style="203" hidden="1" customWidth="1" outlineLevel="2"/>
    <col min="48" max="48" width="13.42578125" style="51" hidden="1" customWidth="1" outlineLevel="1"/>
    <col min="49" max="49" width="8.85546875" style="203" hidden="1" customWidth="1" outlineLevel="2"/>
    <col min="50" max="50" width="13.42578125" style="51" hidden="1" customWidth="1" outlineLevel="1"/>
    <col min="51" max="51" width="8.85546875" style="203" hidden="1" customWidth="1" outlineLevel="2"/>
    <col min="52" max="52" width="13.42578125" style="51" hidden="1" customWidth="1" outlineLevel="1"/>
    <col min="53" max="53" width="8.85546875" style="203" hidden="1" customWidth="1" outlineLevel="2"/>
    <col min="54" max="54" width="13.42578125" style="51" hidden="1" customWidth="1" outlineLevel="1"/>
    <col min="55" max="55" width="8.85546875" style="203" hidden="1" customWidth="1" outlineLevel="2"/>
    <col min="56" max="56" width="13.42578125" style="51" hidden="1" customWidth="1" outlineLevel="1"/>
    <col min="57" max="57" width="8.85546875" style="203" hidden="1" customWidth="1" outlineLevel="2"/>
    <col min="58" max="58" width="13.42578125" style="51" hidden="1" customWidth="1" outlineLevel="1"/>
    <col min="59" max="59" width="8.85546875" style="203" hidden="1" customWidth="1" outlineLevel="2"/>
    <col min="60" max="60" width="13.42578125" style="51" hidden="1" customWidth="1" outlineLevel="1"/>
    <col min="61" max="61" width="9" style="203" hidden="1" customWidth="1" outlineLevel="2"/>
    <col min="62" max="62" width="9.140625" style="51" collapsed="1"/>
    <col min="63" max="63" width="9.140625" style="51"/>
    <col min="64" max="64" width="11.5703125" style="51" customWidth="1"/>
    <col min="65" max="256" width="9.140625" style="51"/>
    <col min="257" max="257" width="7" style="51" customWidth="1"/>
    <col min="258" max="258" width="38.7109375" style="51" customWidth="1"/>
    <col min="259" max="259" width="12.85546875" style="51" customWidth="1"/>
    <col min="260" max="260" width="0" style="51" hidden="1" customWidth="1"/>
    <col min="261" max="261" width="12.85546875" style="51" customWidth="1"/>
    <col min="262" max="264" width="0" style="51" hidden="1" customWidth="1"/>
    <col min="265" max="265" width="8.85546875" style="51" customWidth="1"/>
    <col min="266" max="266" width="16.140625" style="51" customWidth="1"/>
    <col min="267" max="267" width="8.85546875" style="51" customWidth="1"/>
    <col min="268" max="281" width="0" style="51" hidden="1" customWidth="1"/>
    <col min="282" max="282" width="17.28515625" style="51" customWidth="1"/>
    <col min="283" max="283" width="9.5703125" style="51" customWidth="1"/>
    <col min="284" max="299" width="0" style="51" hidden="1" customWidth="1"/>
    <col min="300" max="300" width="13.42578125" style="51" customWidth="1"/>
    <col min="301" max="301" width="7.85546875" style="51" customWidth="1"/>
    <col min="302" max="317" width="0" style="51" hidden="1" customWidth="1"/>
    <col min="318" max="319" width="9.140625" style="51"/>
    <col min="320" max="320" width="11.5703125" style="51" customWidth="1"/>
    <col min="321" max="512" width="9.140625" style="51"/>
    <col min="513" max="513" width="7" style="51" customWidth="1"/>
    <col min="514" max="514" width="38.7109375" style="51" customWidth="1"/>
    <col min="515" max="515" width="12.85546875" style="51" customWidth="1"/>
    <col min="516" max="516" width="0" style="51" hidden="1" customWidth="1"/>
    <col min="517" max="517" width="12.85546875" style="51" customWidth="1"/>
    <col min="518" max="520" width="0" style="51" hidden="1" customWidth="1"/>
    <col min="521" max="521" width="8.85546875" style="51" customWidth="1"/>
    <col min="522" max="522" width="16.140625" style="51" customWidth="1"/>
    <col min="523" max="523" width="8.85546875" style="51" customWidth="1"/>
    <col min="524" max="537" width="0" style="51" hidden="1" customWidth="1"/>
    <col min="538" max="538" width="17.28515625" style="51" customWidth="1"/>
    <col min="539" max="539" width="9.5703125" style="51" customWidth="1"/>
    <col min="540" max="555" width="0" style="51" hidden="1" customWidth="1"/>
    <col min="556" max="556" width="13.42578125" style="51" customWidth="1"/>
    <col min="557" max="557" width="7.85546875" style="51" customWidth="1"/>
    <col min="558" max="573" width="0" style="51" hidden="1" customWidth="1"/>
    <col min="574" max="575" width="9.140625" style="51"/>
    <col min="576" max="576" width="11.5703125" style="51" customWidth="1"/>
    <col min="577" max="768" width="9.140625" style="51"/>
    <col min="769" max="769" width="7" style="51" customWidth="1"/>
    <col min="770" max="770" width="38.7109375" style="51" customWidth="1"/>
    <col min="771" max="771" width="12.85546875" style="51" customWidth="1"/>
    <col min="772" max="772" width="0" style="51" hidden="1" customWidth="1"/>
    <col min="773" max="773" width="12.85546875" style="51" customWidth="1"/>
    <col min="774" max="776" width="0" style="51" hidden="1" customWidth="1"/>
    <col min="777" max="777" width="8.85546875" style="51" customWidth="1"/>
    <col min="778" max="778" width="16.140625" style="51" customWidth="1"/>
    <col min="779" max="779" width="8.85546875" style="51" customWidth="1"/>
    <col min="780" max="793" width="0" style="51" hidden="1" customWidth="1"/>
    <col min="794" max="794" width="17.28515625" style="51" customWidth="1"/>
    <col min="795" max="795" width="9.5703125" style="51" customWidth="1"/>
    <col min="796" max="811" width="0" style="51" hidden="1" customWidth="1"/>
    <col min="812" max="812" width="13.42578125" style="51" customWidth="1"/>
    <col min="813" max="813" width="7.85546875" style="51" customWidth="1"/>
    <col min="814" max="829" width="0" style="51" hidden="1" customWidth="1"/>
    <col min="830" max="831" width="9.140625" style="51"/>
    <col min="832" max="832" width="11.5703125" style="51" customWidth="1"/>
    <col min="833" max="1024" width="9.140625" style="51"/>
    <col min="1025" max="1025" width="7" style="51" customWidth="1"/>
    <col min="1026" max="1026" width="38.7109375" style="51" customWidth="1"/>
    <col min="1027" max="1027" width="12.85546875" style="51" customWidth="1"/>
    <col min="1028" max="1028" width="0" style="51" hidden="1" customWidth="1"/>
    <col min="1029" max="1029" width="12.85546875" style="51" customWidth="1"/>
    <col min="1030" max="1032" width="0" style="51" hidden="1" customWidth="1"/>
    <col min="1033" max="1033" width="8.85546875" style="51" customWidth="1"/>
    <col min="1034" max="1034" width="16.140625" style="51" customWidth="1"/>
    <col min="1035" max="1035" width="8.85546875" style="51" customWidth="1"/>
    <col min="1036" max="1049" width="0" style="51" hidden="1" customWidth="1"/>
    <col min="1050" max="1050" width="17.28515625" style="51" customWidth="1"/>
    <col min="1051" max="1051" width="9.5703125" style="51" customWidth="1"/>
    <col min="1052" max="1067" width="0" style="51" hidden="1" customWidth="1"/>
    <col min="1068" max="1068" width="13.42578125" style="51" customWidth="1"/>
    <col min="1069" max="1069" width="7.85546875" style="51" customWidth="1"/>
    <col min="1070" max="1085" width="0" style="51" hidden="1" customWidth="1"/>
    <col min="1086" max="1087" width="9.140625" style="51"/>
    <col min="1088" max="1088" width="11.5703125" style="51" customWidth="1"/>
    <col min="1089" max="1280" width="9.140625" style="51"/>
    <col min="1281" max="1281" width="7" style="51" customWidth="1"/>
    <col min="1282" max="1282" width="38.7109375" style="51" customWidth="1"/>
    <col min="1283" max="1283" width="12.85546875" style="51" customWidth="1"/>
    <col min="1284" max="1284" width="0" style="51" hidden="1" customWidth="1"/>
    <col min="1285" max="1285" width="12.85546875" style="51" customWidth="1"/>
    <col min="1286" max="1288" width="0" style="51" hidden="1" customWidth="1"/>
    <col min="1289" max="1289" width="8.85546875" style="51" customWidth="1"/>
    <col min="1290" max="1290" width="16.140625" style="51" customWidth="1"/>
    <col min="1291" max="1291" width="8.85546875" style="51" customWidth="1"/>
    <col min="1292" max="1305" width="0" style="51" hidden="1" customWidth="1"/>
    <col min="1306" max="1306" width="17.28515625" style="51" customWidth="1"/>
    <col min="1307" max="1307" width="9.5703125" style="51" customWidth="1"/>
    <col min="1308" max="1323" width="0" style="51" hidden="1" customWidth="1"/>
    <col min="1324" max="1324" width="13.42578125" style="51" customWidth="1"/>
    <col min="1325" max="1325" width="7.85546875" style="51" customWidth="1"/>
    <col min="1326" max="1341" width="0" style="51" hidden="1" customWidth="1"/>
    <col min="1342" max="1343" width="9.140625" style="51"/>
    <col min="1344" max="1344" width="11.5703125" style="51" customWidth="1"/>
    <col min="1345" max="1536" width="9.140625" style="51"/>
    <col min="1537" max="1537" width="7" style="51" customWidth="1"/>
    <col min="1538" max="1538" width="38.7109375" style="51" customWidth="1"/>
    <col min="1539" max="1539" width="12.85546875" style="51" customWidth="1"/>
    <col min="1540" max="1540" width="0" style="51" hidden="1" customWidth="1"/>
    <col min="1541" max="1541" width="12.85546875" style="51" customWidth="1"/>
    <col min="1542" max="1544" width="0" style="51" hidden="1" customWidth="1"/>
    <col min="1545" max="1545" width="8.85546875" style="51" customWidth="1"/>
    <col min="1546" max="1546" width="16.140625" style="51" customWidth="1"/>
    <col min="1547" max="1547" width="8.85546875" style="51" customWidth="1"/>
    <col min="1548" max="1561" width="0" style="51" hidden="1" customWidth="1"/>
    <col min="1562" max="1562" width="17.28515625" style="51" customWidth="1"/>
    <col min="1563" max="1563" width="9.5703125" style="51" customWidth="1"/>
    <col min="1564" max="1579" width="0" style="51" hidden="1" customWidth="1"/>
    <col min="1580" max="1580" width="13.42578125" style="51" customWidth="1"/>
    <col min="1581" max="1581" width="7.85546875" style="51" customWidth="1"/>
    <col min="1582" max="1597" width="0" style="51" hidden="1" customWidth="1"/>
    <col min="1598" max="1599" width="9.140625" style="51"/>
    <col min="1600" max="1600" width="11.5703125" style="51" customWidth="1"/>
    <col min="1601" max="1792" width="9.140625" style="51"/>
    <col min="1793" max="1793" width="7" style="51" customWidth="1"/>
    <col min="1794" max="1794" width="38.7109375" style="51" customWidth="1"/>
    <col min="1795" max="1795" width="12.85546875" style="51" customWidth="1"/>
    <col min="1796" max="1796" width="0" style="51" hidden="1" customWidth="1"/>
    <col min="1797" max="1797" width="12.85546875" style="51" customWidth="1"/>
    <col min="1798" max="1800" width="0" style="51" hidden="1" customWidth="1"/>
    <col min="1801" max="1801" width="8.85546875" style="51" customWidth="1"/>
    <col min="1802" max="1802" width="16.140625" style="51" customWidth="1"/>
    <col min="1803" max="1803" width="8.85546875" style="51" customWidth="1"/>
    <col min="1804" max="1817" width="0" style="51" hidden="1" customWidth="1"/>
    <col min="1818" max="1818" width="17.28515625" style="51" customWidth="1"/>
    <col min="1819" max="1819" width="9.5703125" style="51" customWidth="1"/>
    <col min="1820" max="1835" width="0" style="51" hidden="1" customWidth="1"/>
    <col min="1836" max="1836" width="13.42578125" style="51" customWidth="1"/>
    <col min="1837" max="1837" width="7.85546875" style="51" customWidth="1"/>
    <col min="1838" max="1853" width="0" style="51" hidden="1" customWidth="1"/>
    <col min="1854" max="1855" width="9.140625" style="51"/>
    <col min="1856" max="1856" width="11.5703125" style="51" customWidth="1"/>
    <col min="1857" max="2048" width="9.140625" style="51"/>
    <col min="2049" max="2049" width="7" style="51" customWidth="1"/>
    <col min="2050" max="2050" width="38.7109375" style="51" customWidth="1"/>
    <col min="2051" max="2051" width="12.85546875" style="51" customWidth="1"/>
    <col min="2052" max="2052" width="0" style="51" hidden="1" customWidth="1"/>
    <col min="2053" max="2053" width="12.85546875" style="51" customWidth="1"/>
    <col min="2054" max="2056" width="0" style="51" hidden="1" customWidth="1"/>
    <col min="2057" max="2057" width="8.85546875" style="51" customWidth="1"/>
    <col min="2058" max="2058" width="16.140625" style="51" customWidth="1"/>
    <col min="2059" max="2059" width="8.85546875" style="51" customWidth="1"/>
    <col min="2060" max="2073" width="0" style="51" hidden="1" customWidth="1"/>
    <col min="2074" max="2074" width="17.28515625" style="51" customWidth="1"/>
    <col min="2075" max="2075" width="9.5703125" style="51" customWidth="1"/>
    <col min="2076" max="2091" width="0" style="51" hidden="1" customWidth="1"/>
    <col min="2092" max="2092" width="13.42578125" style="51" customWidth="1"/>
    <col min="2093" max="2093" width="7.85546875" style="51" customWidth="1"/>
    <col min="2094" max="2109" width="0" style="51" hidden="1" customWidth="1"/>
    <col min="2110" max="2111" width="9.140625" style="51"/>
    <col min="2112" max="2112" width="11.5703125" style="51" customWidth="1"/>
    <col min="2113" max="2304" width="9.140625" style="51"/>
    <col min="2305" max="2305" width="7" style="51" customWidth="1"/>
    <col min="2306" max="2306" width="38.7109375" style="51" customWidth="1"/>
    <col min="2307" max="2307" width="12.85546875" style="51" customWidth="1"/>
    <col min="2308" max="2308" width="0" style="51" hidden="1" customWidth="1"/>
    <col min="2309" max="2309" width="12.85546875" style="51" customWidth="1"/>
    <col min="2310" max="2312" width="0" style="51" hidden="1" customWidth="1"/>
    <col min="2313" max="2313" width="8.85546875" style="51" customWidth="1"/>
    <col min="2314" max="2314" width="16.140625" style="51" customWidth="1"/>
    <col min="2315" max="2315" width="8.85546875" style="51" customWidth="1"/>
    <col min="2316" max="2329" width="0" style="51" hidden="1" customWidth="1"/>
    <col min="2330" max="2330" width="17.28515625" style="51" customWidth="1"/>
    <col min="2331" max="2331" width="9.5703125" style="51" customWidth="1"/>
    <col min="2332" max="2347" width="0" style="51" hidden="1" customWidth="1"/>
    <col min="2348" max="2348" width="13.42578125" style="51" customWidth="1"/>
    <col min="2349" max="2349" width="7.85546875" style="51" customWidth="1"/>
    <col min="2350" max="2365" width="0" style="51" hidden="1" customWidth="1"/>
    <col min="2366" max="2367" width="9.140625" style="51"/>
    <col min="2368" max="2368" width="11.5703125" style="51" customWidth="1"/>
    <col min="2369" max="2560" width="9.140625" style="51"/>
    <col min="2561" max="2561" width="7" style="51" customWidth="1"/>
    <col min="2562" max="2562" width="38.7109375" style="51" customWidth="1"/>
    <col min="2563" max="2563" width="12.85546875" style="51" customWidth="1"/>
    <col min="2564" max="2564" width="0" style="51" hidden="1" customWidth="1"/>
    <col min="2565" max="2565" width="12.85546875" style="51" customWidth="1"/>
    <col min="2566" max="2568" width="0" style="51" hidden="1" customWidth="1"/>
    <col min="2569" max="2569" width="8.85546875" style="51" customWidth="1"/>
    <col min="2570" max="2570" width="16.140625" style="51" customWidth="1"/>
    <col min="2571" max="2571" width="8.85546875" style="51" customWidth="1"/>
    <col min="2572" max="2585" width="0" style="51" hidden="1" customWidth="1"/>
    <col min="2586" max="2586" width="17.28515625" style="51" customWidth="1"/>
    <col min="2587" max="2587" width="9.5703125" style="51" customWidth="1"/>
    <col min="2588" max="2603" width="0" style="51" hidden="1" customWidth="1"/>
    <col min="2604" max="2604" width="13.42578125" style="51" customWidth="1"/>
    <col min="2605" max="2605" width="7.85546875" style="51" customWidth="1"/>
    <col min="2606" max="2621" width="0" style="51" hidden="1" customWidth="1"/>
    <col min="2622" max="2623" width="9.140625" style="51"/>
    <col min="2624" max="2624" width="11.5703125" style="51" customWidth="1"/>
    <col min="2625" max="2816" width="9.140625" style="51"/>
    <col min="2817" max="2817" width="7" style="51" customWidth="1"/>
    <col min="2818" max="2818" width="38.7109375" style="51" customWidth="1"/>
    <col min="2819" max="2819" width="12.85546875" style="51" customWidth="1"/>
    <col min="2820" max="2820" width="0" style="51" hidden="1" customWidth="1"/>
    <col min="2821" max="2821" width="12.85546875" style="51" customWidth="1"/>
    <col min="2822" max="2824" width="0" style="51" hidden="1" customWidth="1"/>
    <col min="2825" max="2825" width="8.85546875" style="51" customWidth="1"/>
    <col min="2826" max="2826" width="16.140625" style="51" customWidth="1"/>
    <col min="2827" max="2827" width="8.85546875" style="51" customWidth="1"/>
    <col min="2828" max="2841" width="0" style="51" hidden="1" customWidth="1"/>
    <col min="2842" max="2842" width="17.28515625" style="51" customWidth="1"/>
    <col min="2843" max="2843" width="9.5703125" style="51" customWidth="1"/>
    <col min="2844" max="2859" width="0" style="51" hidden="1" customWidth="1"/>
    <col min="2860" max="2860" width="13.42578125" style="51" customWidth="1"/>
    <col min="2861" max="2861" width="7.85546875" style="51" customWidth="1"/>
    <col min="2862" max="2877" width="0" style="51" hidden="1" customWidth="1"/>
    <col min="2878" max="2879" width="9.140625" style="51"/>
    <col min="2880" max="2880" width="11.5703125" style="51" customWidth="1"/>
    <col min="2881" max="3072" width="9.140625" style="51"/>
    <col min="3073" max="3073" width="7" style="51" customWidth="1"/>
    <col min="3074" max="3074" width="38.7109375" style="51" customWidth="1"/>
    <col min="3075" max="3075" width="12.85546875" style="51" customWidth="1"/>
    <col min="3076" max="3076" width="0" style="51" hidden="1" customWidth="1"/>
    <col min="3077" max="3077" width="12.85546875" style="51" customWidth="1"/>
    <col min="3078" max="3080" width="0" style="51" hidden="1" customWidth="1"/>
    <col min="3081" max="3081" width="8.85546875" style="51" customWidth="1"/>
    <col min="3082" max="3082" width="16.140625" style="51" customWidth="1"/>
    <col min="3083" max="3083" width="8.85546875" style="51" customWidth="1"/>
    <col min="3084" max="3097" width="0" style="51" hidden="1" customWidth="1"/>
    <col min="3098" max="3098" width="17.28515625" style="51" customWidth="1"/>
    <col min="3099" max="3099" width="9.5703125" style="51" customWidth="1"/>
    <col min="3100" max="3115" width="0" style="51" hidden="1" customWidth="1"/>
    <col min="3116" max="3116" width="13.42578125" style="51" customWidth="1"/>
    <col min="3117" max="3117" width="7.85546875" style="51" customWidth="1"/>
    <col min="3118" max="3133" width="0" style="51" hidden="1" customWidth="1"/>
    <col min="3134" max="3135" width="9.140625" style="51"/>
    <col min="3136" max="3136" width="11.5703125" style="51" customWidth="1"/>
    <col min="3137" max="3328" width="9.140625" style="51"/>
    <col min="3329" max="3329" width="7" style="51" customWidth="1"/>
    <col min="3330" max="3330" width="38.7109375" style="51" customWidth="1"/>
    <col min="3331" max="3331" width="12.85546875" style="51" customWidth="1"/>
    <col min="3332" max="3332" width="0" style="51" hidden="1" customWidth="1"/>
    <col min="3333" max="3333" width="12.85546875" style="51" customWidth="1"/>
    <col min="3334" max="3336" width="0" style="51" hidden="1" customWidth="1"/>
    <col min="3337" max="3337" width="8.85546875" style="51" customWidth="1"/>
    <col min="3338" max="3338" width="16.140625" style="51" customWidth="1"/>
    <col min="3339" max="3339" width="8.85546875" style="51" customWidth="1"/>
    <col min="3340" max="3353" width="0" style="51" hidden="1" customWidth="1"/>
    <col min="3354" max="3354" width="17.28515625" style="51" customWidth="1"/>
    <col min="3355" max="3355" width="9.5703125" style="51" customWidth="1"/>
    <col min="3356" max="3371" width="0" style="51" hidden="1" customWidth="1"/>
    <col min="3372" max="3372" width="13.42578125" style="51" customWidth="1"/>
    <col min="3373" max="3373" width="7.85546875" style="51" customWidth="1"/>
    <col min="3374" max="3389" width="0" style="51" hidden="1" customWidth="1"/>
    <col min="3390" max="3391" width="9.140625" style="51"/>
    <col min="3392" max="3392" width="11.5703125" style="51" customWidth="1"/>
    <col min="3393" max="3584" width="9.140625" style="51"/>
    <col min="3585" max="3585" width="7" style="51" customWidth="1"/>
    <col min="3586" max="3586" width="38.7109375" style="51" customWidth="1"/>
    <col min="3587" max="3587" width="12.85546875" style="51" customWidth="1"/>
    <col min="3588" max="3588" width="0" style="51" hidden="1" customWidth="1"/>
    <col min="3589" max="3589" width="12.85546875" style="51" customWidth="1"/>
    <col min="3590" max="3592" width="0" style="51" hidden="1" customWidth="1"/>
    <col min="3593" max="3593" width="8.85546875" style="51" customWidth="1"/>
    <col min="3594" max="3594" width="16.140625" style="51" customWidth="1"/>
    <col min="3595" max="3595" width="8.85546875" style="51" customWidth="1"/>
    <col min="3596" max="3609" width="0" style="51" hidden="1" customWidth="1"/>
    <col min="3610" max="3610" width="17.28515625" style="51" customWidth="1"/>
    <col min="3611" max="3611" width="9.5703125" style="51" customWidth="1"/>
    <col min="3612" max="3627" width="0" style="51" hidden="1" customWidth="1"/>
    <col min="3628" max="3628" width="13.42578125" style="51" customWidth="1"/>
    <col min="3629" max="3629" width="7.85546875" style="51" customWidth="1"/>
    <col min="3630" max="3645" width="0" style="51" hidden="1" customWidth="1"/>
    <col min="3646" max="3647" width="9.140625" style="51"/>
    <col min="3648" max="3648" width="11.5703125" style="51" customWidth="1"/>
    <col min="3649" max="3840" width="9.140625" style="51"/>
    <col min="3841" max="3841" width="7" style="51" customWidth="1"/>
    <col min="3842" max="3842" width="38.7109375" style="51" customWidth="1"/>
    <col min="3843" max="3843" width="12.85546875" style="51" customWidth="1"/>
    <col min="3844" max="3844" width="0" style="51" hidden="1" customWidth="1"/>
    <col min="3845" max="3845" width="12.85546875" style="51" customWidth="1"/>
    <col min="3846" max="3848" width="0" style="51" hidden="1" customWidth="1"/>
    <col min="3849" max="3849" width="8.85546875" style="51" customWidth="1"/>
    <col min="3850" max="3850" width="16.140625" style="51" customWidth="1"/>
    <col min="3851" max="3851" width="8.85546875" style="51" customWidth="1"/>
    <col min="3852" max="3865" width="0" style="51" hidden="1" customWidth="1"/>
    <col min="3866" max="3866" width="17.28515625" style="51" customWidth="1"/>
    <col min="3867" max="3867" width="9.5703125" style="51" customWidth="1"/>
    <col min="3868" max="3883" width="0" style="51" hidden="1" customWidth="1"/>
    <col min="3884" max="3884" width="13.42578125" style="51" customWidth="1"/>
    <col min="3885" max="3885" width="7.85546875" style="51" customWidth="1"/>
    <col min="3886" max="3901" width="0" style="51" hidden="1" customWidth="1"/>
    <col min="3902" max="3903" width="9.140625" style="51"/>
    <col min="3904" max="3904" width="11.5703125" style="51" customWidth="1"/>
    <col min="3905" max="4096" width="9.140625" style="51"/>
    <col min="4097" max="4097" width="7" style="51" customWidth="1"/>
    <col min="4098" max="4098" width="38.7109375" style="51" customWidth="1"/>
    <col min="4099" max="4099" width="12.85546875" style="51" customWidth="1"/>
    <col min="4100" max="4100" width="0" style="51" hidden="1" customWidth="1"/>
    <col min="4101" max="4101" width="12.85546875" style="51" customWidth="1"/>
    <col min="4102" max="4104" width="0" style="51" hidden="1" customWidth="1"/>
    <col min="4105" max="4105" width="8.85546875" style="51" customWidth="1"/>
    <col min="4106" max="4106" width="16.140625" style="51" customWidth="1"/>
    <col min="4107" max="4107" width="8.85546875" style="51" customWidth="1"/>
    <col min="4108" max="4121" width="0" style="51" hidden="1" customWidth="1"/>
    <col min="4122" max="4122" width="17.28515625" style="51" customWidth="1"/>
    <col min="4123" max="4123" width="9.5703125" style="51" customWidth="1"/>
    <col min="4124" max="4139" width="0" style="51" hidden="1" customWidth="1"/>
    <col min="4140" max="4140" width="13.42578125" style="51" customWidth="1"/>
    <col min="4141" max="4141" width="7.85546875" style="51" customWidth="1"/>
    <col min="4142" max="4157" width="0" style="51" hidden="1" customWidth="1"/>
    <col min="4158" max="4159" width="9.140625" style="51"/>
    <col min="4160" max="4160" width="11.5703125" style="51" customWidth="1"/>
    <col min="4161" max="4352" width="9.140625" style="51"/>
    <col min="4353" max="4353" width="7" style="51" customWidth="1"/>
    <col min="4354" max="4354" width="38.7109375" style="51" customWidth="1"/>
    <col min="4355" max="4355" width="12.85546875" style="51" customWidth="1"/>
    <col min="4356" max="4356" width="0" style="51" hidden="1" customWidth="1"/>
    <col min="4357" max="4357" width="12.85546875" style="51" customWidth="1"/>
    <col min="4358" max="4360" width="0" style="51" hidden="1" customWidth="1"/>
    <col min="4361" max="4361" width="8.85546875" style="51" customWidth="1"/>
    <col min="4362" max="4362" width="16.140625" style="51" customWidth="1"/>
    <col min="4363" max="4363" width="8.85546875" style="51" customWidth="1"/>
    <col min="4364" max="4377" width="0" style="51" hidden="1" customWidth="1"/>
    <col min="4378" max="4378" width="17.28515625" style="51" customWidth="1"/>
    <col min="4379" max="4379" width="9.5703125" style="51" customWidth="1"/>
    <col min="4380" max="4395" width="0" style="51" hidden="1" customWidth="1"/>
    <col min="4396" max="4396" width="13.42578125" style="51" customWidth="1"/>
    <col min="4397" max="4397" width="7.85546875" style="51" customWidth="1"/>
    <col min="4398" max="4413" width="0" style="51" hidden="1" customWidth="1"/>
    <col min="4414" max="4415" width="9.140625" style="51"/>
    <col min="4416" max="4416" width="11.5703125" style="51" customWidth="1"/>
    <col min="4417" max="4608" width="9.140625" style="51"/>
    <col min="4609" max="4609" width="7" style="51" customWidth="1"/>
    <col min="4610" max="4610" width="38.7109375" style="51" customWidth="1"/>
    <col min="4611" max="4611" width="12.85546875" style="51" customWidth="1"/>
    <col min="4612" max="4612" width="0" style="51" hidden="1" customWidth="1"/>
    <col min="4613" max="4613" width="12.85546875" style="51" customWidth="1"/>
    <col min="4614" max="4616" width="0" style="51" hidden="1" customWidth="1"/>
    <col min="4617" max="4617" width="8.85546875" style="51" customWidth="1"/>
    <col min="4618" max="4618" width="16.140625" style="51" customWidth="1"/>
    <col min="4619" max="4619" width="8.85546875" style="51" customWidth="1"/>
    <col min="4620" max="4633" width="0" style="51" hidden="1" customWidth="1"/>
    <col min="4634" max="4634" width="17.28515625" style="51" customWidth="1"/>
    <col min="4635" max="4635" width="9.5703125" style="51" customWidth="1"/>
    <col min="4636" max="4651" width="0" style="51" hidden="1" customWidth="1"/>
    <col min="4652" max="4652" width="13.42578125" style="51" customWidth="1"/>
    <col min="4653" max="4653" width="7.85546875" style="51" customWidth="1"/>
    <col min="4654" max="4669" width="0" style="51" hidden="1" customWidth="1"/>
    <col min="4670" max="4671" width="9.140625" style="51"/>
    <col min="4672" max="4672" width="11.5703125" style="51" customWidth="1"/>
    <col min="4673" max="4864" width="9.140625" style="51"/>
    <col min="4865" max="4865" width="7" style="51" customWidth="1"/>
    <col min="4866" max="4866" width="38.7109375" style="51" customWidth="1"/>
    <col min="4867" max="4867" width="12.85546875" style="51" customWidth="1"/>
    <col min="4868" max="4868" width="0" style="51" hidden="1" customWidth="1"/>
    <col min="4869" max="4869" width="12.85546875" style="51" customWidth="1"/>
    <col min="4870" max="4872" width="0" style="51" hidden="1" customWidth="1"/>
    <col min="4873" max="4873" width="8.85546875" style="51" customWidth="1"/>
    <col min="4874" max="4874" width="16.140625" style="51" customWidth="1"/>
    <col min="4875" max="4875" width="8.85546875" style="51" customWidth="1"/>
    <col min="4876" max="4889" width="0" style="51" hidden="1" customWidth="1"/>
    <col min="4890" max="4890" width="17.28515625" style="51" customWidth="1"/>
    <col min="4891" max="4891" width="9.5703125" style="51" customWidth="1"/>
    <col min="4892" max="4907" width="0" style="51" hidden="1" customWidth="1"/>
    <col min="4908" max="4908" width="13.42578125" style="51" customWidth="1"/>
    <col min="4909" max="4909" width="7.85546875" style="51" customWidth="1"/>
    <col min="4910" max="4925" width="0" style="51" hidden="1" customWidth="1"/>
    <col min="4926" max="4927" width="9.140625" style="51"/>
    <col min="4928" max="4928" width="11.5703125" style="51" customWidth="1"/>
    <col min="4929" max="5120" width="9.140625" style="51"/>
    <col min="5121" max="5121" width="7" style="51" customWidth="1"/>
    <col min="5122" max="5122" width="38.7109375" style="51" customWidth="1"/>
    <col min="5123" max="5123" width="12.85546875" style="51" customWidth="1"/>
    <col min="5124" max="5124" width="0" style="51" hidden="1" customWidth="1"/>
    <col min="5125" max="5125" width="12.85546875" style="51" customWidth="1"/>
    <col min="5126" max="5128" width="0" style="51" hidden="1" customWidth="1"/>
    <col min="5129" max="5129" width="8.85546875" style="51" customWidth="1"/>
    <col min="5130" max="5130" width="16.140625" style="51" customWidth="1"/>
    <col min="5131" max="5131" width="8.85546875" style="51" customWidth="1"/>
    <col min="5132" max="5145" width="0" style="51" hidden="1" customWidth="1"/>
    <col min="5146" max="5146" width="17.28515625" style="51" customWidth="1"/>
    <col min="5147" max="5147" width="9.5703125" style="51" customWidth="1"/>
    <col min="5148" max="5163" width="0" style="51" hidden="1" customWidth="1"/>
    <col min="5164" max="5164" width="13.42578125" style="51" customWidth="1"/>
    <col min="5165" max="5165" width="7.85546875" style="51" customWidth="1"/>
    <col min="5166" max="5181" width="0" style="51" hidden="1" customWidth="1"/>
    <col min="5182" max="5183" width="9.140625" style="51"/>
    <col min="5184" max="5184" width="11.5703125" style="51" customWidth="1"/>
    <col min="5185" max="5376" width="9.140625" style="51"/>
    <col min="5377" max="5377" width="7" style="51" customWidth="1"/>
    <col min="5378" max="5378" width="38.7109375" style="51" customWidth="1"/>
    <col min="5379" max="5379" width="12.85546875" style="51" customWidth="1"/>
    <col min="5380" max="5380" width="0" style="51" hidden="1" customWidth="1"/>
    <col min="5381" max="5381" width="12.85546875" style="51" customWidth="1"/>
    <col min="5382" max="5384" width="0" style="51" hidden="1" customWidth="1"/>
    <col min="5385" max="5385" width="8.85546875" style="51" customWidth="1"/>
    <col min="5386" max="5386" width="16.140625" style="51" customWidth="1"/>
    <col min="5387" max="5387" width="8.85546875" style="51" customWidth="1"/>
    <col min="5388" max="5401" width="0" style="51" hidden="1" customWidth="1"/>
    <col min="5402" max="5402" width="17.28515625" style="51" customWidth="1"/>
    <col min="5403" max="5403" width="9.5703125" style="51" customWidth="1"/>
    <col min="5404" max="5419" width="0" style="51" hidden="1" customWidth="1"/>
    <col min="5420" max="5420" width="13.42578125" style="51" customWidth="1"/>
    <col min="5421" max="5421" width="7.85546875" style="51" customWidth="1"/>
    <col min="5422" max="5437" width="0" style="51" hidden="1" customWidth="1"/>
    <col min="5438" max="5439" width="9.140625" style="51"/>
    <col min="5440" max="5440" width="11.5703125" style="51" customWidth="1"/>
    <col min="5441" max="5632" width="9.140625" style="51"/>
    <col min="5633" max="5633" width="7" style="51" customWidth="1"/>
    <col min="5634" max="5634" width="38.7109375" style="51" customWidth="1"/>
    <col min="5635" max="5635" width="12.85546875" style="51" customWidth="1"/>
    <col min="5636" max="5636" width="0" style="51" hidden="1" customWidth="1"/>
    <col min="5637" max="5637" width="12.85546875" style="51" customWidth="1"/>
    <col min="5638" max="5640" width="0" style="51" hidden="1" customWidth="1"/>
    <col min="5641" max="5641" width="8.85546875" style="51" customWidth="1"/>
    <col min="5642" max="5642" width="16.140625" style="51" customWidth="1"/>
    <col min="5643" max="5643" width="8.85546875" style="51" customWidth="1"/>
    <col min="5644" max="5657" width="0" style="51" hidden="1" customWidth="1"/>
    <col min="5658" max="5658" width="17.28515625" style="51" customWidth="1"/>
    <col min="5659" max="5659" width="9.5703125" style="51" customWidth="1"/>
    <col min="5660" max="5675" width="0" style="51" hidden="1" customWidth="1"/>
    <col min="5676" max="5676" width="13.42578125" style="51" customWidth="1"/>
    <col min="5677" max="5677" width="7.85546875" style="51" customWidth="1"/>
    <col min="5678" max="5693" width="0" style="51" hidden="1" customWidth="1"/>
    <col min="5694" max="5695" width="9.140625" style="51"/>
    <col min="5696" max="5696" width="11.5703125" style="51" customWidth="1"/>
    <col min="5697" max="5888" width="9.140625" style="51"/>
    <col min="5889" max="5889" width="7" style="51" customWidth="1"/>
    <col min="5890" max="5890" width="38.7109375" style="51" customWidth="1"/>
    <col min="5891" max="5891" width="12.85546875" style="51" customWidth="1"/>
    <col min="5892" max="5892" width="0" style="51" hidden="1" customWidth="1"/>
    <col min="5893" max="5893" width="12.85546875" style="51" customWidth="1"/>
    <col min="5894" max="5896" width="0" style="51" hidden="1" customWidth="1"/>
    <col min="5897" max="5897" width="8.85546875" style="51" customWidth="1"/>
    <col min="5898" max="5898" width="16.140625" style="51" customWidth="1"/>
    <col min="5899" max="5899" width="8.85546875" style="51" customWidth="1"/>
    <col min="5900" max="5913" width="0" style="51" hidden="1" customWidth="1"/>
    <col min="5914" max="5914" width="17.28515625" style="51" customWidth="1"/>
    <col min="5915" max="5915" width="9.5703125" style="51" customWidth="1"/>
    <col min="5916" max="5931" width="0" style="51" hidden="1" customWidth="1"/>
    <col min="5932" max="5932" width="13.42578125" style="51" customWidth="1"/>
    <col min="5933" max="5933" width="7.85546875" style="51" customWidth="1"/>
    <col min="5934" max="5949" width="0" style="51" hidden="1" customWidth="1"/>
    <col min="5950" max="5951" width="9.140625" style="51"/>
    <col min="5952" max="5952" width="11.5703125" style="51" customWidth="1"/>
    <col min="5953" max="6144" width="9.140625" style="51"/>
    <col min="6145" max="6145" width="7" style="51" customWidth="1"/>
    <col min="6146" max="6146" width="38.7109375" style="51" customWidth="1"/>
    <col min="6147" max="6147" width="12.85546875" style="51" customWidth="1"/>
    <col min="6148" max="6148" width="0" style="51" hidden="1" customWidth="1"/>
    <col min="6149" max="6149" width="12.85546875" style="51" customWidth="1"/>
    <col min="6150" max="6152" width="0" style="51" hidden="1" customWidth="1"/>
    <col min="6153" max="6153" width="8.85546875" style="51" customWidth="1"/>
    <col min="6154" max="6154" width="16.140625" style="51" customWidth="1"/>
    <col min="6155" max="6155" width="8.85546875" style="51" customWidth="1"/>
    <col min="6156" max="6169" width="0" style="51" hidden="1" customWidth="1"/>
    <col min="6170" max="6170" width="17.28515625" style="51" customWidth="1"/>
    <col min="6171" max="6171" width="9.5703125" style="51" customWidth="1"/>
    <col min="6172" max="6187" width="0" style="51" hidden="1" customWidth="1"/>
    <col min="6188" max="6188" width="13.42578125" style="51" customWidth="1"/>
    <col min="6189" max="6189" width="7.85546875" style="51" customWidth="1"/>
    <col min="6190" max="6205" width="0" style="51" hidden="1" customWidth="1"/>
    <col min="6206" max="6207" width="9.140625" style="51"/>
    <col min="6208" max="6208" width="11.5703125" style="51" customWidth="1"/>
    <col min="6209" max="6400" width="9.140625" style="51"/>
    <col min="6401" max="6401" width="7" style="51" customWidth="1"/>
    <col min="6402" max="6402" width="38.7109375" style="51" customWidth="1"/>
    <col min="6403" max="6403" width="12.85546875" style="51" customWidth="1"/>
    <col min="6404" max="6404" width="0" style="51" hidden="1" customWidth="1"/>
    <col min="6405" max="6405" width="12.85546875" style="51" customWidth="1"/>
    <col min="6406" max="6408" width="0" style="51" hidden="1" customWidth="1"/>
    <col min="6409" max="6409" width="8.85546875" style="51" customWidth="1"/>
    <col min="6410" max="6410" width="16.140625" style="51" customWidth="1"/>
    <col min="6411" max="6411" width="8.85546875" style="51" customWidth="1"/>
    <col min="6412" max="6425" width="0" style="51" hidden="1" customWidth="1"/>
    <col min="6426" max="6426" width="17.28515625" style="51" customWidth="1"/>
    <col min="6427" max="6427" width="9.5703125" style="51" customWidth="1"/>
    <col min="6428" max="6443" width="0" style="51" hidden="1" customWidth="1"/>
    <col min="6444" max="6444" width="13.42578125" style="51" customWidth="1"/>
    <col min="6445" max="6445" width="7.85546875" style="51" customWidth="1"/>
    <col min="6446" max="6461" width="0" style="51" hidden="1" customWidth="1"/>
    <col min="6462" max="6463" width="9.140625" style="51"/>
    <col min="6464" max="6464" width="11.5703125" style="51" customWidth="1"/>
    <col min="6465" max="6656" width="9.140625" style="51"/>
    <col min="6657" max="6657" width="7" style="51" customWidth="1"/>
    <col min="6658" max="6658" width="38.7109375" style="51" customWidth="1"/>
    <col min="6659" max="6659" width="12.85546875" style="51" customWidth="1"/>
    <col min="6660" max="6660" width="0" style="51" hidden="1" customWidth="1"/>
    <col min="6661" max="6661" width="12.85546875" style="51" customWidth="1"/>
    <col min="6662" max="6664" width="0" style="51" hidden="1" customWidth="1"/>
    <col min="6665" max="6665" width="8.85546875" style="51" customWidth="1"/>
    <col min="6666" max="6666" width="16.140625" style="51" customWidth="1"/>
    <col min="6667" max="6667" width="8.85546875" style="51" customWidth="1"/>
    <col min="6668" max="6681" width="0" style="51" hidden="1" customWidth="1"/>
    <col min="6682" max="6682" width="17.28515625" style="51" customWidth="1"/>
    <col min="6683" max="6683" width="9.5703125" style="51" customWidth="1"/>
    <col min="6684" max="6699" width="0" style="51" hidden="1" customWidth="1"/>
    <col min="6700" max="6700" width="13.42578125" style="51" customWidth="1"/>
    <col min="6701" max="6701" width="7.85546875" style="51" customWidth="1"/>
    <col min="6702" max="6717" width="0" style="51" hidden="1" customWidth="1"/>
    <col min="6718" max="6719" width="9.140625" style="51"/>
    <col min="6720" max="6720" width="11.5703125" style="51" customWidth="1"/>
    <col min="6721" max="6912" width="9.140625" style="51"/>
    <col min="6913" max="6913" width="7" style="51" customWidth="1"/>
    <col min="6914" max="6914" width="38.7109375" style="51" customWidth="1"/>
    <col min="6915" max="6915" width="12.85546875" style="51" customWidth="1"/>
    <col min="6916" max="6916" width="0" style="51" hidden="1" customWidth="1"/>
    <col min="6917" max="6917" width="12.85546875" style="51" customWidth="1"/>
    <col min="6918" max="6920" width="0" style="51" hidden="1" customWidth="1"/>
    <col min="6921" max="6921" width="8.85546875" style="51" customWidth="1"/>
    <col min="6922" max="6922" width="16.140625" style="51" customWidth="1"/>
    <col min="6923" max="6923" width="8.85546875" style="51" customWidth="1"/>
    <col min="6924" max="6937" width="0" style="51" hidden="1" customWidth="1"/>
    <col min="6938" max="6938" width="17.28515625" style="51" customWidth="1"/>
    <col min="6939" max="6939" width="9.5703125" style="51" customWidth="1"/>
    <col min="6940" max="6955" width="0" style="51" hidden="1" customWidth="1"/>
    <col min="6956" max="6956" width="13.42578125" style="51" customWidth="1"/>
    <col min="6957" max="6957" width="7.85546875" style="51" customWidth="1"/>
    <col min="6958" max="6973" width="0" style="51" hidden="1" customWidth="1"/>
    <col min="6974" max="6975" width="9.140625" style="51"/>
    <col min="6976" max="6976" width="11.5703125" style="51" customWidth="1"/>
    <col min="6977" max="7168" width="9.140625" style="51"/>
    <col min="7169" max="7169" width="7" style="51" customWidth="1"/>
    <col min="7170" max="7170" width="38.7109375" style="51" customWidth="1"/>
    <col min="7171" max="7171" width="12.85546875" style="51" customWidth="1"/>
    <col min="7172" max="7172" width="0" style="51" hidden="1" customWidth="1"/>
    <col min="7173" max="7173" width="12.85546875" style="51" customWidth="1"/>
    <col min="7174" max="7176" width="0" style="51" hidden="1" customWidth="1"/>
    <col min="7177" max="7177" width="8.85546875" style="51" customWidth="1"/>
    <col min="7178" max="7178" width="16.140625" style="51" customWidth="1"/>
    <col min="7179" max="7179" width="8.85546875" style="51" customWidth="1"/>
    <col min="7180" max="7193" width="0" style="51" hidden="1" customWidth="1"/>
    <col min="7194" max="7194" width="17.28515625" style="51" customWidth="1"/>
    <col min="7195" max="7195" width="9.5703125" style="51" customWidth="1"/>
    <col min="7196" max="7211" width="0" style="51" hidden="1" customWidth="1"/>
    <col min="7212" max="7212" width="13.42578125" style="51" customWidth="1"/>
    <col min="7213" max="7213" width="7.85546875" style="51" customWidth="1"/>
    <col min="7214" max="7229" width="0" style="51" hidden="1" customWidth="1"/>
    <col min="7230" max="7231" width="9.140625" style="51"/>
    <col min="7232" max="7232" width="11.5703125" style="51" customWidth="1"/>
    <col min="7233" max="7424" width="9.140625" style="51"/>
    <col min="7425" max="7425" width="7" style="51" customWidth="1"/>
    <col min="7426" max="7426" width="38.7109375" style="51" customWidth="1"/>
    <col min="7427" max="7427" width="12.85546875" style="51" customWidth="1"/>
    <col min="7428" max="7428" width="0" style="51" hidden="1" customWidth="1"/>
    <col min="7429" max="7429" width="12.85546875" style="51" customWidth="1"/>
    <col min="7430" max="7432" width="0" style="51" hidden="1" customWidth="1"/>
    <col min="7433" max="7433" width="8.85546875" style="51" customWidth="1"/>
    <col min="7434" max="7434" width="16.140625" style="51" customWidth="1"/>
    <col min="7435" max="7435" width="8.85546875" style="51" customWidth="1"/>
    <col min="7436" max="7449" width="0" style="51" hidden="1" customWidth="1"/>
    <col min="7450" max="7450" width="17.28515625" style="51" customWidth="1"/>
    <col min="7451" max="7451" width="9.5703125" style="51" customWidth="1"/>
    <col min="7452" max="7467" width="0" style="51" hidden="1" customWidth="1"/>
    <col min="7468" max="7468" width="13.42578125" style="51" customWidth="1"/>
    <col min="7469" max="7469" width="7.85546875" style="51" customWidth="1"/>
    <col min="7470" max="7485" width="0" style="51" hidden="1" customWidth="1"/>
    <col min="7486" max="7487" width="9.140625" style="51"/>
    <col min="7488" max="7488" width="11.5703125" style="51" customWidth="1"/>
    <col min="7489" max="7680" width="9.140625" style="51"/>
    <col min="7681" max="7681" width="7" style="51" customWidth="1"/>
    <col min="7682" max="7682" width="38.7109375" style="51" customWidth="1"/>
    <col min="7683" max="7683" width="12.85546875" style="51" customWidth="1"/>
    <col min="7684" max="7684" width="0" style="51" hidden="1" customWidth="1"/>
    <col min="7685" max="7685" width="12.85546875" style="51" customWidth="1"/>
    <col min="7686" max="7688" width="0" style="51" hidden="1" customWidth="1"/>
    <col min="7689" max="7689" width="8.85546875" style="51" customWidth="1"/>
    <col min="7690" max="7690" width="16.140625" style="51" customWidth="1"/>
    <col min="7691" max="7691" width="8.85546875" style="51" customWidth="1"/>
    <col min="7692" max="7705" width="0" style="51" hidden="1" customWidth="1"/>
    <col min="7706" max="7706" width="17.28515625" style="51" customWidth="1"/>
    <col min="7707" max="7707" width="9.5703125" style="51" customWidth="1"/>
    <col min="7708" max="7723" width="0" style="51" hidden="1" customWidth="1"/>
    <col min="7724" max="7724" width="13.42578125" style="51" customWidth="1"/>
    <col min="7725" max="7725" width="7.85546875" style="51" customWidth="1"/>
    <col min="7726" max="7741" width="0" style="51" hidden="1" customWidth="1"/>
    <col min="7742" max="7743" width="9.140625" style="51"/>
    <col min="7744" max="7744" width="11.5703125" style="51" customWidth="1"/>
    <col min="7745" max="7936" width="9.140625" style="51"/>
    <col min="7937" max="7937" width="7" style="51" customWidth="1"/>
    <col min="7938" max="7938" width="38.7109375" style="51" customWidth="1"/>
    <col min="7939" max="7939" width="12.85546875" style="51" customWidth="1"/>
    <col min="7940" max="7940" width="0" style="51" hidden="1" customWidth="1"/>
    <col min="7941" max="7941" width="12.85546875" style="51" customWidth="1"/>
    <col min="7942" max="7944" width="0" style="51" hidden="1" customWidth="1"/>
    <col min="7945" max="7945" width="8.85546875" style="51" customWidth="1"/>
    <col min="7946" max="7946" width="16.140625" style="51" customWidth="1"/>
    <col min="7947" max="7947" width="8.85546875" style="51" customWidth="1"/>
    <col min="7948" max="7961" width="0" style="51" hidden="1" customWidth="1"/>
    <col min="7962" max="7962" width="17.28515625" style="51" customWidth="1"/>
    <col min="7963" max="7963" width="9.5703125" style="51" customWidth="1"/>
    <col min="7964" max="7979" width="0" style="51" hidden="1" customWidth="1"/>
    <col min="7980" max="7980" width="13.42578125" style="51" customWidth="1"/>
    <col min="7981" max="7981" width="7.85546875" style="51" customWidth="1"/>
    <col min="7982" max="7997" width="0" style="51" hidden="1" customWidth="1"/>
    <col min="7998" max="7999" width="9.140625" style="51"/>
    <col min="8000" max="8000" width="11.5703125" style="51" customWidth="1"/>
    <col min="8001" max="8192" width="9.140625" style="51"/>
    <col min="8193" max="8193" width="7" style="51" customWidth="1"/>
    <col min="8194" max="8194" width="38.7109375" style="51" customWidth="1"/>
    <col min="8195" max="8195" width="12.85546875" style="51" customWidth="1"/>
    <col min="8196" max="8196" width="0" style="51" hidden="1" customWidth="1"/>
    <col min="8197" max="8197" width="12.85546875" style="51" customWidth="1"/>
    <col min="8198" max="8200" width="0" style="51" hidden="1" customWidth="1"/>
    <col min="8201" max="8201" width="8.85546875" style="51" customWidth="1"/>
    <col min="8202" max="8202" width="16.140625" style="51" customWidth="1"/>
    <col min="8203" max="8203" width="8.85546875" style="51" customWidth="1"/>
    <col min="8204" max="8217" width="0" style="51" hidden="1" customWidth="1"/>
    <col min="8218" max="8218" width="17.28515625" style="51" customWidth="1"/>
    <col min="8219" max="8219" width="9.5703125" style="51" customWidth="1"/>
    <col min="8220" max="8235" width="0" style="51" hidden="1" customWidth="1"/>
    <col min="8236" max="8236" width="13.42578125" style="51" customWidth="1"/>
    <col min="8237" max="8237" width="7.85546875" style="51" customWidth="1"/>
    <col min="8238" max="8253" width="0" style="51" hidden="1" customWidth="1"/>
    <col min="8254" max="8255" width="9.140625" style="51"/>
    <col min="8256" max="8256" width="11.5703125" style="51" customWidth="1"/>
    <col min="8257" max="8448" width="9.140625" style="51"/>
    <col min="8449" max="8449" width="7" style="51" customWidth="1"/>
    <col min="8450" max="8450" width="38.7109375" style="51" customWidth="1"/>
    <col min="8451" max="8451" width="12.85546875" style="51" customWidth="1"/>
    <col min="8452" max="8452" width="0" style="51" hidden="1" customWidth="1"/>
    <col min="8453" max="8453" width="12.85546875" style="51" customWidth="1"/>
    <col min="8454" max="8456" width="0" style="51" hidden="1" customWidth="1"/>
    <col min="8457" max="8457" width="8.85546875" style="51" customWidth="1"/>
    <col min="8458" max="8458" width="16.140625" style="51" customWidth="1"/>
    <col min="8459" max="8459" width="8.85546875" style="51" customWidth="1"/>
    <col min="8460" max="8473" width="0" style="51" hidden="1" customWidth="1"/>
    <col min="8474" max="8474" width="17.28515625" style="51" customWidth="1"/>
    <col min="8475" max="8475" width="9.5703125" style="51" customWidth="1"/>
    <col min="8476" max="8491" width="0" style="51" hidden="1" customWidth="1"/>
    <col min="8492" max="8492" width="13.42578125" style="51" customWidth="1"/>
    <col min="8493" max="8493" width="7.85546875" style="51" customWidth="1"/>
    <col min="8494" max="8509" width="0" style="51" hidden="1" customWidth="1"/>
    <col min="8510" max="8511" width="9.140625" style="51"/>
    <col min="8512" max="8512" width="11.5703125" style="51" customWidth="1"/>
    <col min="8513" max="8704" width="9.140625" style="51"/>
    <col min="8705" max="8705" width="7" style="51" customWidth="1"/>
    <col min="8706" max="8706" width="38.7109375" style="51" customWidth="1"/>
    <col min="8707" max="8707" width="12.85546875" style="51" customWidth="1"/>
    <col min="8708" max="8708" width="0" style="51" hidden="1" customWidth="1"/>
    <col min="8709" max="8709" width="12.85546875" style="51" customWidth="1"/>
    <col min="8710" max="8712" width="0" style="51" hidden="1" customWidth="1"/>
    <col min="8713" max="8713" width="8.85546875" style="51" customWidth="1"/>
    <col min="8714" max="8714" width="16.140625" style="51" customWidth="1"/>
    <col min="8715" max="8715" width="8.85546875" style="51" customWidth="1"/>
    <col min="8716" max="8729" width="0" style="51" hidden="1" customWidth="1"/>
    <col min="8730" max="8730" width="17.28515625" style="51" customWidth="1"/>
    <col min="8731" max="8731" width="9.5703125" style="51" customWidth="1"/>
    <col min="8732" max="8747" width="0" style="51" hidden="1" customWidth="1"/>
    <col min="8748" max="8748" width="13.42578125" style="51" customWidth="1"/>
    <col min="8749" max="8749" width="7.85546875" style="51" customWidth="1"/>
    <col min="8750" max="8765" width="0" style="51" hidden="1" customWidth="1"/>
    <col min="8766" max="8767" width="9.140625" style="51"/>
    <col min="8768" max="8768" width="11.5703125" style="51" customWidth="1"/>
    <col min="8769" max="8960" width="9.140625" style="51"/>
    <col min="8961" max="8961" width="7" style="51" customWidth="1"/>
    <col min="8962" max="8962" width="38.7109375" style="51" customWidth="1"/>
    <col min="8963" max="8963" width="12.85546875" style="51" customWidth="1"/>
    <col min="8964" max="8964" width="0" style="51" hidden="1" customWidth="1"/>
    <col min="8965" max="8965" width="12.85546875" style="51" customWidth="1"/>
    <col min="8966" max="8968" width="0" style="51" hidden="1" customWidth="1"/>
    <col min="8969" max="8969" width="8.85546875" style="51" customWidth="1"/>
    <col min="8970" max="8970" width="16.140625" style="51" customWidth="1"/>
    <col min="8971" max="8971" width="8.85546875" style="51" customWidth="1"/>
    <col min="8972" max="8985" width="0" style="51" hidden="1" customWidth="1"/>
    <col min="8986" max="8986" width="17.28515625" style="51" customWidth="1"/>
    <col min="8987" max="8987" width="9.5703125" style="51" customWidth="1"/>
    <col min="8988" max="9003" width="0" style="51" hidden="1" customWidth="1"/>
    <col min="9004" max="9004" width="13.42578125" style="51" customWidth="1"/>
    <col min="9005" max="9005" width="7.85546875" style="51" customWidth="1"/>
    <col min="9006" max="9021" width="0" style="51" hidden="1" customWidth="1"/>
    <col min="9022" max="9023" width="9.140625" style="51"/>
    <col min="9024" max="9024" width="11.5703125" style="51" customWidth="1"/>
    <col min="9025" max="9216" width="9.140625" style="51"/>
    <col min="9217" max="9217" width="7" style="51" customWidth="1"/>
    <col min="9218" max="9218" width="38.7109375" style="51" customWidth="1"/>
    <col min="9219" max="9219" width="12.85546875" style="51" customWidth="1"/>
    <col min="9220" max="9220" width="0" style="51" hidden="1" customWidth="1"/>
    <col min="9221" max="9221" width="12.85546875" style="51" customWidth="1"/>
    <col min="9222" max="9224" width="0" style="51" hidden="1" customWidth="1"/>
    <col min="9225" max="9225" width="8.85546875" style="51" customWidth="1"/>
    <col min="9226" max="9226" width="16.140625" style="51" customWidth="1"/>
    <col min="9227" max="9227" width="8.85546875" style="51" customWidth="1"/>
    <col min="9228" max="9241" width="0" style="51" hidden="1" customWidth="1"/>
    <col min="9242" max="9242" width="17.28515625" style="51" customWidth="1"/>
    <col min="9243" max="9243" width="9.5703125" style="51" customWidth="1"/>
    <col min="9244" max="9259" width="0" style="51" hidden="1" customWidth="1"/>
    <col min="9260" max="9260" width="13.42578125" style="51" customWidth="1"/>
    <col min="9261" max="9261" width="7.85546875" style="51" customWidth="1"/>
    <col min="9262" max="9277" width="0" style="51" hidden="1" customWidth="1"/>
    <col min="9278" max="9279" width="9.140625" style="51"/>
    <col min="9280" max="9280" width="11.5703125" style="51" customWidth="1"/>
    <col min="9281" max="9472" width="9.140625" style="51"/>
    <col min="9473" max="9473" width="7" style="51" customWidth="1"/>
    <col min="9474" max="9474" width="38.7109375" style="51" customWidth="1"/>
    <col min="9475" max="9475" width="12.85546875" style="51" customWidth="1"/>
    <col min="9476" max="9476" width="0" style="51" hidden="1" customWidth="1"/>
    <col min="9477" max="9477" width="12.85546875" style="51" customWidth="1"/>
    <col min="9478" max="9480" width="0" style="51" hidden="1" customWidth="1"/>
    <col min="9481" max="9481" width="8.85546875" style="51" customWidth="1"/>
    <col min="9482" max="9482" width="16.140625" style="51" customWidth="1"/>
    <col min="9483" max="9483" width="8.85546875" style="51" customWidth="1"/>
    <col min="9484" max="9497" width="0" style="51" hidden="1" customWidth="1"/>
    <col min="9498" max="9498" width="17.28515625" style="51" customWidth="1"/>
    <col min="9499" max="9499" width="9.5703125" style="51" customWidth="1"/>
    <col min="9500" max="9515" width="0" style="51" hidden="1" customWidth="1"/>
    <col min="9516" max="9516" width="13.42578125" style="51" customWidth="1"/>
    <col min="9517" max="9517" width="7.85546875" style="51" customWidth="1"/>
    <col min="9518" max="9533" width="0" style="51" hidden="1" customWidth="1"/>
    <col min="9534" max="9535" width="9.140625" style="51"/>
    <col min="9536" max="9536" width="11.5703125" style="51" customWidth="1"/>
    <col min="9537" max="9728" width="9.140625" style="51"/>
    <col min="9729" max="9729" width="7" style="51" customWidth="1"/>
    <col min="9730" max="9730" width="38.7109375" style="51" customWidth="1"/>
    <col min="9731" max="9731" width="12.85546875" style="51" customWidth="1"/>
    <col min="9732" max="9732" width="0" style="51" hidden="1" customWidth="1"/>
    <col min="9733" max="9733" width="12.85546875" style="51" customWidth="1"/>
    <col min="9734" max="9736" width="0" style="51" hidden="1" customWidth="1"/>
    <col min="9737" max="9737" width="8.85546875" style="51" customWidth="1"/>
    <col min="9738" max="9738" width="16.140625" style="51" customWidth="1"/>
    <col min="9739" max="9739" width="8.85546875" style="51" customWidth="1"/>
    <col min="9740" max="9753" width="0" style="51" hidden="1" customWidth="1"/>
    <col min="9754" max="9754" width="17.28515625" style="51" customWidth="1"/>
    <col min="9755" max="9755" width="9.5703125" style="51" customWidth="1"/>
    <col min="9756" max="9771" width="0" style="51" hidden="1" customWidth="1"/>
    <col min="9772" max="9772" width="13.42578125" style="51" customWidth="1"/>
    <col min="9773" max="9773" width="7.85546875" style="51" customWidth="1"/>
    <col min="9774" max="9789" width="0" style="51" hidden="1" customWidth="1"/>
    <col min="9790" max="9791" width="9.140625" style="51"/>
    <col min="9792" max="9792" width="11.5703125" style="51" customWidth="1"/>
    <col min="9793" max="9984" width="9.140625" style="51"/>
    <col min="9985" max="9985" width="7" style="51" customWidth="1"/>
    <col min="9986" max="9986" width="38.7109375" style="51" customWidth="1"/>
    <col min="9987" max="9987" width="12.85546875" style="51" customWidth="1"/>
    <col min="9988" max="9988" width="0" style="51" hidden="1" customWidth="1"/>
    <col min="9989" max="9989" width="12.85546875" style="51" customWidth="1"/>
    <col min="9990" max="9992" width="0" style="51" hidden="1" customWidth="1"/>
    <col min="9993" max="9993" width="8.85546875" style="51" customWidth="1"/>
    <col min="9994" max="9994" width="16.140625" style="51" customWidth="1"/>
    <col min="9995" max="9995" width="8.85546875" style="51" customWidth="1"/>
    <col min="9996" max="10009" width="0" style="51" hidden="1" customWidth="1"/>
    <col min="10010" max="10010" width="17.28515625" style="51" customWidth="1"/>
    <col min="10011" max="10011" width="9.5703125" style="51" customWidth="1"/>
    <col min="10012" max="10027" width="0" style="51" hidden="1" customWidth="1"/>
    <col min="10028" max="10028" width="13.42578125" style="51" customWidth="1"/>
    <col min="10029" max="10029" width="7.85546875" style="51" customWidth="1"/>
    <col min="10030" max="10045" width="0" style="51" hidden="1" customWidth="1"/>
    <col min="10046" max="10047" width="9.140625" style="51"/>
    <col min="10048" max="10048" width="11.5703125" style="51" customWidth="1"/>
    <col min="10049" max="10240" width="9.140625" style="51"/>
    <col min="10241" max="10241" width="7" style="51" customWidth="1"/>
    <col min="10242" max="10242" width="38.7109375" style="51" customWidth="1"/>
    <col min="10243" max="10243" width="12.85546875" style="51" customWidth="1"/>
    <col min="10244" max="10244" width="0" style="51" hidden="1" customWidth="1"/>
    <col min="10245" max="10245" width="12.85546875" style="51" customWidth="1"/>
    <col min="10246" max="10248" width="0" style="51" hidden="1" customWidth="1"/>
    <col min="10249" max="10249" width="8.85546875" style="51" customWidth="1"/>
    <col min="10250" max="10250" width="16.140625" style="51" customWidth="1"/>
    <col min="10251" max="10251" width="8.85546875" style="51" customWidth="1"/>
    <col min="10252" max="10265" width="0" style="51" hidden="1" customWidth="1"/>
    <col min="10266" max="10266" width="17.28515625" style="51" customWidth="1"/>
    <col min="10267" max="10267" width="9.5703125" style="51" customWidth="1"/>
    <col min="10268" max="10283" width="0" style="51" hidden="1" customWidth="1"/>
    <col min="10284" max="10284" width="13.42578125" style="51" customWidth="1"/>
    <col min="10285" max="10285" width="7.85546875" style="51" customWidth="1"/>
    <col min="10286" max="10301" width="0" style="51" hidden="1" customWidth="1"/>
    <col min="10302" max="10303" width="9.140625" style="51"/>
    <col min="10304" max="10304" width="11.5703125" style="51" customWidth="1"/>
    <col min="10305" max="10496" width="9.140625" style="51"/>
    <col min="10497" max="10497" width="7" style="51" customWidth="1"/>
    <col min="10498" max="10498" width="38.7109375" style="51" customWidth="1"/>
    <col min="10499" max="10499" width="12.85546875" style="51" customWidth="1"/>
    <col min="10500" max="10500" width="0" style="51" hidden="1" customWidth="1"/>
    <col min="10501" max="10501" width="12.85546875" style="51" customWidth="1"/>
    <col min="10502" max="10504" width="0" style="51" hidden="1" customWidth="1"/>
    <col min="10505" max="10505" width="8.85546875" style="51" customWidth="1"/>
    <col min="10506" max="10506" width="16.140625" style="51" customWidth="1"/>
    <col min="10507" max="10507" width="8.85546875" style="51" customWidth="1"/>
    <col min="10508" max="10521" width="0" style="51" hidden="1" customWidth="1"/>
    <col min="10522" max="10522" width="17.28515625" style="51" customWidth="1"/>
    <col min="10523" max="10523" width="9.5703125" style="51" customWidth="1"/>
    <col min="10524" max="10539" width="0" style="51" hidden="1" customWidth="1"/>
    <col min="10540" max="10540" width="13.42578125" style="51" customWidth="1"/>
    <col min="10541" max="10541" width="7.85546875" style="51" customWidth="1"/>
    <col min="10542" max="10557" width="0" style="51" hidden="1" customWidth="1"/>
    <col min="10558" max="10559" width="9.140625" style="51"/>
    <col min="10560" max="10560" width="11.5703125" style="51" customWidth="1"/>
    <col min="10561" max="10752" width="9.140625" style="51"/>
    <col min="10753" max="10753" width="7" style="51" customWidth="1"/>
    <col min="10754" max="10754" width="38.7109375" style="51" customWidth="1"/>
    <col min="10755" max="10755" width="12.85546875" style="51" customWidth="1"/>
    <col min="10756" max="10756" width="0" style="51" hidden="1" customWidth="1"/>
    <col min="10757" max="10757" width="12.85546875" style="51" customWidth="1"/>
    <col min="10758" max="10760" width="0" style="51" hidden="1" customWidth="1"/>
    <col min="10761" max="10761" width="8.85546875" style="51" customWidth="1"/>
    <col min="10762" max="10762" width="16.140625" style="51" customWidth="1"/>
    <col min="10763" max="10763" width="8.85546875" style="51" customWidth="1"/>
    <col min="10764" max="10777" width="0" style="51" hidden="1" customWidth="1"/>
    <col min="10778" max="10778" width="17.28515625" style="51" customWidth="1"/>
    <col min="10779" max="10779" width="9.5703125" style="51" customWidth="1"/>
    <col min="10780" max="10795" width="0" style="51" hidden="1" customWidth="1"/>
    <col min="10796" max="10796" width="13.42578125" style="51" customWidth="1"/>
    <col min="10797" max="10797" width="7.85546875" style="51" customWidth="1"/>
    <col min="10798" max="10813" width="0" style="51" hidden="1" customWidth="1"/>
    <col min="10814" max="10815" width="9.140625" style="51"/>
    <col min="10816" max="10816" width="11.5703125" style="51" customWidth="1"/>
    <col min="10817" max="11008" width="9.140625" style="51"/>
    <col min="11009" max="11009" width="7" style="51" customWidth="1"/>
    <col min="11010" max="11010" width="38.7109375" style="51" customWidth="1"/>
    <col min="11011" max="11011" width="12.85546875" style="51" customWidth="1"/>
    <col min="11012" max="11012" width="0" style="51" hidden="1" customWidth="1"/>
    <col min="11013" max="11013" width="12.85546875" style="51" customWidth="1"/>
    <col min="11014" max="11016" width="0" style="51" hidden="1" customWidth="1"/>
    <col min="11017" max="11017" width="8.85546875" style="51" customWidth="1"/>
    <col min="11018" max="11018" width="16.140625" style="51" customWidth="1"/>
    <col min="11019" max="11019" width="8.85546875" style="51" customWidth="1"/>
    <col min="11020" max="11033" width="0" style="51" hidden="1" customWidth="1"/>
    <col min="11034" max="11034" width="17.28515625" style="51" customWidth="1"/>
    <col min="11035" max="11035" width="9.5703125" style="51" customWidth="1"/>
    <col min="11036" max="11051" width="0" style="51" hidden="1" customWidth="1"/>
    <col min="11052" max="11052" width="13.42578125" style="51" customWidth="1"/>
    <col min="11053" max="11053" width="7.85546875" style="51" customWidth="1"/>
    <col min="11054" max="11069" width="0" style="51" hidden="1" customWidth="1"/>
    <col min="11070" max="11071" width="9.140625" style="51"/>
    <col min="11072" max="11072" width="11.5703125" style="51" customWidth="1"/>
    <col min="11073" max="11264" width="9.140625" style="51"/>
    <col min="11265" max="11265" width="7" style="51" customWidth="1"/>
    <col min="11266" max="11266" width="38.7109375" style="51" customWidth="1"/>
    <col min="11267" max="11267" width="12.85546875" style="51" customWidth="1"/>
    <col min="11268" max="11268" width="0" style="51" hidden="1" customWidth="1"/>
    <col min="11269" max="11269" width="12.85546875" style="51" customWidth="1"/>
    <col min="11270" max="11272" width="0" style="51" hidden="1" customWidth="1"/>
    <col min="11273" max="11273" width="8.85546875" style="51" customWidth="1"/>
    <col min="11274" max="11274" width="16.140625" style="51" customWidth="1"/>
    <col min="11275" max="11275" width="8.85546875" style="51" customWidth="1"/>
    <col min="11276" max="11289" width="0" style="51" hidden="1" customWidth="1"/>
    <col min="11290" max="11290" width="17.28515625" style="51" customWidth="1"/>
    <col min="11291" max="11291" width="9.5703125" style="51" customWidth="1"/>
    <col min="11292" max="11307" width="0" style="51" hidden="1" customWidth="1"/>
    <col min="11308" max="11308" width="13.42578125" style="51" customWidth="1"/>
    <col min="11309" max="11309" width="7.85546875" style="51" customWidth="1"/>
    <col min="11310" max="11325" width="0" style="51" hidden="1" customWidth="1"/>
    <col min="11326" max="11327" width="9.140625" style="51"/>
    <col min="11328" max="11328" width="11.5703125" style="51" customWidth="1"/>
    <col min="11329" max="11520" width="9.140625" style="51"/>
    <col min="11521" max="11521" width="7" style="51" customWidth="1"/>
    <col min="11522" max="11522" width="38.7109375" style="51" customWidth="1"/>
    <col min="11523" max="11523" width="12.85546875" style="51" customWidth="1"/>
    <col min="11524" max="11524" width="0" style="51" hidden="1" customWidth="1"/>
    <col min="11525" max="11525" width="12.85546875" style="51" customWidth="1"/>
    <col min="11526" max="11528" width="0" style="51" hidden="1" customWidth="1"/>
    <col min="11529" max="11529" width="8.85546875" style="51" customWidth="1"/>
    <col min="11530" max="11530" width="16.140625" style="51" customWidth="1"/>
    <col min="11531" max="11531" width="8.85546875" style="51" customWidth="1"/>
    <col min="11532" max="11545" width="0" style="51" hidden="1" customWidth="1"/>
    <col min="11546" max="11546" width="17.28515625" style="51" customWidth="1"/>
    <col min="11547" max="11547" width="9.5703125" style="51" customWidth="1"/>
    <col min="11548" max="11563" width="0" style="51" hidden="1" customWidth="1"/>
    <col min="11564" max="11564" width="13.42578125" style="51" customWidth="1"/>
    <col min="11565" max="11565" width="7.85546875" style="51" customWidth="1"/>
    <col min="11566" max="11581" width="0" style="51" hidden="1" customWidth="1"/>
    <col min="11582" max="11583" width="9.140625" style="51"/>
    <col min="11584" max="11584" width="11.5703125" style="51" customWidth="1"/>
    <col min="11585" max="11776" width="9.140625" style="51"/>
    <col min="11777" max="11777" width="7" style="51" customWidth="1"/>
    <col min="11778" max="11778" width="38.7109375" style="51" customWidth="1"/>
    <col min="11779" max="11779" width="12.85546875" style="51" customWidth="1"/>
    <col min="11780" max="11780" width="0" style="51" hidden="1" customWidth="1"/>
    <col min="11781" max="11781" width="12.85546875" style="51" customWidth="1"/>
    <col min="11782" max="11784" width="0" style="51" hidden="1" customWidth="1"/>
    <col min="11785" max="11785" width="8.85546875" style="51" customWidth="1"/>
    <col min="11786" max="11786" width="16.140625" style="51" customWidth="1"/>
    <col min="11787" max="11787" width="8.85546875" style="51" customWidth="1"/>
    <col min="11788" max="11801" width="0" style="51" hidden="1" customWidth="1"/>
    <col min="11802" max="11802" width="17.28515625" style="51" customWidth="1"/>
    <col min="11803" max="11803" width="9.5703125" style="51" customWidth="1"/>
    <col min="11804" max="11819" width="0" style="51" hidden="1" customWidth="1"/>
    <col min="11820" max="11820" width="13.42578125" style="51" customWidth="1"/>
    <col min="11821" max="11821" width="7.85546875" style="51" customWidth="1"/>
    <col min="11822" max="11837" width="0" style="51" hidden="1" customWidth="1"/>
    <col min="11838" max="11839" width="9.140625" style="51"/>
    <col min="11840" max="11840" width="11.5703125" style="51" customWidth="1"/>
    <col min="11841" max="12032" width="9.140625" style="51"/>
    <col min="12033" max="12033" width="7" style="51" customWidth="1"/>
    <col min="12034" max="12034" width="38.7109375" style="51" customWidth="1"/>
    <col min="12035" max="12035" width="12.85546875" style="51" customWidth="1"/>
    <col min="12036" max="12036" width="0" style="51" hidden="1" customWidth="1"/>
    <col min="12037" max="12037" width="12.85546875" style="51" customWidth="1"/>
    <col min="12038" max="12040" width="0" style="51" hidden="1" customWidth="1"/>
    <col min="12041" max="12041" width="8.85546875" style="51" customWidth="1"/>
    <col min="12042" max="12042" width="16.140625" style="51" customWidth="1"/>
    <col min="12043" max="12043" width="8.85546875" style="51" customWidth="1"/>
    <col min="12044" max="12057" width="0" style="51" hidden="1" customWidth="1"/>
    <col min="12058" max="12058" width="17.28515625" style="51" customWidth="1"/>
    <col min="12059" max="12059" width="9.5703125" style="51" customWidth="1"/>
    <col min="12060" max="12075" width="0" style="51" hidden="1" customWidth="1"/>
    <col min="12076" max="12076" width="13.42578125" style="51" customWidth="1"/>
    <col min="12077" max="12077" width="7.85546875" style="51" customWidth="1"/>
    <col min="12078" max="12093" width="0" style="51" hidden="1" customWidth="1"/>
    <col min="12094" max="12095" width="9.140625" style="51"/>
    <col min="12096" max="12096" width="11.5703125" style="51" customWidth="1"/>
    <col min="12097" max="12288" width="9.140625" style="51"/>
    <col min="12289" max="12289" width="7" style="51" customWidth="1"/>
    <col min="12290" max="12290" width="38.7109375" style="51" customWidth="1"/>
    <col min="12291" max="12291" width="12.85546875" style="51" customWidth="1"/>
    <col min="12292" max="12292" width="0" style="51" hidden="1" customWidth="1"/>
    <col min="12293" max="12293" width="12.85546875" style="51" customWidth="1"/>
    <col min="12294" max="12296" width="0" style="51" hidden="1" customWidth="1"/>
    <col min="12297" max="12297" width="8.85546875" style="51" customWidth="1"/>
    <col min="12298" max="12298" width="16.140625" style="51" customWidth="1"/>
    <col min="12299" max="12299" width="8.85546875" style="51" customWidth="1"/>
    <col min="12300" max="12313" width="0" style="51" hidden="1" customWidth="1"/>
    <col min="12314" max="12314" width="17.28515625" style="51" customWidth="1"/>
    <col min="12315" max="12315" width="9.5703125" style="51" customWidth="1"/>
    <col min="12316" max="12331" width="0" style="51" hidden="1" customWidth="1"/>
    <col min="12332" max="12332" width="13.42578125" style="51" customWidth="1"/>
    <col min="12333" max="12333" width="7.85546875" style="51" customWidth="1"/>
    <col min="12334" max="12349" width="0" style="51" hidden="1" customWidth="1"/>
    <col min="12350" max="12351" width="9.140625" style="51"/>
    <col min="12352" max="12352" width="11.5703125" style="51" customWidth="1"/>
    <col min="12353" max="12544" width="9.140625" style="51"/>
    <col min="12545" max="12545" width="7" style="51" customWidth="1"/>
    <col min="12546" max="12546" width="38.7109375" style="51" customWidth="1"/>
    <col min="12547" max="12547" width="12.85546875" style="51" customWidth="1"/>
    <col min="12548" max="12548" width="0" style="51" hidden="1" customWidth="1"/>
    <col min="12549" max="12549" width="12.85546875" style="51" customWidth="1"/>
    <col min="12550" max="12552" width="0" style="51" hidden="1" customWidth="1"/>
    <col min="12553" max="12553" width="8.85546875" style="51" customWidth="1"/>
    <col min="12554" max="12554" width="16.140625" style="51" customWidth="1"/>
    <col min="12555" max="12555" width="8.85546875" style="51" customWidth="1"/>
    <col min="12556" max="12569" width="0" style="51" hidden="1" customWidth="1"/>
    <col min="12570" max="12570" width="17.28515625" style="51" customWidth="1"/>
    <col min="12571" max="12571" width="9.5703125" style="51" customWidth="1"/>
    <col min="12572" max="12587" width="0" style="51" hidden="1" customWidth="1"/>
    <col min="12588" max="12588" width="13.42578125" style="51" customWidth="1"/>
    <col min="12589" max="12589" width="7.85546875" style="51" customWidth="1"/>
    <col min="12590" max="12605" width="0" style="51" hidden="1" customWidth="1"/>
    <col min="12606" max="12607" width="9.140625" style="51"/>
    <col min="12608" max="12608" width="11.5703125" style="51" customWidth="1"/>
    <col min="12609" max="12800" width="9.140625" style="51"/>
    <col min="12801" max="12801" width="7" style="51" customWidth="1"/>
    <col min="12802" max="12802" width="38.7109375" style="51" customWidth="1"/>
    <col min="12803" max="12803" width="12.85546875" style="51" customWidth="1"/>
    <col min="12804" max="12804" width="0" style="51" hidden="1" customWidth="1"/>
    <col min="12805" max="12805" width="12.85546875" style="51" customWidth="1"/>
    <col min="12806" max="12808" width="0" style="51" hidden="1" customWidth="1"/>
    <col min="12809" max="12809" width="8.85546875" style="51" customWidth="1"/>
    <col min="12810" max="12810" width="16.140625" style="51" customWidth="1"/>
    <col min="12811" max="12811" width="8.85546875" style="51" customWidth="1"/>
    <col min="12812" max="12825" width="0" style="51" hidden="1" customWidth="1"/>
    <col min="12826" max="12826" width="17.28515625" style="51" customWidth="1"/>
    <col min="12827" max="12827" width="9.5703125" style="51" customWidth="1"/>
    <col min="12828" max="12843" width="0" style="51" hidden="1" customWidth="1"/>
    <col min="12844" max="12844" width="13.42578125" style="51" customWidth="1"/>
    <col min="12845" max="12845" width="7.85546875" style="51" customWidth="1"/>
    <col min="12846" max="12861" width="0" style="51" hidden="1" customWidth="1"/>
    <col min="12862" max="12863" width="9.140625" style="51"/>
    <col min="12864" max="12864" width="11.5703125" style="51" customWidth="1"/>
    <col min="12865" max="13056" width="9.140625" style="51"/>
    <col min="13057" max="13057" width="7" style="51" customWidth="1"/>
    <col min="13058" max="13058" width="38.7109375" style="51" customWidth="1"/>
    <col min="13059" max="13059" width="12.85546875" style="51" customWidth="1"/>
    <col min="13060" max="13060" width="0" style="51" hidden="1" customWidth="1"/>
    <col min="13061" max="13061" width="12.85546875" style="51" customWidth="1"/>
    <col min="13062" max="13064" width="0" style="51" hidden="1" customWidth="1"/>
    <col min="13065" max="13065" width="8.85546875" style="51" customWidth="1"/>
    <col min="13066" max="13066" width="16.140625" style="51" customWidth="1"/>
    <col min="13067" max="13067" width="8.85546875" style="51" customWidth="1"/>
    <col min="13068" max="13081" width="0" style="51" hidden="1" customWidth="1"/>
    <col min="13082" max="13082" width="17.28515625" style="51" customWidth="1"/>
    <col min="13083" max="13083" width="9.5703125" style="51" customWidth="1"/>
    <col min="13084" max="13099" width="0" style="51" hidden="1" customWidth="1"/>
    <col min="13100" max="13100" width="13.42578125" style="51" customWidth="1"/>
    <col min="13101" max="13101" width="7.85546875" style="51" customWidth="1"/>
    <col min="13102" max="13117" width="0" style="51" hidden="1" customWidth="1"/>
    <col min="13118" max="13119" width="9.140625" style="51"/>
    <col min="13120" max="13120" width="11.5703125" style="51" customWidth="1"/>
    <col min="13121" max="13312" width="9.140625" style="51"/>
    <col min="13313" max="13313" width="7" style="51" customWidth="1"/>
    <col min="13314" max="13314" width="38.7109375" style="51" customWidth="1"/>
    <col min="13315" max="13315" width="12.85546875" style="51" customWidth="1"/>
    <col min="13316" max="13316" width="0" style="51" hidden="1" customWidth="1"/>
    <col min="13317" max="13317" width="12.85546875" style="51" customWidth="1"/>
    <col min="13318" max="13320" width="0" style="51" hidden="1" customWidth="1"/>
    <col min="13321" max="13321" width="8.85546875" style="51" customWidth="1"/>
    <col min="13322" max="13322" width="16.140625" style="51" customWidth="1"/>
    <col min="13323" max="13323" width="8.85546875" style="51" customWidth="1"/>
    <col min="13324" max="13337" width="0" style="51" hidden="1" customWidth="1"/>
    <col min="13338" max="13338" width="17.28515625" style="51" customWidth="1"/>
    <col min="13339" max="13339" width="9.5703125" style="51" customWidth="1"/>
    <col min="13340" max="13355" width="0" style="51" hidden="1" customWidth="1"/>
    <col min="13356" max="13356" width="13.42578125" style="51" customWidth="1"/>
    <col min="13357" max="13357" width="7.85546875" style="51" customWidth="1"/>
    <col min="13358" max="13373" width="0" style="51" hidden="1" customWidth="1"/>
    <col min="13374" max="13375" width="9.140625" style="51"/>
    <col min="13376" max="13376" width="11.5703125" style="51" customWidth="1"/>
    <col min="13377" max="13568" width="9.140625" style="51"/>
    <col min="13569" max="13569" width="7" style="51" customWidth="1"/>
    <col min="13570" max="13570" width="38.7109375" style="51" customWidth="1"/>
    <col min="13571" max="13571" width="12.85546875" style="51" customWidth="1"/>
    <col min="13572" max="13572" width="0" style="51" hidden="1" customWidth="1"/>
    <col min="13573" max="13573" width="12.85546875" style="51" customWidth="1"/>
    <col min="13574" max="13576" width="0" style="51" hidden="1" customWidth="1"/>
    <col min="13577" max="13577" width="8.85546875" style="51" customWidth="1"/>
    <col min="13578" max="13578" width="16.140625" style="51" customWidth="1"/>
    <col min="13579" max="13579" width="8.85546875" style="51" customWidth="1"/>
    <col min="13580" max="13593" width="0" style="51" hidden="1" customWidth="1"/>
    <col min="13594" max="13594" width="17.28515625" style="51" customWidth="1"/>
    <col min="13595" max="13595" width="9.5703125" style="51" customWidth="1"/>
    <col min="13596" max="13611" width="0" style="51" hidden="1" customWidth="1"/>
    <col min="13612" max="13612" width="13.42578125" style="51" customWidth="1"/>
    <col min="13613" max="13613" width="7.85546875" style="51" customWidth="1"/>
    <col min="13614" max="13629" width="0" style="51" hidden="1" customWidth="1"/>
    <col min="13630" max="13631" width="9.140625" style="51"/>
    <col min="13632" max="13632" width="11.5703125" style="51" customWidth="1"/>
    <col min="13633" max="13824" width="9.140625" style="51"/>
    <col min="13825" max="13825" width="7" style="51" customWidth="1"/>
    <col min="13826" max="13826" width="38.7109375" style="51" customWidth="1"/>
    <col min="13827" max="13827" width="12.85546875" style="51" customWidth="1"/>
    <col min="13828" max="13828" width="0" style="51" hidden="1" customWidth="1"/>
    <col min="13829" max="13829" width="12.85546875" style="51" customWidth="1"/>
    <col min="13830" max="13832" width="0" style="51" hidden="1" customWidth="1"/>
    <col min="13833" max="13833" width="8.85546875" style="51" customWidth="1"/>
    <col min="13834" max="13834" width="16.140625" style="51" customWidth="1"/>
    <col min="13835" max="13835" width="8.85546875" style="51" customWidth="1"/>
    <col min="13836" max="13849" width="0" style="51" hidden="1" customWidth="1"/>
    <col min="13850" max="13850" width="17.28515625" style="51" customWidth="1"/>
    <col min="13851" max="13851" width="9.5703125" style="51" customWidth="1"/>
    <col min="13852" max="13867" width="0" style="51" hidden="1" customWidth="1"/>
    <col min="13868" max="13868" width="13.42578125" style="51" customWidth="1"/>
    <col min="13869" max="13869" width="7.85546875" style="51" customWidth="1"/>
    <col min="13870" max="13885" width="0" style="51" hidden="1" customWidth="1"/>
    <col min="13886" max="13887" width="9.140625" style="51"/>
    <col min="13888" max="13888" width="11.5703125" style="51" customWidth="1"/>
    <col min="13889" max="14080" width="9.140625" style="51"/>
    <col min="14081" max="14081" width="7" style="51" customWidth="1"/>
    <col min="14082" max="14082" width="38.7109375" style="51" customWidth="1"/>
    <col min="14083" max="14083" width="12.85546875" style="51" customWidth="1"/>
    <col min="14084" max="14084" width="0" style="51" hidden="1" customWidth="1"/>
    <col min="14085" max="14085" width="12.85546875" style="51" customWidth="1"/>
    <col min="14086" max="14088" width="0" style="51" hidden="1" customWidth="1"/>
    <col min="14089" max="14089" width="8.85546875" style="51" customWidth="1"/>
    <col min="14090" max="14090" width="16.140625" style="51" customWidth="1"/>
    <col min="14091" max="14091" width="8.85546875" style="51" customWidth="1"/>
    <col min="14092" max="14105" width="0" style="51" hidden="1" customWidth="1"/>
    <col min="14106" max="14106" width="17.28515625" style="51" customWidth="1"/>
    <col min="14107" max="14107" width="9.5703125" style="51" customWidth="1"/>
    <col min="14108" max="14123" width="0" style="51" hidden="1" customWidth="1"/>
    <col min="14124" max="14124" width="13.42578125" style="51" customWidth="1"/>
    <col min="14125" max="14125" width="7.85546875" style="51" customWidth="1"/>
    <col min="14126" max="14141" width="0" style="51" hidden="1" customWidth="1"/>
    <col min="14142" max="14143" width="9.140625" style="51"/>
    <col min="14144" max="14144" width="11.5703125" style="51" customWidth="1"/>
    <col min="14145" max="14336" width="9.140625" style="51"/>
    <col min="14337" max="14337" width="7" style="51" customWidth="1"/>
    <col min="14338" max="14338" width="38.7109375" style="51" customWidth="1"/>
    <col min="14339" max="14339" width="12.85546875" style="51" customWidth="1"/>
    <col min="14340" max="14340" width="0" style="51" hidden="1" customWidth="1"/>
    <col min="14341" max="14341" width="12.85546875" style="51" customWidth="1"/>
    <col min="14342" max="14344" width="0" style="51" hidden="1" customWidth="1"/>
    <col min="14345" max="14345" width="8.85546875" style="51" customWidth="1"/>
    <col min="14346" max="14346" width="16.140625" style="51" customWidth="1"/>
    <col min="14347" max="14347" width="8.85546875" style="51" customWidth="1"/>
    <col min="14348" max="14361" width="0" style="51" hidden="1" customWidth="1"/>
    <col min="14362" max="14362" width="17.28515625" style="51" customWidth="1"/>
    <col min="14363" max="14363" width="9.5703125" style="51" customWidth="1"/>
    <col min="14364" max="14379" width="0" style="51" hidden="1" customWidth="1"/>
    <col min="14380" max="14380" width="13.42578125" style="51" customWidth="1"/>
    <col min="14381" max="14381" width="7.85546875" style="51" customWidth="1"/>
    <col min="14382" max="14397" width="0" style="51" hidden="1" customWidth="1"/>
    <col min="14398" max="14399" width="9.140625" style="51"/>
    <col min="14400" max="14400" width="11.5703125" style="51" customWidth="1"/>
    <col min="14401" max="14592" width="9.140625" style="51"/>
    <col min="14593" max="14593" width="7" style="51" customWidth="1"/>
    <col min="14594" max="14594" width="38.7109375" style="51" customWidth="1"/>
    <col min="14595" max="14595" width="12.85546875" style="51" customWidth="1"/>
    <col min="14596" max="14596" width="0" style="51" hidden="1" customWidth="1"/>
    <col min="14597" max="14597" width="12.85546875" style="51" customWidth="1"/>
    <col min="14598" max="14600" width="0" style="51" hidden="1" customWidth="1"/>
    <col min="14601" max="14601" width="8.85546875" style="51" customWidth="1"/>
    <col min="14602" max="14602" width="16.140625" style="51" customWidth="1"/>
    <col min="14603" max="14603" width="8.85546875" style="51" customWidth="1"/>
    <col min="14604" max="14617" width="0" style="51" hidden="1" customWidth="1"/>
    <col min="14618" max="14618" width="17.28515625" style="51" customWidth="1"/>
    <col min="14619" max="14619" width="9.5703125" style="51" customWidth="1"/>
    <col min="14620" max="14635" width="0" style="51" hidden="1" customWidth="1"/>
    <col min="14636" max="14636" width="13.42578125" style="51" customWidth="1"/>
    <col min="14637" max="14637" width="7.85546875" style="51" customWidth="1"/>
    <col min="14638" max="14653" width="0" style="51" hidden="1" customWidth="1"/>
    <col min="14654" max="14655" width="9.140625" style="51"/>
    <col min="14656" max="14656" width="11.5703125" style="51" customWidth="1"/>
    <col min="14657" max="14848" width="9.140625" style="51"/>
    <col min="14849" max="14849" width="7" style="51" customWidth="1"/>
    <col min="14850" max="14850" width="38.7109375" style="51" customWidth="1"/>
    <col min="14851" max="14851" width="12.85546875" style="51" customWidth="1"/>
    <col min="14852" max="14852" width="0" style="51" hidden="1" customWidth="1"/>
    <col min="14853" max="14853" width="12.85546875" style="51" customWidth="1"/>
    <col min="14854" max="14856" width="0" style="51" hidden="1" customWidth="1"/>
    <col min="14857" max="14857" width="8.85546875" style="51" customWidth="1"/>
    <col min="14858" max="14858" width="16.140625" style="51" customWidth="1"/>
    <col min="14859" max="14859" width="8.85546875" style="51" customWidth="1"/>
    <col min="14860" max="14873" width="0" style="51" hidden="1" customWidth="1"/>
    <col min="14874" max="14874" width="17.28515625" style="51" customWidth="1"/>
    <col min="14875" max="14875" width="9.5703125" style="51" customWidth="1"/>
    <col min="14876" max="14891" width="0" style="51" hidden="1" customWidth="1"/>
    <col min="14892" max="14892" width="13.42578125" style="51" customWidth="1"/>
    <col min="14893" max="14893" width="7.85546875" style="51" customWidth="1"/>
    <col min="14894" max="14909" width="0" style="51" hidden="1" customWidth="1"/>
    <col min="14910" max="14911" width="9.140625" style="51"/>
    <col min="14912" max="14912" width="11.5703125" style="51" customWidth="1"/>
    <col min="14913" max="15104" width="9.140625" style="51"/>
    <col min="15105" max="15105" width="7" style="51" customWidth="1"/>
    <col min="15106" max="15106" width="38.7109375" style="51" customWidth="1"/>
    <col min="15107" max="15107" width="12.85546875" style="51" customWidth="1"/>
    <col min="15108" max="15108" width="0" style="51" hidden="1" customWidth="1"/>
    <col min="15109" max="15109" width="12.85546875" style="51" customWidth="1"/>
    <col min="15110" max="15112" width="0" style="51" hidden="1" customWidth="1"/>
    <col min="15113" max="15113" width="8.85546875" style="51" customWidth="1"/>
    <col min="15114" max="15114" width="16.140625" style="51" customWidth="1"/>
    <col min="15115" max="15115" width="8.85546875" style="51" customWidth="1"/>
    <col min="15116" max="15129" width="0" style="51" hidden="1" customWidth="1"/>
    <col min="15130" max="15130" width="17.28515625" style="51" customWidth="1"/>
    <col min="15131" max="15131" width="9.5703125" style="51" customWidth="1"/>
    <col min="15132" max="15147" width="0" style="51" hidden="1" customWidth="1"/>
    <col min="15148" max="15148" width="13.42578125" style="51" customWidth="1"/>
    <col min="15149" max="15149" width="7.85546875" style="51" customWidth="1"/>
    <col min="15150" max="15165" width="0" style="51" hidden="1" customWidth="1"/>
    <col min="15166" max="15167" width="9.140625" style="51"/>
    <col min="15168" max="15168" width="11.5703125" style="51" customWidth="1"/>
    <col min="15169" max="15360" width="9.140625" style="51"/>
    <col min="15361" max="15361" width="7" style="51" customWidth="1"/>
    <col min="15362" max="15362" width="38.7109375" style="51" customWidth="1"/>
    <col min="15363" max="15363" width="12.85546875" style="51" customWidth="1"/>
    <col min="15364" max="15364" width="0" style="51" hidden="1" customWidth="1"/>
    <col min="15365" max="15365" width="12.85546875" style="51" customWidth="1"/>
    <col min="15366" max="15368" width="0" style="51" hidden="1" customWidth="1"/>
    <col min="15369" max="15369" width="8.85546875" style="51" customWidth="1"/>
    <col min="15370" max="15370" width="16.140625" style="51" customWidth="1"/>
    <col min="15371" max="15371" width="8.85546875" style="51" customWidth="1"/>
    <col min="15372" max="15385" width="0" style="51" hidden="1" customWidth="1"/>
    <col min="15386" max="15386" width="17.28515625" style="51" customWidth="1"/>
    <col min="15387" max="15387" width="9.5703125" style="51" customWidth="1"/>
    <col min="15388" max="15403" width="0" style="51" hidden="1" customWidth="1"/>
    <col min="15404" max="15404" width="13.42578125" style="51" customWidth="1"/>
    <col min="15405" max="15405" width="7.85546875" style="51" customWidth="1"/>
    <col min="15406" max="15421" width="0" style="51" hidden="1" customWidth="1"/>
    <col min="15422" max="15423" width="9.140625" style="51"/>
    <col min="15424" max="15424" width="11.5703125" style="51" customWidth="1"/>
    <col min="15425" max="15616" width="9.140625" style="51"/>
    <col min="15617" max="15617" width="7" style="51" customWidth="1"/>
    <col min="15618" max="15618" width="38.7109375" style="51" customWidth="1"/>
    <col min="15619" max="15619" width="12.85546875" style="51" customWidth="1"/>
    <col min="15620" max="15620" width="0" style="51" hidden="1" customWidth="1"/>
    <col min="15621" max="15621" width="12.85546875" style="51" customWidth="1"/>
    <col min="15622" max="15624" width="0" style="51" hidden="1" customWidth="1"/>
    <col min="15625" max="15625" width="8.85546875" style="51" customWidth="1"/>
    <col min="15626" max="15626" width="16.140625" style="51" customWidth="1"/>
    <col min="15627" max="15627" width="8.85546875" style="51" customWidth="1"/>
    <col min="15628" max="15641" width="0" style="51" hidden="1" customWidth="1"/>
    <col min="15642" max="15642" width="17.28515625" style="51" customWidth="1"/>
    <col min="15643" max="15643" width="9.5703125" style="51" customWidth="1"/>
    <col min="15644" max="15659" width="0" style="51" hidden="1" customWidth="1"/>
    <col min="15660" max="15660" width="13.42578125" style="51" customWidth="1"/>
    <col min="15661" max="15661" width="7.85546875" style="51" customWidth="1"/>
    <col min="15662" max="15677" width="0" style="51" hidden="1" customWidth="1"/>
    <col min="15678" max="15679" width="9.140625" style="51"/>
    <col min="15680" max="15680" width="11.5703125" style="51" customWidth="1"/>
    <col min="15681" max="15872" width="9.140625" style="51"/>
    <col min="15873" max="15873" width="7" style="51" customWidth="1"/>
    <col min="15874" max="15874" width="38.7109375" style="51" customWidth="1"/>
    <col min="15875" max="15875" width="12.85546875" style="51" customWidth="1"/>
    <col min="15876" max="15876" width="0" style="51" hidden="1" customWidth="1"/>
    <col min="15877" max="15877" width="12.85546875" style="51" customWidth="1"/>
    <col min="15878" max="15880" width="0" style="51" hidden="1" customWidth="1"/>
    <col min="15881" max="15881" width="8.85546875" style="51" customWidth="1"/>
    <col min="15882" max="15882" width="16.140625" style="51" customWidth="1"/>
    <col min="15883" max="15883" width="8.85546875" style="51" customWidth="1"/>
    <col min="15884" max="15897" width="0" style="51" hidden="1" customWidth="1"/>
    <col min="15898" max="15898" width="17.28515625" style="51" customWidth="1"/>
    <col min="15899" max="15899" width="9.5703125" style="51" customWidth="1"/>
    <col min="15900" max="15915" width="0" style="51" hidden="1" customWidth="1"/>
    <col min="15916" max="15916" width="13.42578125" style="51" customWidth="1"/>
    <col min="15917" max="15917" width="7.85546875" style="51" customWidth="1"/>
    <col min="15918" max="15933" width="0" style="51" hidden="1" customWidth="1"/>
    <col min="15934" max="15935" width="9.140625" style="51"/>
    <col min="15936" max="15936" width="11.5703125" style="51" customWidth="1"/>
    <col min="15937" max="16128" width="9.140625" style="51"/>
    <col min="16129" max="16129" width="7" style="51" customWidth="1"/>
    <col min="16130" max="16130" width="38.7109375" style="51" customWidth="1"/>
    <col min="16131" max="16131" width="12.85546875" style="51" customWidth="1"/>
    <col min="16132" max="16132" width="0" style="51" hidden="1" customWidth="1"/>
    <col min="16133" max="16133" width="12.85546875" style="51" customWidth="1"/>
    <col min="16134" max="16136" width="0" style="51" hidden="1" customWidth="1"/>
    <col min="16137" max="16137" width="8.85546875" style="51" customWidth="1"/>
    <col min="16138" max="16138" width="16.140625" style="51" customWidth="1"/>
    <col min="16139" max="16139" width="8.85546875" style="51" customWidth="1"/>
    <col min="16140" max="16153" width="0" style="51" hidden="1" customWidth="1"/>
    <col min="16154" max="16154" width="17.28515625" style="51" customWidth="1"/>
    <col min="16155" max="16155" width="9.5703125" style="51" customWidth="1"/>
    <col min="16156" max="16171" width="0" style="51" hidden="1" customWidth="1"/>
    <col min="16172" max="16172" width="13.42578125" style="51" customWidth="1"/>
    <col min="16173" max="16173" width="7.85546875" style="51" customWidth="1"/>
    <col min="16174" max="16189" width="0" style="51" hidden="1" customWidth="1"/>
    <col min="16190" max="16191" width="9.140625" style="51"/>
    <col min="16192" max="16192" width="11.5703125" style="51" customWidth="1"/>
    <col min="16193" max="16384" width="9.140625" style="51"/>
  </cols>
  <sheetData>
    <row r="1" spans="1:64" ht="15.75" x14ac:dyDescent="0.25">
      <c r="A1" s="49"/>
      <c r="B1" s="49"/>
      <c r="C1" s="49"/>
      <c r="D1" s="49"/>
      <c r="E1" s="50"/>
      <c r="F1" s="50"/>
      <c r="G1" s="50"/>
      <c r="H1" s="50"/>
      <c r="I1" s="50"/>
      <c r="J1" s="49"/>
      <c r="K1" s="50"/>
      <c r="L1" s="49"/>
      <c r="M1" s="50"/>
      <c r="N1" s="49"/>
      <c r="O1" s="50"/>
      <c r="P1" s="49"/>
      <c r="Q1" s="50"/>
      <c r="R1" s="49"/>
      <c r="S1" s="50"/>
      <c r="T1" s="49"/>
      <c r="U1" s="50"/>
      <c r="V1" s="49"/>
      <c r="W1" s="50"/>
      <c r="X1" s="49"/>
      <c r="Y1" s="50"/>
      <c r="Z1" s="49"/>
      <c r="AA1" s="50"/>
      <c r="AB1" s="49"/>
      <c r="AC1" s="50"/>
      <c r="AD1" s="49"/>
      <c r="AE1" s="50"/>
      <c r="AF1" s="49"/>
      <c r="AG1" s="50"/>
      <c r="AH1" s="49"/>
      <c r="AI1" s="50"/>
      <c r="AJ1" s="49"/>
      <c r="AK1" s="50"/>
      <c r="AL1" s="49"/>
      <c r="AM1" s="50"/>
      <c r="AN1" s="49"/>
      <c r="AO1" s="50"/>
      <c r="AP1" s="49"/>
      <c r="AQ1" s="50"/>
      <c r="AR1" s="49"/>
      <c r="AS1" s="50"/>
      <c r="AT1" s="49"/>
      <c r="AU1" s="50"/>
      <c r="AV1" s="49"/>
      <c r="AW1" s="50"/>
      <c r="AX1" s="49"/>
      <c r="AY1" s="50"/>
      <c r="AZ1" s="49"/>
      <c r="BA1" s="50"/>
      <c r="BB1" s="49"/>
      <c r="BC1" s="50"/>
      <c r="BD1" s="49"/>
      <c r="BE1" s="50"/>
      <c r="BF1" s="49"/>
      <c r="BG1" s="50"/>
      <c r="BH1" s="49"/>
      <c r="BI1" s="50"/>
    </row>
    <row r="2" spans="1:64" ht="15.75" x14ac:dyDescent="0.25">
      <c r="A2" s="427" t="s">
        <v>598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AA2" s="51"/>
      <c r="AC2" s="51"/>
      <c r="AE2" s="51"/>
      <c r="AG2" s="51"/>
      <c r="AI2" s="51"/>
      <c r="AK2" s="51"/>
      <c r="AM2" s="51"/>
      <c r="AO2" s="51"/>
      <c r="AQ2" s="51"/>
      <c r="AS2" s="51"/>
      <c r="AU2" s="51"/>
      <c r="AW2" s="51"/>
      <c r="AY2" s="51"/>
      <c r="BA2" s="51"/>
      <c r="BC2" s="51"/>
      <c r="BE2" s="51"/>
      <c r="BG2" s="51"/>
      <c r="BI2" s="51"/>
    </row>
    <row r="3" spans="1:64" ht="43.5" customHeight="1" x14ac:dyDescent="0.25">
      <c r="A3" s="428" t="s">
        <v>599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  <c r="T3" s="428"/>
      <c r="U3" s="428"/>
      <c r="V3" s="428"/>
      <c r="W3" s="428"/>
      <c r="X3" s="428"/>
      <c r="Y3" s="428"/>
      <c r="Z3" s="428"/>
      <c r="AA3" s="428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1"/>
      <c r="AU3" s="51"/>
      <c r="AW3" s="51"/>
      <c r="AY3" s="51"/>
      <c r="BA3" s="51"/>
      <c r="BC3" s="51"/>
      <c r="BE3" s="51"/>
      <c r="BG3" s="51"/>
      <c r="BH3" s="52"/>
      <c r="BI3" s="52"/>
    </row>
    <row r="4" spans="1:64" ht="15.75" customHeight="1" x14ac:dyDescent="0.25">
      <c r="A4" s="429" t="s">
        <v>600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29"/>
      <c r="V4" s="429"/>
      <c r="W4" s="429"/>
      <c r="X4" s="429"/>
      <c r="Y4" s="429"/>
      <c r="AA4" s="51"/>
      <c r="AC4" s="51"/>
      <c r="AE4" s="51"/>
      <c r="AG4" s="51"/>
      <c r="AI4" s="51"/>
      <c r="AK4" s="51"/>
      <c r="AM4" s="51"/>
      <c r="AO4" s="51"/>
      <c r="AQ4" s="51"/>
      <c r="AS4" s="51"/>
      <c r="AU4" s="51"/>
      <c r="AW4" s="51"/>
      <c r="AY4" s="51"/>
      <c r="BA4" s="51"/>
      <c r="BC4" s="51"/>
      <c r="BE4" s="51"/>
      <c r="BG4" s="51"/>
      <c r="BI4" s="51"/>
    </row>
    <row r="5" spans="1:64" ht="15.75" hidden="1" customHeight="1" x14ac:dyDescent="0.25">
      <c r="A5" s="49"/>
      <c r="B5" s="49"/>
      <c r="C5" s="49"/>
      <c r="D5" s="49"/>
      <c r="E5" s="50"/>
      <c r="F5" s="50"/>
      <c r="G5" s="50"/>
      <c r="H5" s="50"/>
      <c r="I5" s="50"/>
      <c r="J5" s="49"/>
      <c r="K5" s="50"/>
      <c r="L5" s="49"/>
      <c r="M5" s="50"/>
      <c r="N5" s="49"/>
      <c r="O5" s="50"/>
      <c r="P5" s="49"/>
      <c r="Q5" s="50"/>
      <c r="R5" s="49"/>
      <c r="S5" s="50"/>
      <c r="T5" s="49"/>
      <c r="U5" s="50"/>
      <c r="V5" s="49"/>
      <c r="W5" s="50"/>
      <c r="X5" s="49"/>
      <c r="Y5" s="50"/>
      <c r="Z5" s="49"/>
      <c r="AA5" s="50"/>
      <c r="AB5" s="49"/>
      <c r="AC5" s="50"/>
      <c r="AD5" s="49"/>
      <c r="AE5" s="50"/>
      <c r="AF5" s="49"/>
      <c r="AG5" s="50"/>
      <c r="AH5" s="49"/>
      <c r="AI5" s="50"/>
      <c r="AJ5" s="49"/>
      <c r="AK5" s="50"/>
      <c r="AL5" s="49"/>
      <c r="AM5" s="50"/>
      <c r="AN5" s="49"/>
      <c r="AO5" s="50"/>
      <c r="AP5" s="49"/>
      <c r="AQ5" s="50"/>
      <c r="AR5" s="49"/>
      <c r="AS5" s="50"/>
      <c r="AT5" s="49"/>
      <c r="AU5" s="50"/>
      <c r="AV5" s="49"/>
      <c r="AW5" s="50"/>
      <c r="AX5" s="49"/>
      <c r="AY5" s="50"/>
      <c r="AZ5" s="49"/>
      <c r="BA5" s="50"/>
      <c r="BB5" s="49"/>
      <c r="BC5" s="50"/>
      <c r="BD5" s="49"/>
      <c r="BE5" s="50"/>
      <c r="BF5" s="49"/>
      <c r="BG5" s="50"/>
      <c r="BH5" s="49"/>
      <c r="BI5" s="50"/>
    </row>
    <row r="6" spans="1:64" ht="15.75" x14ac:dyDescent="0.25">
      <c r="A6" s="49"/>
      <c r="B6" s="49"/>
      <c r="C6" s="49"/>
      <c r="D6" s="49"/>
      <c r="E6" s="50"/>
      <c r="F6" s="50"/>
      <c r="G6" s="50"/>
      <c r="H6" s="50"/>
      <c r="I6" s="50"/>
      <c r="J6" s="49"/>
      <c r="K6" s="50"/>
      <c r="L6" s="49"/>
      <c r="M6" s="50"/>
      <c r="N6" s="49"/>
      <c r="O6" s="50"/>
      <c r="P6" s="49"/>
      <c r="Q6" s="50"/>
      <c r="R6" s="49"/>
      <c r="S6" s="50"/>
      <c r="T6" s="49"/>
      <c r="U6" s="50"/>
      <c r="V6" s="49"/>
      <c r="W6" s="50"/>
      <c r="X6" s="49"/>
      <c r="Y6" s="50"/>
      <c r="Z6" s="49"/>
      <c r="AA6" s="50"/>
      <c r="AB6" s="49"/>
      <c r="AC6" s="50"/>
      <c r="AD6" s="49"/>
      <c r="AE6" s="50"/>
      <c r="AF6" s="49"/>
      <c r="AG6" s="50"/>
      <c r="AH6" s="49"/>
      <c r="AI6" s="50"/>
      <c r="AJ6" s="49"/>
      <c r="AK6" s="50"/>
      <c r="AL6" s="49"/>
      <c r="AM6" s="50"/>
      <c r="AN6" s="49"/>
      <c r="AO6" s="50"/>
      <c r="AP6" s="49"/>
      <c r="AQ6" s="50"/>
      <c r="AR6" s="49"/>
      <c r="AS6" s="50"/>
      <c r="AT6" s="49"/>
      <c r="AU6" s="50"/>
      <c r="AV6" s="49"/>
      <c r="AW6" s="50"/>
      <c r="AX6" s="49"/>
      <c r="AY6" s="50"/>
      <c r="AZ6" s="49"/>
      <c r="BA6" s="50"/>
      <c r="BB6" s="49"/>
      <c r="BC6" s="50"/>
      <c r="BD6" s="49"/>
      <c r="BE6" s="50"/>
      <c r="BF6" s="49"/>
      <c r="BG6" s="50"/>
      <c r="BH6" s="49"/>
      <c r="BI6" s="50"/>
    </row>
    <row r="7" spans="1:64" ht="12.75" customHeight="1" x14ac:dyDescent="0.25">
      <c r="A7" s="430" t="s">
        <v>601</v>
      </c>
      <c r="B7" s="430" t="s">
        <v>602</v>
      </c>
      <c r="C7" s="431" t="s">
        <v>603</v>
      </c>
      <c r="D7" s="53"/>
      <c r="E7" s="432"/>
      <c r="F7" s="433"/>
      <c r="G7" s="434"/>
      <c r="H7" s="54"/>
      <c r="I7" s="55"/>
      <c r="J7" s="56"/>
      <c r="K7" s="54"/>
      <c r="L7" s="57"/>
      <c r="M7" s="54"/>
      <c r="N7" s="426"/>
      <c r="O7" s="426"/>
      <c r="P7" s="426"/>
      <c r="Q7" s="426"/>
      <c r="R7" s="426"/>
      <c r="S7" s="426"/>
      <c r="T7" s="426"/>
      <c r="U7" s="426"/>
      <c r="V7" s="426"/>
      <c r="W7" s="426"/>
      <c r="X7" s="426"/>
      <c r="Y7" s="426"/>
      <c r="Z7" s="56"/>
      <c r="AA7" s="54"/>
      <c r="AB7" s="57"/>
      <c r="AC7" s="54"/>
      <c r="AD7" s="426"/>
      <c r="AE7" s="426"/>
      <c r="AF7" s="426"/>
      <c r="AG7" s="426"/>
      <c r="AH7" s="426"/>
      <c r="AI7" s="426"/>
      <c r="AJ7" s="426"/>
      <c r="AK7" s="426"/>
      <c r="AL7" s="426"/>
      <c r="AM7" s="426"/>
      <c r="AN7" s="426"/>
      <c r="AO7" s="426"/>
      <c r="AP7" s="58"/>
      <c r="AQ7" s="58"/>
      <c r="AR7" s="56"/>
      <c r="AS7" s="54"/>
      <c r="AT7" s="57"/>
      <c r="AU7" s="54"/>
      <c r="AV7" s="426"/>
      <c r="AW7" s="426"/>
      <c r="AX7" s="426"/>
      <c r="AY7" s="426"/>
      <c r="AZ7" s="426"/>
      <c r="BA7" s="426"/>
      <c r="BB7" s="426"/>
      <c r="BC7" s="426"/>
      <c r="BD7" s="426"/>
      <c r="BE7" s="426"/>
      <c r="BF7" s="426"/>
      <c r="BG7" s="426"/>
      <c r="BH7" s="58"/>
      <c r="BI7" s="58"/>
    </row>
    <row r="8" spans="1:64" ht="42" customHeight="1" x14ac:dyDescent="0.25">
      <c r="A8" s="430"/>
      <c r="B8" s="430"/>
      <c r="C8" s="431"/>
      <c r="D8" s="421" t="s">
        <v>604</v>
      </c>
      <c r="E8" s="421" t="s">
        <v>605</v>
      </c>
      <c r="F8" s="421" t="s">
        <v>596</v>
      </c>
      <c r="G8" s="421" t="s">
        <v>606</v>
      </c>
      <c r="H8" s="59" t="s">
        <v>607</v>
      </c>
      <c r="I8" s="59"/>
      <c r="J8" s="421" t="s">
        <v>608</v>
      </c>
      <c r="K8" s="59" t="s">
        <v>607</v>
      </c>
      <c r="L8" s="421" t="s">
        <v>596</v>
      </c>
      <c r="M8" s="59" t="s">
        <v>607</v>
      </c>
      <c r="N8" s="424" t="s">
        <v>609</v>
      </c>
      <c r="O8" s="59" t="s">
        <v>607</v>
      </c>
      <c r="P8" s="421" t="s">
        <v>610</v>
      </c>
      <c r="Q8" s="59" t="s">
        <v>607</v>
      </c>
      <c r="R8" s="421" t="s">
        <v>595</v>
      </c>
      <c r="S8" s="59" t="s">
        <v>607</v>
      </c>
      <c r="T8" s="421" t="s">
        <v>592</v>
      </c>
      <c r="U8" s="59" t="s">
        <v>607</v>
      </c>
      <c r="V8" s="421" t="s">
        <v>593</v>
      </c>
      <c r="W8" s="59" t="s">
        <v>607</v>
      </c>
      <c r="X8" s="421" t="s">
        <v>594</v>
      </c>
      <c r="Y8" s="59" t="s">
        <v>607</v>
      </c>
      <c r="Z8" s="421" t="s">
        <v>611</v>
      </c>
      <c r="AA8" s="59" t="s">
        <v>607</v>
      </c>
      <c r="AB8" s="421" t="s">
        <v>596</v>
      </c>
      <c r="AC8" s="59" t="s">
        <v>607</v>
      </c>
      <c r="AD8" s="424" t="s">
        <v>609</v>
      </c>
      <c r="AE8" s="59" t="s">
        <v>607</v>
      </c>
      <c r="AF8" s="421" t="s">
        <v>610</v>
      </c>
      <c r="AG8" s="59" t="s">
        <v>607</v>
      </c>
      <c r="AH8" s="421" t="s">
        <v>595</v>
      </c>
      <c r="AI8" s="59" t="s">
        <v>607</v>
      </c>
      <c r="AJ8" s="421" t="s">
        <v>592</v>
      </c>
      <c r="AK8" s="59" t="s">
        <v>607</v>
      </c>
      <c r="AL8" s="421" t="s">
        <v>593</v>
      </c>
      <c r="AM8" s="59" t="s">
        <v>607</v>
      </c>
      <c r="AN8" s="421" t="s">
        <v>594</v>
      </c>
      <c r="AO8" s="59" t="s">
        <v>607</v>
      </c>
      <c r="AP8" s="421" t="s">
        <v>597</v>
      </c>
      <c r="AQ8" s="59"/>
      <c r="AR8" s="421" t="s">
        <v>612</v>
      </c>
      <c r="AS8" s="59" t="s">
        <v>607</v>
      </c>
      <c r="AT8" s="421" t="s">
        <v>596</v>
      </c>
      <c r="AU8" s="59" t="s">
        <v>607</v>
      </c>
      <c r="AV8" s="424" t="s">
        <v>609</v>
      </c>
      <c r="AW8" s="59" t="s">
        <v>607</v>
      </c>
      <c r="AX8" s="421" t="s">
        <v>610</v>
      </c>
      <c r="AY8" s="59" t="s">
        <v>607</v>
      </c>
      <c r="AZ8" s="421" t="s">
        <v>595</v>
      </c>
      <c r="BA8" s="59" t="s">
        <v>607</v>
      </c>
      <c r="BB8" s="421" t="s">
        <v>592</v>
      </c>
      <c r="BC8" s="59" t="s">
        <v>607</v>
      </c>
      <c r="BD8" s="421" t="s">
        <v>593</v>
      </c>
      <c r="BE8" s="59" t="s">
        <v>607</v>
      </c>
      <c r="BF8" s="421" t="s">
        <v>594</v>
      </c>
      <c r="BG8" s="59" t="s">
        <v>607</v>
      </c>
      <c r="BH8" s="421" t="s">
        <v>597</v>
      </c>
      <c r="BI8" s="59"/>
    </row>
    <row r="9" spans="1:64" x14ac:dyDescent="0.25">
      <c r="A9" s="430"/>
      <c r="B9" s="430"/>
      <c r="C9" s="431"/>
      <c r="D9" s="422"/>
      <c r="E9" s="422"/>
      <c r="F9" s="422"/>
      <c r="G9" s="422"/>
      <c r="H9" s="60"/>
      <c r="I9" s="60"/>
      <c r="J9" s="422"/>
      <c r="K9" s="60"/>
      <c r="L9" s="422"/>
      <c r="M9" s="60"/>
      <c r="N9" s="425"/>
      <c r="O9" s="60"/>
      <c r="P9" s="422"/>
      <c r="Q9" s="60"/>
      <c r="R9" s="422"/>
      <c r="S9" s="60"/>
      <c r="T9" s="422"/>
      <c r="U9" s="60"/>
      <c r="V9" s="422"/>
      <c r="W9" s="60"/>
      <c r="X9" s="422"/>
      <c r="Y9" s="60"/>
      <c r="Z9" s="422"/>
      <c r="AA9" s="60"/>
      <c r="AB9" s="422"/>
      <c r="AC9" s="60"/>
      <c r="AD9" s="425"/>
      <c r="AE9" s="60"/>
      <c r="AF9" s="422"/>
      <c r="AG9" s="60"/>
      <c r="AH9" s="422"/>
      <c r="AI9" s="60"/>
      <c r="AJ9" s="422"/>
      <c r="AK9" s="60"/>
      <c r="AL9" s="422"/>
      <c r="AM9" s="60"/>
      <c r="AN9" s="422"/>
      <c r="AO9" s="60"/>
      <c r="AP9" s="422"/>
      <c r="AQ9" s="60"/>
      <c r="AR9" s="422"/>
      <c r="AS9" s="60"/>
      <c r="AT9" s="422"/>
      <c r="AU9" s="60"/>
      <c r="AV9" s="425"/>
      <c r="AW9" s="60"/>
      <c r="AX9" s="422"/>
      <c r="AY9" s="60"/>
      <c r="AZ9" s="422"/>
      <c r="BA9" s="60"/>
      <c r="BB9" s="422"/>
      <c r="BC9" s="60"/>
      <c r="BD9" s="422"/>
      <c r="BE9" s="60"/>
      <c r="BF9" s="422"/>
      <c r="BG9" s="60"/>
      <c r="BH9" s="422"/>
      <c r="BI9" s="60"/>
    </row>
    <row r="10" spans="1:64" s="65" customFormat="1" x14ac:dyDescent="0.25">
      <c r="A10" s="61" t="s">
        <v>613</v>
      </c>
      <c r="B10" s="61" t="s">
        <v>614</v>
      </c>
      <c r="C10" s="58" t="s">
        <v>615</v>
      </c>
      <c r="D10" s="62"/>
      <c r="E10" s="62"/>
      <c r="F10" s="62"/>
      <c r="G10" s="62"/>
      <c r="H10" s="63"/>
      <c r="I10" s="63"/>
      <c r="J10" s="62"/>
      <c r="K10" s="63"/>
      <c r="L10" s="64"/>
      <c r="M10" s="63"/>
      <c r="N10" s="64"/>
      <c r="O10" s="63"/>
      <c r="P10" s="64"/>
      <c r="Q10" s="63"/>
      <c r="R10" s="64"/>
      <c r="S10" s="63"/>
      <c r="T10" s="64"/>
      <c r="U10" s="63"/>
      <c r="V10" s="64"/>
      <c r="W10" s="63"/>
      <c r="X10" s="64"/>
      <c r="Y10" s="63"/>
      <c r="Z10" s="62"/>
      <c r="AA10" s="63"/>
      <c r="AB10" s="64"/>
      <c r="AC10" s="63"/>
      <c r="AD10" s="64"/>
      <c r="AE10" s="63"/>
      <c r="AF10" s="64"/>
      <c r="AG10" s="63"/>
      <c r="AH10" s="64"/>
      <c r="AI10" s="63"/>
      <c r="AJ10" s="64"/>
      <c r="AK10" s="63"/>
      <c r="AL10" s="64"/>
      <c r="AM10" s="63"/>
      <c r="AN10" s="64"/>
      <c r="AO10" s="63"/>
      <c r="AP10" s="64"/>
      <c r="AQ10" s="63"/>
      <c r="AR10" s="62"/>
      <c r="AS10" s="63"/>
      <c r="AT10" s="64"/>
      <c r="AU10" s="63"/>
      <c r="AV10" s="64"/>
      <c r="AW10" s="63"/>
      <c r="AX10" s="64"/>
      <c r="AY10" s="63"/>
      <c r="AZ10" s="64"/>
      <c r="BA10" s="63"/>
      <c r="BB10" s="64"/>
      <c r="BC10" s="63"/>
      <c r="BD10" s="64"/>
      <c r="BE10" s="63"/>
      <c r="BF10" s="64"/>
      <c r="BG10" s="63"/>
      <c r="BH10" s="64"/>
      <c r="BI10" s="63"/>
      <c r="BK10" s="51">
        <f>37346616.125/1000</f>
        <v>37346.616125</v>
      </c>
    </row>
    <row r="11" spans="1:64" x14ac:dyDescent="0.25">
      <c r="A11" s="66" t="s">
        <v>578</v>
      </c>
      <c r="B11" s="67" t="s">
        <v>616</v>
      </c>
      <c r="C11" s="68" t="s">
        <v>617</v>
      </c>
      <c r="D11" s="69">
        <f>D12+D14</f>
        <v>2309.4939999999997</v>
      </c>
      <c r="E11" s="70">
        <v>145456.15232187693</v>
      </c>
      <c r="F11" s="70">
        <f>'[48]Приложение №1'!AT10</f>
        <v>25223.153263761</v>
      </c>
      <c r="G11" s="70">
        <f>'[48]Приложение №1'!AU10</f>
        <v>6877.7143441784328</v>
      </c>
      <c r="H11" s="71"/>
      <c r="I11" s="71"/>
      <c r="J11" s="69">
        <f>J12+J14</f>
        <v>59681.912309596897</v>
      </c>
      <c r="K11" s="71"/>
      <c r="L11" s="69">
        <f t="shared" ref="L11:X11" si="0">L12+L14</f>
        <v>29685.63934949867</v>
      </c>
      <c r="M11" s="48">
        <f>L11/J11</f>
        <v>0.49739759000190742</v>
      </c>
      <c r="N11" s="69">
        <f t="shared" si="0"/>
        <v>29996.272960098224</v>
      </c>
      <c r="O11" s="48">
        <f>N11/J11</f>
        <v>0.50260240999809247</v>
      </c>
      <c r="P11" s="69">
        <f t="shared" si="0"/>
        <v>12899.604051565377</v>
      </c>
      <c r="Q11" s="48">
        <f>P11/J11</f>
        <v>0.21613925479882973</v>
      </c>
      <c r="R11" s="69">
        <f t="shared" si="0"/>
        <v>5785.8381665643547</v>
      </c>
      <c r="S11" s="48">
        <f>R11/J11</f>
        <v>9.6944584090245173E-2</v>
      </c>
      <c r="T11" s="69">
        <f t="shared" si="0"/>
        <v>667.46048332310204</v>
      </c>
      <c r="U11" s="72">
        <f>T11/J11</f>
        <v>1.1183630977852797E-2</v>
      </c>
      <c r="V11" s="69">
        <f t="shared" si="0"/>
        <v>2153.7395129936567</v>
      </c>
      <c r="W11" s="48">
        <f>V11/J11</f>
        <v>3.6086972244140605E-2</v>
      </c>
      <c r="X11" s="69">
        <f t="shared" si="0"/>
        <v>8489.6307456517279</v>
      </c>
      <c r="Y11" s="48">
        <f>X11/J11</f>
        <v>0.1422479678870241</v>
      </c>
      <c r="Z11" s="69">
        <f>Z12+Z14</f>
        <v>186512.36465527301</v>
      </c>
      <c r="AA11" s="71"/>
      <c r="AB11" s="69">
        <f>AB12+AB14</f>
        <v>40309.430462678138</v>
      </c>
      <c r="AC11" s="48">
        <f>AB11/Z11</f>
        <v>0.21612202781934181</v>
      </c>
      <c r="AD11" s="69">
        <f>AD12+AD14</f>
        <v>146202.93419259487</v>
      </c>
      <c r="AE11" s="48">
        <f>AD11/Z11</f>
        <v>0.78387797218065813</v>
      </c>
      <c r="AF11" s="69">
        <f>AF12+AF14</f>
        <v>11215.565205385483</v>
      </c>
      <c r="AG11" s="48">
        <f>AF11/Z11</f>
        <v>6.0133092120273006E-2</v>
      </c>
      <c r="AH11" s="69">
        <f>AH12+AH14</f>
        <v>48340.885638313288</v>
      </c>
      <c r="AI11" s="48">
        <f>AH11/Z11</f>
        <v>0.25918327574507333</v>
      </c>
      <c r="AJ11" s="69">
        <f>AJ12+AJ14</f>
        <v>3319.0546092595787</v>
      </c>
      <c r="AK11" s="72">
        <f>AJ11/Z11</f>
        <v>1.7795359655613824E-2</v>
      </c>
      <c r="AL11" s="69">
        <f>AL12+AL14</f>
        <v>14568.143324736038</v>
      </c>
      <c r="AM11" s="48">
        <f>AL11/Z11</f>
        <v>7.8108190583836307E-2</v>
      </c>
      <c r="AN11" s="69">
        <f>AN12+AN14</f>
        <v>64465.148017437183</v>
      </c>
      <c r="AO11" s="48">
        <f>AN11/Z11</f>
        <v>0.34563471508490495</v>
      </c>
      <c r="AP11" s="69">
        <f>AP12+AP14</f>
        <v>4294.1373974633107</v>
      </c>
      <c r="AQ11" s="48">
        <f>AP11/Z11</f>
        <v>2.3023338990956859E-2</v>
      </c>
      <c r="AR11" s="69">
        <f>AR12+AR14</f>
        <v>186512.36465527301</v>
      </c>
      <c r="AS11" s="71"/>
      <c r="AT11" s="69">
        <f>AB11</f>
        <v>40309.430462678138</v>
      </c>
      <c r="AU11" s="48">
        <f>AT11/AR11</f>
        <v>0.21612202781934181</v>
      </c>
      <c r="AV11" s="69">
        <f>AV12+AV14</f>
        <v>146202.93419259487</v>
      </c>
      <c r="AW11" s="48">
        <f>AV11/AR11</f>
        <v>0.78387797218065813</v>
      </c>
      <c r="AX11" s="69">
        <f>AF11</f>
        <v>11215.565205385483</v>
      </c>
      <c r="AY11" s="48">
        <f>AX11/AR11</f>
        <v>6.0133092120273006E-2</v>
      </c>
      <c r="AZ11" s="69">
        <f>AH11</f>
        <v>48340.885638313288</v>
      </c>
      <c r="BA11" s="48">
        <f>AZ11/AR11</f>
        <v>0.25918327574507333</v>
      </c>
      <c r="BB11" s="69">
        <f>AJ11</f>
        <v>3319.0546092595787</v>
      </c>
      <c r="BC11" s="72">
        <f>BB11/AR11</f>
        <v>1.7795359655613824E-2</v>
      </c>
      <c r="BD11" s="69">
        <f>AL11</f>
        <v>14568.143324736038</v>
      </c>
      <c r="BE11" s="48">
        <f>BD11/AR11</f>
        <v>7.8108190583836307E-2</v>
      </c>
      <c r="BF11" s="69">
        <f>AN11</f>
        <v>64465.148017437183</v>
      </c>
      <c r="BG11" s="48">
        <f>BF11/AR11</f>
        <v>0.34563471508490495</v>
      </c>
      <c r="BH11" s="69">
        <f>BH12+BH14</f>
        <v>4294.1373974633107</v>
      </c>
      <c r="BI11" s="48">
        <f>BH11/AT11</f>
        <v>0.10652934929058808</v>
      </c>
      <c r="BK11" s="51">
        <v>0.22420000000000001</v>
      </c>
      <c r="BL11" s="51">
        <f>BK10*BK11</f>
        <v>8373.1113352250013</v>
      </c>
    </row>
    <row r="12" spans="1:64" x14ac:dyDescent="0.25">
      <c r="A12" s="66" t="s">
        <v>579</v>
      </c>
      <c r="B12" s="73" t="s">
        <v>618</v>
      </c>
      <c r="C12" s="68" t="s">
        <v>617</v>
      </c>
      <c r="D12" s="74">
        <v>52.194000000000003</v>
      </c>
      <c r="E12" s="74">
        <v>3284.6788796982364</v>
      </c>
      <c r="F12" s="74">
        <f>'[48]Приложение №1'!AT11</f>
        <v>570.04326376099857</v>
      </c>
      <c r="G12" s="74">
        <f>'[48]Приложение №1'!AU11</f>
        <v>155.43634417843256</v>
      </c>
      <c r="H12" s="75">
        <f>IF(ISERR(G12/G11*100),0,G12/G11*100)</f>
        <v>2.2599999999999998</v>
      </c>
      <c r="I12" s="76"/>
      <c r="J12" s="74">
        <f>L12+N12</f>
        <v>1287.6790995968897</v>
      </c>
      <c r="K12" s="75">
        <f>IF(ISERR(J12/J11*100),0,J12/J11*100)</f>
        <v>2.1575701075346241</v>
      </c>
      <c r="L12" s="74">
        <f>'[49]Табл.Т.11. факт'!$J$16</f>
        <v>613.05813949867002</v>
      </c>
      <c r="M12" s="75">
        <f>IF(ISERR(L12/L11*100),0,L12/L11*100)</f>
        <v>2.0651673769964578</v>
      </c>
      <c r="N12" s="74">
        <f>P12+R12+T12+V12+X12</f>
        <v>674.62096009821971</v>
      </c>
      <c r="O12" s="75">
        <f>IF(ISERR(N12/N11*100),0,N12/N11*100)</f>
        <v>2.249015939398928</v>
      </c>
      <c r="P12" s="74">
        <f>'[49]Табл.Т.11. факт'!$J$15</f>
        <v>291.53105156537748</v>
      </c>
      <c r="Q12" s="75">
        <f>IF(ISERR(P12/P11*100),0,P12/P11*100)</f>
        <v>2.2599999999999998</v>
      </c>
      <c r="R12" s="74">
        <f>'[49]Табл.Т.11. факт'!$J$17</f>
        <v>130.6071665643544</v>
      </c>
      <c r="S12" s="75">
        <f>IF(ISERR(R12/R11*100),0,R12/R11*100)</f>
        <v>2.2573594836979214</v>
      </c>
      <c r="T12" s="74">
        <f>'[49]Табл.Т.11. факт'!$J$18</f>
        <v>15.324483323102106</v>
      </c>
      <c r="U12" s="75">
        <f>IF(ISERR(T12/T11*100),0,T12/T11*100)</f>
        <v>2.2959386669313697</v>
      </c>
      <c r="V12" s="74">
        <f>'[49]Табл.Т.11. факт'!$J$19</f>
        <v>48.674512993656641</v>
      </c>
      <c r="W12" s="75">
        <f>IF(ISERR(V12/V11*100),0,V12/V11*100)</f>
        <v>2.2599999999999998</v>
      </c>
      <c r="X12" s="74">
        <f>'[49]Табл.Т.11. факт'!$J$20</f>
        <v>188.48374565172907</v>
      </c>
      <c r="Y12" s="75">
        <f>IF(ISERR(X12/X11*100),0,X12/X11*100)</f>
        <v>2.2201642368046204</v>
      </c>
      <c r="Z12" s="74">
        <f>AB12+AD12</f>
        <v>4327.0868600023332</v>
      </c>
      <c r="AA12" s="75">
        <f>IF(ISERR(Z12/Z11*100),0,Z12/Z11*100)</f>
        <v>2.3199999999999998</v>
      </c>
      <c r="AB12" s="74">
        <f>'[50]Табл.Т.12.'!$J$16</f>
        <v>935.17878673413259</v>
      </c>
      <c r="AC12" s="75">
        <f>IF(ISERR(AB12/AB11*100),0,AB12/AB11*100)</f>
        <v>2.3199999999999994</v>
      </c>
      <c r="AD12" s="74">
        <f>AF12+AH12+AJ12+AL12+AN12+AP12</f>
        <v>3391.908073268201</v>
      </c>
      <c r="AE12" s="75">
        <f>IF(ISERR(AD12/AD11*100),0,AD12/AD11*100)</f>
        <v>2.3199999999999998</v>
      </c>
      <c r="AF12" s="74">
        <f>'[50]Табл.Т.12.'!$J$15</f>
        <v>260.20111276494316</v>
      </c>
      <c r="AG12" s="75">
        <f>IF(ISERR(AF12/AF11*100),0,AF12/AF11*100)</f>
        <v>2.3199999999999994</v>
      </c>
      <c r="AH12" s="74">
        <f>'[50]Табл.Т.12.'!$J$17</f>
        <v>1121.5085468088682</v>
      </c>
      <c r="AI12" s="75">
        <f>IF(ISERR(AH12/AH11*100),0,AH12/AH11*100)</f>
        <v>2.3199999999999998</v>
      </c>
      <c r="AJ12" s="74">
        <f>'[50]Табл.Т.12.'!$J$18</f>
        <v>77.00206693482221</v>
      </c>
      <c r="AK12" s="75">
        <f>IF(ISERR(AJ12/AJ11*100),0,AJ12/AJ11*100)</f>
        <v>2.3199999999999994</v>
      </c>
      <c r="AL12" s="74">
        <f>'[50]Табл.Т.12.'!$J$19</f>
        <v>337.98092513387604</v>
      </c>
      <c r="AM12" s="75">
        <f>IF(ISERR(AL12/AL11*100),0,AL12/AL11*100)</f>
        <v>2.3199999999999998</v>
      </c>
      <c r="AN12" s="74">
        <f>'[50]Табл.Т.12.'!$J$20</f>
        <v>1495.5914340045424</v>
      </c>
      <c r="AO12" s="75">
        <f>IF(ISERR(AN12/AN11*100),0,AN12/AN11*100)</f>
        <v>2.3199999999999994</v>
      </c>
      <c r="AP12" s="74">
        <f>'[50]Табл.Т.12.'!$J$21</f>
        <v>99.6239876211488</v>
      </c>
      <c r="AQ12" s="75">
        <f>IF(ISERR(AP12/AP11*100),0,AP12/AP11*100)</f>
        <v>2.3199999999999998</v>
      </c>
      <c r="AR12" s="74">
        <f>AT12+AV12</f>
        <v>4327.0868600023332</v>
      </c>
      <c r="AS12" s="75">
        <f>IF(ISERR(AR12/AR11*100),0,AR12/AR11*100)</f>
        <v>2.3199999999999998</v>
      </c>
      <c r="AT12" s="74">
        <f>AB12</f>
        <v>935.17878673413259</v>
      </c>
      <c r="AU12" s="75">
        <f>IF(ISERR(AT12/AT11*100),0,AT12/AT11*100)</f>
        <v>2.3199999999999994</v>
      </c>
      <c r="AV12" s="74">
        <f>AX12+AZ12+BB12+BD12+BF12+BH12</f>
        <v>3391.908073268201</v>
      </c>
      <c r="AW12" s="75">
        <f>IF(ISERR(AV12/AV11*100),0,AV12/AV11*100)</f>
        <v>2.3199999999999998</v>
      </c>
      <c r="AX12" s="74">
        <f t="shared" ref="AX12:AX20" si="1">AF12</f>
        <v>260.20111276494316</v>
      </c>
      <c r="AY12" s="75">
        <f>IF(ISERR(AX12/AX11*100),0,AX12/AX11*100)</f>
        <v>2.3199999999999994</v>
      </c>
      <c r="AZ12" s="74">
        <f t="shared" ref="AZ12:AZ19" si="2">AH12</f>
        <v>1121.5085468088682</v>
      </c>
      <c r="BA12" s="75">
        <f>IF(ISERR(AZ12/AZ11*100),0,AZ12/AZ11*100)</f>
        <v>2.3199999999999998</v>
      </c>
      <c r="BB12" s="74">
        <f t="shared" ref="BB12:BB20" si="3">AJ12</f>
        <v>77.00206693482221</v>
      </c>
      <c r="BC12" s="75">
        <f>IF(ISERR(BB12/BB11*100),0,BB12/BB11*100)</f>
        <v>2.3199999999999994</v>
      </c>
      <c r="BD12" s="74">
        <f t="shared" ref="BD12:BD20" si="4">AL12</f>
        <v>337.98092513387604</v>
      </c>
      <c r="BE12" s="75">
        <f>IF(ISERR(BD12/BD11*100),0,BD12/BD11*100)</f>
        <v>2.3199999999999998</v>
      </c>
      <c r="BF12" s="74">
        <f t="shared" ref="BF12:BF20" si="5">AN12</f>
        <v>1495.5914340045424</v>
      </c>
      <c r="BG12" s="75">
        <f>IF(ISERR(BF12/BF11*100),0,BF12/BF11*100)</f>
        <v>2.3199999999999994</v>
      </c>
      <c r="BH12" s="74">
        <f>'[51]Табл.Т.12.'!$J$21</f>
        <v>99.6239876211488</v>
      </c>
      <c r="BI12" s="75">
        <f>IF(ISERR(BH12/BH11*100),0,BH12/BH11*100)</f>
        <v>2.3199999999999998</v>
      </c>
      <c r="BK12" s="51">
        <v>6.2600000000000003E-2</v>
      </c>
      <c r="BL12" s="51">
        <f>BK10*BK12</f>
        <v>2337.8981694250001</v>
      </c>
    </row>
    <row r="13" spans="1:64" x14ac:dyDescent="0.25">
      <c r="A13" s="66" t="s">
        <v>580</v>
      </c>
      <c r="B13" s="73" t="s">
        <v>619</v>
      </c>
      <c r="C13" s="68" t="s">
        <v>617</v>
      </c>
      <c r="D13" s="77"/>
      <c r="E13" s="77">
        <v>0</v>
      </c>
      <c r="F13" s="77">
        <f>'[48]Приложение №1'!AT12</f>
        <v>0</v>
      </c>
      <c r="G13" s="77">
        <f>'[48]Приложение №1'!AU12</f>
        <v>0</v>
      </c>
      <c r="H13" s="78"/>
      <c r="I13" s="78"/>
      <c r="J13" s="77"/>
      <c r="K13" s="78"/>
      <c r="L13" s="77"/>
      <c r="M13" s="78"/>
      <c r="N13" s="77"/>
      <c r="O13" s="78"/>
      <c r="P13" s="77"/>
      <c r="Q13" s="78"/>
      <c r="R13" s="77"/>
      <c r="S13" s="78"/>
      <c r="T13" s="77"/>
      <c r="U13" s="78"/>
      <c r="V13" s="77"/>
      <c r="W13" s="78"/>
      <c r="X13" s="77"/>
      <c r="Y13" s="78"/>
      <c r="Z13" s="77"/>
      <c r="AA13" s="78"/>
      <c r="AB13" s="77">
        <f>L13</f>
        <v>0</v>
      </c>
      <c r="AC13" s="78"/>
      <c r="AD13" s="77"/>
      <c r="AE13" s="78"/>
      <c r="AF13" s="77">
        <f>P13</f>
        <v>0</v>
      </c>
      <c r="AG13" s="78"/>
      <c r="AH13" s="77">
        <f>R13</f>
        <v>0</v>
      </c>
      <c r="AI13" s="78"/>
      <c r="AJ13" s="77">
        <f>T13</f>
        <v>0</v>
      </c>
      <c r="AK13" s="78"/>
      <c r="AL13" s="77">
        <f>V13</f>
        <v>0</v>
      </c>
      <c r="AM13" s="78"/>
      <c r="AN13" s="77">
        <f>X13</f>
        <v>0</v>
      </c>
      <c r="AO13" s="78"/>
      <c r="AP13" s="77">
        <f>Z13</f>
        <v>0</v>
      </c>
      <c r="AQ13" s="78"/>
      <c r="AR13" s="77"/>
      <c r="AS13" s="78"/>
      <c r="AT13" s="77">
        <f t="shared" ref="AT13:AT20" si="6">AB13</f>
        <v>0</v>
      </c>
      <c r="AU13" s="78"/>
      <c r="AV13" s="77"/>
      <c r="AW13" s="78"/>
      <c r="AX13" s="77">
        <f t="shared" si="1"/>
        <v>0</v>
      </c>
      <c r="AY13" s="78"/>
      <c r="AZ13" s="77">
        <f t="shared" si="2"/>
        <v>0</v>
      </c>
      <c r="BA13" s="78"/>
      <c r="BB13" s="77">
        <f t="shared" si="3"/>
        <v>0</v>
      </c>
      <c r="BC13" s="78"/>
      <c r="BD13" s="77">
        <f t="shared" si="4"/>
        <v>0</v>
      </c>
      <c r="BE13" s="78"/>
      <c r="BF13" s="77">
        <f t="shared" si="5"/>
        <v>0</v>
      </c>
      <c r="BG13" s="78"/>
      <c r="BH13" s="77">
        <f>AR13</f>
        <v>0</v>
      </c>
      <c r="BI13" s="78"/>
      <c r="BK13" s="51">
        <v>0.26779999999999998</v>
      </c>
      <c r="BL13" s="51">
        <f>BK10*BK13</f>
        <v>10001.423798275</v>
      </c>
    </row>
    <row r="14" spans="1:64" x14ac:dyDescent="0.25">
      <c r="A14" s="66" t="s">
        <v>620</v>
      </c>
      <c r="B14" s="73" t="s">
        <v>621</v>
      </c>
      <c r="C14" s="68" t="s">
        <v>617</v>
      </c>
      <c r="D14" s="69">
        <f>D15+D16</f>
        <v>2257.2999999999997</v>
      </c>
      <c r="E14" s="77">
        <v>142171.47344217869</v>
      </c>
      <c r="F14" s="77">
        <f>'[48]Приложение №1'!AT13</f>
        <v>24653.11</v>
      </c>
      <c r="G14" s="77">
        <f>'[48]Приложение №1'!AU13</f>
        <v>6722.2780000000002</v>
      </c>
      <c r="H14" s="78"/>
      <c r="I14" s="78"/>
      <c r="J14" s="69">
        <f>L14+N14</f>
        <v>58394.233210000006</v>
      </c>
      <c r="K14" s="78"/>
      <c r="L14" s="69">
        <f>L15+L16</f>
        <v>29072.58121</v>
      </c>
      <c r="M14" s="78"/>
      <c r="N14" s="69">
        <f t="shared" ref="N14:X14" si="7">N15+N16</f>
        <v>29321.652000000006</v>
      </c>
      <c r="O14" s="78"/>
      <c r="P14" s="69">
        <f t="shared" si="7"/>
        <v>12608.072999999999</v>
      </c>
      <c r="Q14" s="78"/>
      <c r="R14" s="69">
        <f t="shared" si="7"/>
        <v>5655.2310000000007</v>
      </c>
      <c r="S14" s="78"/>
      <c r="T14" s="69">
        <f t="shared" si="7"/>
        <v>652.13599999999997</v>
      </c>
      <c r="U14" s="78"/>
      <c r="V14" s="69">
        <f t="shared" si="7"/>
        <v>2105.0650000000001</v>
      </c>
      <c r="W14" s="78"/>
      <c r="X14" s="69">
        <f t="shared" si="7"/>
        <v>8301.146999999999</v>
      </c>
      <c r="Y14" s="78"/>
      <c r="Z14" s="69">
        <f>Z15+Z16</f>
        <v>182185.27779527067</v>
      </c>
      <c r="AA14" s="78"/>
      <c r="AB14" s="69">
        <f>AB15+AB16</f>
        <v>39374.251675944004</v>
      </c>
      <c r="AC14" s="78"/>
      <c r="AD14" s="69">
        <f>AD15+AD16</f>
        <v>142811.02611932668</v>
      </c>
      <c r="AE14" s="78"/>
      <c r="AF14" s="69">
        <f>AF15+AF16</f>
        <v>10955.364092620539</v>
      </c>
      <c r="AG14" s="78"/>
      <c r="AH14" s="69">
        <f>AH15+AH16</f>
        <v>47219.377091504422</v>
      </c>
      <c r="AI14" s="78"/>
      <c r="AJ14" s="69">
        <f>AJ15+AJ16</f>
        <v>3242.0525423247564</v>
      </c>
      <c r="AK14" s="78"/>
      <c r="AL14" s="69">
        <f>AL15+AL16</f>
        <v>14230.162399602163</v>
      </c>
      <c r="AM14" s="78"/>
      <c r="AN14" s="69">
        <f>AN15+AN16</f>
        <v>62969.556583432641</v>
      </c>
      <c r="AO14" s="78"/>
      <c r="AP14" s="69">
        <f>AP15+AP16</f>
        <v>4194.5134098421622</v>
      </c>
      <c r="AQ14" s="78"/>
      <c r="AR14" s="69">
        <f>AR15+AR16</f>
        <v>182185.27779527067</v>
      </c>
      <c r="AS14" s="78"/>
      <c r="AT14" s="69">
        <f>AB14</f>
        <v>39374.251675944004</v>
      </c>
      <c r="AU14" s="78"/>
      <c r="AV14" s="69">
        <f>AV15+AV16</f>
        <v>142811.02611932668</v>
      </c>
      <c r="AW14" s="78"/>
      <c r="AX14" s="69">
        <f t="shared" si="1"/>
        <v>10955.364092620539</v>
      </c>
      <c r="AY14" s="78"/>
      <c r="AZ14" s="69">
        <f t="shared" si="2"/>
        <v>47219.377091504422</v>
      </c>
      <c r="BA14" s="78"/>
      <c r="BB14" s="69">
        <f t="shared" si="3"/>
        <v>3242.0525423247564</v>
      </c>
      <c r="BC14" s="78"/>
      <c r="BD14" s="69">
        <f t="shared" si="4"/>
        <v>14230.162399602163</v>
      </c>
      <c r="BE14" s="78"/>
      <c r="BF14" s="69">
        <f t="shared" si="5"/>
        <v>62969.556583432641</v>
      </c>
      <c r="BG14" s="78"/>
      <c r="BH14" s="69">
        <f>BH15+BH16</f>
        <v>4194.5134098421622</v>
      </c>
      <c r="BI14" s="78"/>
      <c r="BK14" s="79">
        <v>1.83E-2</v>
      </c>
      <c r="BL14" s="51">
        <f>BK10*BK14</f>
        <v>683.44307508750001</v>
      </c>
    </row>
    <row r="15" spans="1:64" x14ac:dyDescent="0.25">
      <c r="A15" s="66" t="s">
        <v>622</v>
      </c>
      <c r="B15" s="73" t="s">
        <v>623</v>
      </c>
      <c r="C15" s="68" t="s">
        <v>617</v>
      </c>
      <c r="D15" s="74">
        <v>183.58</v>
      </c>
      <c r="E15" s="74">
        <v>16671.37</v>
      </c>
      <c r="F15" s="74">
        <f>'[48]Приложение №1'!AT14</f>
        <v>4433.45</v>
      </c>
      <c r="G15" s="74">
        <f>'[48]Приложение №1'!AU14</f>
        <v>964.85799999999995</v>
      </c>
      <c r="H15" s="75">
        <f>IF(ISERR(G15/G14*100),0,G15/G14*100)</f>
        <v>14.353140408653136</v>
      </c>
      <c r="I15" s="75">
        <f>IF(ISERR(E15/E14*100),0,E15/E14*100)</f>
        <v>11.726241274963128</v>
      </c>
      <c r="J15" s="74">
        <f>L15+N15</f>
        <v>7626.7000000000007</v>
      </c>
      <c r="K15" s="75">
        <f>IF(ISERR(J15/J14*100),0,J15/J14*100)</f>
        <v>13.060707506120533</v>
      </c>
      <c r="L15" s="74">
        <f>'[49]Табл.Т.11. факт'!$N$16</f>
        <v>5122.04</v>
      </c>
      <c r="M15" s="75">
        <f>IF(ISERR(L15/L14*100),0,L15/L14*100)</f>
        <v>17.618112279064473</v>
      </c>
      <c r="N15" s="74">
        <f>P15+R15+T15+V15+X15</f>
        <v>2504.6600000000003</v>
      </c>
      <c r="O15" s="75">
        <f>IF(ISERR(N15/N14*100),0,N15/N14*100)</f>
        <v>8.5420152998200773</v>
      </c>
      <c r="P15" s="74">
        <f>'[49]Табл.Т.11. факт'!$N$15</f>
        <v>1052.8</v>
      </c>
      <c r="Q15" s="75">
        <f>IF(ISERR(P15/P14*100),0,P15/P14*100)</f>
        <v>8.3502054596289224</v>
      </c>
      <c r="R15" s="74">
        <f>'[49]Табл.Т.11. факт'!$N$17</f>
        <v>422.22</v>
      </c>
      <c r="S15" s="75">
        <f>IF(ISERR(R15/R14*100),0,R15/R14*100)</f>
        <v>7.466008019831551</v>
      </c>
      <c r="T15" s="74">
        <f>'[49]Табл.Т.11. факт'!$N$18</f>
        <v>44.19</v>
      </c>
      <c r="U15" s="75">
        <f>IF(ISERR(T15/T14*100),0,T15/T14*100)</f>
        <v>6.7761939227400427</v>
      </c>
      <c r="V15" s="74">
        <f>'[49]Табл.Т.11. факт'!$N$19</f>
        <v>176.13</v>
      </c>
      <c r="W15" s="75">
        <f>IF(ISERR(V15/V14*100),0,V15/V14*100)</f>
        <v>8.3669625403491104</v>
      </c>
      <c r="X15" s="74">
        <f>'[49]Табл.Т.11. факт'!$N$20</f>
        <v>809.32</v>
      </c>
      <c r="Y15" s="75">
        <f>IF(ISERR(X15/X14*100),0,X15/X14*100)</f>
        <v>9.749496063616272</v>
      </c>
      <c r="Z15" s="74">
        <f>AB15+AD15</f>
        <v>20833.25</v>
      </c>
      <c r="AA15" s="75">
        <f>IF(ISERR(Z15/Z14*100),0,Z15/Z14*100)</f>
        <v>11.435199513437748</v>
      </c>
      <c r="AB15" s="74">
        <f>'[50]Табл.Т.12.'!$N$16</f>
        <v>5715.09</v>
      </c>
      <c r="AC15" s="75">
        <f>IF(ISERR(AB15/AB14*100),0,AB15/AB14*100)</f>
        <v>14.514790140104877</v>
      </c>
      <c r="AD15" s="74">
        <f>AF15+AH15+AJ15+AL15+AN15+AP15</f>
        <v>15118.16</v>
      </c>
      <c r="AE15" s="75">
        <f>IF(ISERR(AD15/AD14*100),0,AD15/AD14*100)</f>
        <v>10.586129384273118</v>
      </c>
      <c r="AF15" s="74">
        <f>'[52]Табл.Т.12.'!$N$15</f>
        <v>1052.8</v>
      </c>
      <c r="AG15" s="75">
        <f>IF(ISERR(AF15/AF14*100),0,AF15/AF14*100)</f>
        <v>9.6099042542014566</v>
      </c>
      <c r="AH15" s="74">
        <f>'[52]Табл.Т.12.'!$N$17</f>
        <v>4045.92</v>
      </c>
      <c r="AI15" s="75">
        <f>IF(ISERR(AH15/AH14*100),0,AH15/AH14*100)</f>
        <v>8.5683468296491583</v>
      </c>
      <c r="AJ15" s="74">
        <f>'[52]Табл.Т.12.'!$N$18</f>
        <v>426.71</v>
      </c>
      <c r="AK15" s="75">
        <f>IF(ISERR(AJ15/AJ14*100),0,AJ15/AJ14*100)</f>
        <v>13.161723766944936</v>
      </c>
      <c r="AL15" s="74">
        <f>'[52]Табл.Т.12.'!$N$19</f>
        <v>1686.76</v>
      </c>
      <c r="AM15" s="75">
        <f>IF(ISERR(AL15/AL14*100),0,AL15/AL14*100)</f>
        <v>11.853413563622839</v>
      </c>
      <c r="AN15" s="74">
        <f>'[52]Табл.Т.12.'!$N$20</f>
        <v>7766.95</v>
      </c>
      <c r="AO15" s="75">
        <f>IF(ISERR(AN15/AN14*100),0,AN15/AN14*100)</f>
        <v>12.334452426561143</v>
      </c>
      <c r="AP15" s="74">
        <f>'[51]Табл.Т.12.'!$N$21</f>
        <v>139.02000000000001</v>
      </c>
      <c r="AQ15" s="75">
        <f>IF(ISERR(AP15/AP14*100),0,AP15/AP14*100)</f>
        <v>3.3143296114824263</v>
      </c>
      <c r="AR15" s="74">
        <f>AT15+AV15</f>
        <v>20833.25</v>
      </c>
      <c r="AS15" s="75">
        <f>IF(ISERR(AR15/AR14*100),0,AR15/AR14*100)</f>
        <v>11.435199513437748</v>
      </c>
      <c r="AT15" s="74">
        <f t="shared" si="6"/>
        <v>5715.09</v>
      </c>
      <c r="AU15" s="75">
        <f>IF(ISERR(AT15/AT14*100),0,AT15/AT14*100)</f>
        <v>14.514790140104877</v>
      </c>
      <c r="AV15" s="74">
        <f>AX15+AZ15+BB15+BD15+BF15+BH15</f>
        <v>15118.16</v>
      </c>
      <c r="AW15" s="75">
        <f>IF(ISERR(AV15/AV14*100),0,AV15/AV14*100)</f>
        <v>10.586129384273118</v>
      </c>
      <c r="AX15" s="74">
        <f t="shared" si="1"/>
        <v>1052.8</v>
      </c>
      <c r="AY15" s="75">
        <f>IF(ISERR(AX15/AX14*100),0,AX15/AX14*100)</f>
        <v>9.6099042542014566</v>
      </c>
      <c r="AZ15" s="74">
        <f t="shared" si="2"/>
        <v>4045.92</v>
      </c>
      <c r="BA15" s="75">
        <f>IF(ISERR(AZ15/AZ14*100),0,AZ15/AZ14*100)</f>
        <v>8.5683468296491583</v>
      </c>
      <c r="BB15" s="74">
        <f t="shared" si="3"/>
        <v>426.71</v>
      </c>
      <c r="BC15" s="75">
        <f>IF(ISERR(BB15/BB14*100),0,BB15/BB14*100)</f>
        <v>13.161723766944936</v>
      </c>
      <c r="BD15" s="74">
        <f t="shared" si="4"/>
        <v>1686.76</v>
      </c>
      <c r="BE15" s="75">
        <f>IF(ISERR(BD15/BD14*100),0,BD15/BD14*100)</f>
        <v>11.853413563622839</v>
      </c>
      <c r="BF15" s="74">
        <f t="shared" si="5"/>
        <v>7766.95</v>
      </c>
      <c r="BG15" s="75">
        <f>IF(ISERR(BF15/BF14*100),0,BF15/BF14*100)</f>
        <v>12.334452426561143</v>
      </c>
      <c r="BH15" s="74">
        <f>'[51]Табл.Т.12.'!$N$21</f>
        <v>139.02000000000001</v>
      </c>
      <c r="BI15" s="75">
        <f>IF(ISERR(BH15/BH14*100),0,BH15/BH14*100)</f>
        <v>3.3143296114824263</v>
      </c>
      <c r="BK15" s="51">
        <v>8.0600000000000005E-2</v>
      </c>
      <c r="BL15" s="51">
        <f>BK10*BK15</f>
        <v>3010.1372596750002</v>
      </c>
    </row>
    <row r="16" spans="1:64" x14ac:dyDescent="0.25">
      <c r="A16" s="66" t="s">
        <v>624</v>
      </c>
      <c r="B16" s="67" t="s">
        <v>625</v>
      </c>
      <c r="C16" s="68" t="s">
        <v>617</v>
      </c>
      <c r="D16" s="70">
        <f>D17</f>
        <v>2073.7199999999998</v>
      </c>
      <c r="E16" s="70">
        <v>125500.1034421787</v>
      </c>
      <c r="F16" s="70">
        <f>'[48]Приложение №1'!AT15</f>
        <v>20219.660000000003</v>
      </c>
      <c r="G16" s="70">
        <f>'[48]Приложение №1'!AU15</f>
        <v>5757.42</v>
      </c>
      <c r="H16" s="71"/>
      <c r="I16" s="71"/>
      <c r="J16" s="69">
        <f>J17</f>
        <v>50767.533210000009</v>
      </c>
      <c r="K16" s="71"/>
      <c r="L16" s="69">
        <f>L17</f>
        <v>23950.541209999999</v>
      </c>
      <c r="M16" s="71"/>
      <c r="N16" s="69">
        <f>N17</f>
        <v>26816.992000000006</v>
      </c>
      <c r="O16" s="71"/>
      <c r="P16" s="69">
        <f t="shared" ref="P16:X16" si="8">P17</f>
        <v>11555.272999999999</v>
      </c>
      <c r="Q16" s="71"/>
      <c r="R16" s="69">
        <f t="shared" si="8"/>
        <v>5233.0110000000004</v>
      </c>
      <c r="S16" s="71"/>
      <c r="T16" s="69">
        <f t="shared" si="8"/>
        <v>607.94600000000003</v>
      </c>
      <c r="U16" s="71"/>
      <c r="V16" s="69">
        <f t="shared" si="8"/>
        <v>1928.9349999999999</v>
      </c>
      <c r="W16" s="71"/>
      <c r="X16" s="69">
        <f t="shared" si="8"/>
        <v>7491.8269999999993</v>
      </c>
      <c r="Y16" s="71"/>
      <c r="Z16" s="69">
        <f>Z17</f>
        <v>161352.02779527067</v>
      </c>
      <c r="AA16" s="71"/>
      <c r="AB16" s="69">
        <f>AB17</f>
        <v>33659.161675944</v>
      </c>
      <c r="AC16" s="71"/>
      <c r="AD16" s="69">
        <f>AD17</f>
        <v>127692.86611932667</v>
      </c>
      <c r="AE16" s="71"/>
      <c r="AF16" s="69">
        <f>AF17</f>
        <v>9902.5640926205397</v>
      </c>
      <c r="AG16" s="71"/>
      <c r="AH16" s="69">
        <f>AH17</f>
        <v>43173.457091504424</v>
      </c>
      <c r="AI16" s="71"/>
      <c r="AJ16" s="69">
        <f>AJ17</f>
        <v>2815.3425423247563</v>
      </c>
      <c r="AK16" s="71"/>
      <c r="AL16" s="69">
        <f>AL17</f>
        <v>12543.402399602162</v>
      </c>
      <c r="AM16" s="71"/>
      <c r="AN16" s="69">
        <f>AN17</f>
        <v>55202.606583432644</v>
      </c>
      <c r="AO16" s="71"/>
      <c r="AP16" s="69">
        <f>AP17</f>
        <v>4055.4934098421618</v>
      </c>
      <c r="AQ16" s="71"/>
      <c r="AR16" s="69">
        <f>AR17</f>
        <v>161352.02779527067</v>
      </c>
      <c r="AS16" s="71"/>
      <c r="AT16" s="69">
        <f t="shared" si="6"/>
        <v>33659.161675944</v>
      </c>
      <c r="AU16" s="71"/>
      <c r="AV16" s="69">
        <f>AV17</f>
        <v>127692.86611932667</v>
      </c>
      <c r="AW16" s="71"/>
      <c r="AX16" s="69">
        <f t="shared" si="1"/>
        <v>9902.5640926205397</v>
      </c>
      <c r="AY16" s="71"/>
      <c r="AZ16" s="69">
        <f t="shared" si="2"/>
        <v>43173.457091504424</v>
      </c>
      <c r="BA16" s="71"/>
      <c r="BB16" s="69">
        <f t="shared" si="3"/>
        <v>2815.3425423247563</v>
      </c>
      <c r="BC16" s="71"/>
      <c r="BD16" s="69">
        <f t="shared" si="4"/>
        <v>12543.402399602162</v>
      </c>
      <c r="BE16" s="71"/>
      <c r="BF16" s="69">
        <f t="shared" si="5"/>
        <v>55202.606583432644</v>
      </c>
      <c r="BG16" s="71"/>
      <c r="BH16" s="69">
        <f>BH17</f>
        <v>4055.4934098421618</v>
      </c>
      <c r="BI16" s="71"/>
      <c r="BK16" s="51">
        <v>0.34649999999999997</v>
      </c>
      <c r="BL16" s="51">
        <f>BK10*BK16</f>
        <v>12940.602487312499</v>
      </c>
    </row>
    <row r="17" spans="1:64" s="83" customFormat="1" ht="13.5" x14ac:dyDescent="0.25">
      <c r="A17" s="80"/>
      <c r="B17" s="81" t="s">
        <v>626</v>
      </c>
      <c r="C17" s="82" t="s">
        <v>617</v>
      </c>
      <c r="D17" s="70">
        <f>D18+D19</f>
        <v>2073.7199999999998</v>
      </c>
      <c r="E17" s="70">
        <v>125500.10344217869</v>
      </c>
      <c r="F17" s="70">
        <f>'[48]Приложение №1'!AT16</f>
        <v>20219.66</v>
      </c>
      <c r="G17" s="70">
        <f>'[48]Приложение №1'!AU16</f>
        <v>5757.42</v>
      </c>
      <c r="H17" s="71"/>
      <c r="I17" s="71"/>
      <c r="J17" s="69">
        <f>L17+N17</f>
        <v>50767.533210000009</v>
      </c>
      <c r="K17" s="71"/>
      <c r="L17" s="69">
        <f>L18+L19+L20</f>
        <v>23950.541209999999</v>
      </c>
      <c r="M17" s="71"/>
      <c r="N17" s="69">
        <f>N18+N19+N20</f>
        <v>26816.992000000006</v>
      </c>
      <c r="O17" s="71"/>
      <c r="P17" s="69">
        <f>P18+P19+P20</f>
        <v>11555.272999999999</v>
      </c>
      <c r="Q17" s="71"/>
      <c r="R17" s="69">
        <f t="shared" ref="R17:X17" si="9">R18+R19+R20</f>
        <v>5233.0110000000004</v>
      </c>
      <c r="S17" s="71"/>
      <c r="T17" s="69">
        <f t="shared" si="9"/>
        <v>607.94600000000003</v>
      </c>
      <c r="U17" s="71"/>
      <c r="V17" s="69">
        <f t="shared" si="9"/>
        <v>1928.9349999999999</v>
      </c>
      <c r="W17" s="71"/>
      <c r="X17" s="69">
        <f t="shared" si="9"/>
        <v>7491.8269999999993</v>
      </c>
      <c r="Y17" s="71"/>
      <c r="Z17" s="69">
        <f>AB17+AD17</f>
        <v>161352.02779527067</v>
      </c>
      <c r="AA17" s="71"/>
      <c r="AB17" s="69">
        <f>AB18+AB19+AB20</f>
        <v>33659.161675944</v>
      </c>
      <c r="AC17" s="71"/>
      <c r="AD17" s="69">
        <f>AD18+AD19+AD20</f>
        <v>127692.86611932667</v>
      </c>
      <c r="AE17" s="71"/>
      <c r="AF17" s="69">
        <f>AF18+AF19+AF20</f>
        <v>9902.5640926205397</v>
      </c>
      <c r="AG17" s="71"/>
      <c r="AH17" s="69">
        <f>AH18+AH19+AH20</f>
        <v>43173.457091504424</v>
      </c>
      <c r="AI17" s="71"/>
      <c r="AJ17" s="69">
        <f>AJ18+AJ19+AJ20</f>
        <v>2815.3425423247563</v>
      </c>
      <c r="AK17" s="71"/>
      <c r="AL17" s="69">
        <f>AL18+AL19+AL20</f>
        <v>12543.402399602162</v>
      </c>
      <c r="AM17" s="71"/>
      <c r="AN17" s="69">
        <f>AN18+AN19+AN20</f>
        <v>55202.606583432644</v>
      </c>
      <c r="AO17" s="71"/>
      <c r="AP17" s="69">
        <f>AP18+AP19+AP20</f>
        <v>4055.4934098421618</v>
      </c>
      <c r="AQ17" s="71"/>
      <c r="AR17" s="69">
        <f>AT17+AV17</f>
        <v>161352.02779527067</v>
      </c>
      <c r="AS17" s="71"/>
      <c r="AT17" s="69">
        <f t="shared" si="6"/>
        <v>33659.161675944</v>
      </c>
      <c r="AU17" s="71"/>
      <c r="AV17" s="69">
        <f>AV18+AV19+AV20</f>
        <v>127692.86611932667</v>
      </c>
      <c r="AW17" s="71"/>
      <c r="AX17" s="69">
        <f t="shared" si="1"/>
        <v>9902.5640926205397</v>
      </c>
      <c r="AY17" s="71"/>
      <c r="AZ17" s="69">
        <f t="shared" si="2"/>
        <v>43173.457091504424</v>
      </c>
      <c r="BA17" s="71"/>
      <c r="BB17" s="69">
        <f t="shared" si="3"/>
        <v>2815.3425423247563</v>
      </c>
      <c r="BC17" s="71"/>
      <c r="BD17" s="69">
        <f t="shared" si="4"/>
        <v>12543.402399602162</v>
      </c>
      <c r="BE17" s="71"/>
      <c r="BF17" s="69">
        <f t="shared" si="5"/>
        <v>55202.606583432644</v>
      </c>
      <c r="BG17" s="71"/>
      <c r="BH17" s="69">
        <f>BH18+BH19+BH20</f>
        <v>4055.4934098421618</v>
      </c>
      <c r="BI17" s="71"/>
      <c r="BK17" s="79">
        <f>SUM(BK11:BK16)</f>
        <v>1</v>
      </c>
      <c r="BL17" s="83">
        <f>SUM(BL10:BL16)</f>
        <v>37346.616125</v>
      </c>
    </row>
    <row r="18" spans="1:64" x14ac:dyDescent="0.25">
      <c r="A18" s="66"/>
      <c r="B18" s="84" t="s">
        <v>627</v>
      </c>
      <c r="C18" s="68" t="s">
        <v>617</v>
      </c>
      <c r="D18" s="74">
        <v>1945.29</v>
      </c>
      <c r="E18" s="74">
        <v>117545.86054625436</v>
      </c>
      <c r="F18" s="74">
        <f>'[48]Приложение №1'!AT17</f>
        <v>20219.66</v>
      </c>
      <c r="G18" s="74">
        <f>'[48]Приложение №1'!AU17</f>
        <v>4649.51</v>
      </c>
      <c r="H18" s="85"/>
      <c r="I18" s="85"/>
      <c r="J18" s="74">
        <f>L18+N18</f>
        <v>48883.610209999999</v>
      </c>
      <c r="K18" s="85"/>
      <c r="L18" s="74">
        <f>'[50]Табл.Т.11. факт'!$Q$16</f>
        <v>23458.857209999998</v>
      </c>
      <c r="M18" s="85"/>
      <c r="N18" s="74">
        <f>P18+R18+T18+V18+X18</f>
        <v>25424.753000000004</v>
      </c>
      <c r="O18" s="85"/>
      <c r="P18" s="74">
        <f>'[50]Табл.Т.11. факт'!$Q$15</f>
        <v>11104.602999999999</v>
      </c>
      <c r="Q18" s="85"/>
      <c r="R18" s="74">
        <f>'[50]Табл.Т.11. факт'!$Q$17</f>
        <v>4904.0300000000007</v>
      </c>
      <c r="S18" s="85"/>
      <c r="T18" s="74">
        <f>'[50]Табл.Т.11. факт'!$Q$18</f>
        <v>431.05200000000002</v>
      </c>
      <c r="U18" s="85"/>
      <c r="V18" s="74">
        <f>'[50]Табл.Т.11. факт'!$Q$19</f>
        <v>1854.24</v>
      </c>
      <c r="W18" s="85"/>
      <c r="X18" s="74">
        <f>'[50]Табл.Т.11. факт'!$Q$20</f>
        <v>7130.8279999999995</v>
      </c>
      <c r="Y18" s="85"/>
      <c r="Z18" s="74">
        <f>AB18+AD18</f>
        <v>151803.91573492149</v>
      </c>
      <c r="AA18" s="85"/>
      <c r="AB18" s="74">
        <f>'[50]Табл.Т.12.'!$P$16</f>
        <v>32191.091050944</v>
      </c>
      <c r="AC18" s="85"/>
      <c r="AD18" s="74">
        <f>AF18+AH18+AJ18+AL18+AN18+AP18</f>
        <v>119612.82468397749</v>
      </c>
      <c r="AE18" s="85"/>
      <c r="AF18" s="74">
        <f>'[50]Табл.Т.12.'!$P$15</f>
        <v>9428.0710154551343</v>
      </c>
      <c r="AG18" s="85"/>
      <c r="AH18" s="74">
        <f>'[50]Табл.Т.12.'!$P$17</f>
        <v>38786.303429234154</v>
      </c>
      <c r="AI18" s="85"/>
      <c r="AJ18" s="74">
        <f>'[50]Табл.Т.12.'!$P$18</f>
        <v>1307.4704212436754</v>
      </c>
      <c r="AK18" s="85"/>
      <c r="AL18" s="74">
        <f>'[50]Табл.Т.12.'!$P$19</f>
        <v>12211.063067710271</v>
      </c>
      <c r="AM18" s="85"/>
      <c r="AN18" s="74">
        <f>'[50]Табл.Т.12.'!$P$20</f>
        <v>53824.423340492103</v>
      </c>
      <c r="AO18" s="85"/>
      <c r="AP18" s="74">
        <f>'[50]Табл.Т.12.'!$P$21</f>
        <v>4055.4934098421618</v>
      </c>
      <c r="AQ18" s="85"/>
      <c r="AR18" s="74">
        <f>AT18+AV18</f>
        <v>151803.91573492149</v>
      </c>
      <c r="AS18" s="85"/>
      <c r="AT18" s="74">
        <f t="shared" si="6"/>
        <v>32191.091050944</v>
      </c>
      <c r="AU18" s="85"/>
      <c r="AV18" s="74">
        <f>AX18+AZ18+BB18+BD18+BF18+BH18</f>
        <v>119612.82468397749</v>
      </c>
      <c r="AW18" s="85"/>
      <c r="AX18" s="74">
        <f t="shared" si="1"/>
        <v>9428.0710154551343</v>
      </c>
      <c r="AY18" s="85"/>
      <c r="AZ18" s="74">
        <f t="shared" si="2"/>
        <v>38786.303429234154</v>
      </c>
      <c r="BA18" s="85"/>
      <c r="BB18" s="74">
        <f t="shared" si="3"/>
        <v>1307.4704212436754</v>
      </c>
      <c r="BC18" s="85"/>
      <c r="BD18" s="74">
        <f t="shared" si="4"/>
        <v>12211.063067710271</v>
      </c>
      <c r="BE18" s="85"/>
      <c r="BF18" s="74">
        <f t="shared" si="5"/>
        <v>53824.423340492103</v>
      </c>
      <c r="BG18" s="85"/>
      <c r="BH18" s="74">
        <f>AP18</f>
        <v>4055.4934098421618</v>
      </c>
      <c r="BI18" s="85"/>
    </row>
    <row r="19" spans="1:64" x14ac:dyDescent="0.25">
      <c r="A19" s="66"/>
      <c r="B19" s="84" t="s">
        <v>628</v>
      </c>
      <c r="C19" s="68" t="s">
        <v>617</v>
      </c>
      <c r="D19" s="74">
        <v>128.43</v>
      </c>
      <c r="E19" s="74">
        <v>5613.0328959243243</v>
      </c>
      <c r="F19" s="74">
        <f>'[48]Приложение №1'!AT18</f>
        <v>0</v>
      </c>
      <c r="G19" s="74">
        <f>'[48]Приложение №1'!AU18</f>
        <v>1107.9100000000001</v>
      </c>
      <c r="H19" s="85"/>
      <c r="I19" s="85"/>
      <c r="J19" s="74">
        <f>L19+N19</f>
        <v>1213.3760000000002</v>
      </c>
      <c r="K19" s="85"/>
      <c r="L19" s="74">
        <f>'[50]Табл.Т.11. факт'!$R$16</f>
        <v>0</v>
      </c>
      <c r="M19" s="85"/>
      <c r="N19" s="74">
        <f>P19+R19+T19+V19+X19</f>
        <v>1213.3760000000002</v>
      </c>
      <c r="O19" s="85"/>
      <c r="P19" s="74">
        <f>'[50]Табл.Т.11. факт'!$R$15</f>
        <v>450.67000000000007</v>
      </c>
      <c r="Q19" s="85"/>
      <c r="R19" s="74">
        <f>'[50]Табл.Т.11. факт'!$R$17</f>
        <v>248.75</v>
      </c>
      <c r="S19" s="85"/>
      <c r="T19" s="74">
        <f>'[50]Табл.Т.11. факт'!$R$18</f>
        <v>176.89400000000001</v>
      </c>
      <c r="U19" s="85"/>
      <c r="V19" s="74">
        <f>'[50]Табл.Т.11. факт'!$R$19</f>
        <v>0</v>
      </c>
      <c r="W19" s="85"/>
      <c r="X19" s="74">
        <f>'[50]Табл.Т.11. факт'!$R$20</f>
        <v>337.06200000000001</v>
      </c>
      <c r="Y19" s="85"/>
      <c r="Z19" s="74">
        <f>AB19+AD19</f>
        <v>5667.5077278897297</v>
      </c>
      <c r="AA19" s="85"/>
      <c r="AB19" s="74">
        <f>'[50]Табл.Т.12.'!$Q$16</f>
        <v>0</v>
      </c>
      <c r="AC19" s="85"/>
      <c r="AD19" s="74">
        <f>AF19+AH19+AJ19+AL19+AN19+AP19</f>
        <v>5667.5077278897297</v>
      </c>
      <c r="AE19" s="85"/>
      <c r="AF19" s="74">
        <f>'[50]Табл.Т.12.'!$Q$15</f>
        <v>474.49307716540534</v>
      </c>
      <c r="AG19" s="85"/>
      <c r="AH19" s="74">
        <f>'[50]Табл.Т.12.'!$Q$17</f>
        <v>2613.4117340540543</v>
      </c>
      <c r="AI19" s="85"/>
      <c r="AJ19" s="74">
        <f>'[50]Табл.Т.12.'!$Q$18</f>
        <v>1507.8721210810811</v>
      </c>
      <c r="AK19" s="85"/>
      <c r="AL19" s="74">
        <f>'[50]Табл.Т.12.'!$Q$19</f>
        <v>0</v>
      </c>
      <c r="AM19" s="85"/>
      <c r="AN19" s="74">
        <f>'[50]Табл.Т.12.'!$Q$20</f>
        <v>1071.730795589189</v>
      </c>
      <c r="AO19" s="85"/>
      <c r="AP19" s="74">
        <f>'[51]Табл.Т.12.'!$Q$21</f>
        <v>0</v>
      </c>
      <c r="AQ19" s="85"/>
      <c r="AR19" s="74">
        <f>AT19+AV19</f>
        <v>5667.5077278897297</v>
      </c>
      <c r="AS19" s="85"/>
      <c r="AT19" s="74">
        <f t="shared" si="6"/>
        <v>0</v>
      </c>
      <c r="AU19" s="85"/>
      <c r="AV19" s="74">
        <f>AX19+AZ19+BB19+BD19+BF19+BH19</f>
        <v>5667.5077278897297</v>
      </c>
      <c r="AW19" s="85"/>
      <c r="AX19" s="74">
        <f t="shared" si="1"/>
        <v>474.49307716540534</v>
      </c>
      <c r="AY19" s="85"/>
      <c r="AZ19" s="74">
        <f t="shared" si="2"/>
        <v>2613.4117340540543</v>
      </c>
      <c r="BA19" s="85"/>
      <c r="BB19" s="74">
        <f t="shared" si="3"/>
        <v>1507.8721210810811</v>
      </c>
      <c r="BC19" s="85"/>
      <c r="BD19" s="74">
        <f t="shared" si="4"/>
        <v>0</v>
      </c>
      <c r="BE19" s="85"/>
      <c r="BF19" s="74">
        <f t="shared" si="5"/>
        <v>1071.730795589189</v>
      </c>
      <c r="BG19" s="85"/>
      <c r="BH19" s="74">
        <f>AP19</f>
        <v>0</v>
      </c>
      <c r="BI19" s="85"/>
      <c r="BL19" s="51">
        <f t="array" ref="BL19:BL20">BL17-BK9:BK10</f>
        <v>37346.616125</v>
      </c>
    </row>
    <row r="20" spans="1:64" x14ac:dyDescent="0.25">
      <c r="A20" s="66"/>
      <c r="B20" s="84" t="s">
        <v>629</v>
      </c>
      <c r="C20" s="68" t="s">
        <v>617</v>
      </c>
      <c r="D20" s="74"/>
      <c r="E20" s="74">
        <v>2341.21</v>
      </c>
      <c r="F20" s="74">
        <f>'[48]Приложение №1'!AT19</f>
        <v>0</v>
      </c>
      <c r="G20" s="74">
        <f>'[48]Приложение №1'!AU19</f>
        <v>0</v>
      </c>
      <c r="H20" s="85"/>
      <c r="I20" s="85"/>
      <c r="J20" s="74">
        <f>L20+N20</f>
        <v>670.54700000000003</v>
      </c>
      <c r="K20" s="85"/>
      <c r="L20" s="74">
        <f>'[50]Табл.Т.11. факт'!$S$16</f>
        <v>491.68400000000003</v>
      </c>
      <c r="M20" s="85"/>
      <c r="N20" s="74">
        <f>P20+R20+T20+V20+X20</f>
        <v>178.863</v>
      </c>
      <c r="O20" s="85"/>
      <c r="P20" s="74">
        <f>'[50]Табл.Т.11. факт'!$S$15</f>
        <v>0</v>
      </c>
      <c r="Q20" s="85"/>
      <c r="R20" s="74">
        <f>'[50]Табл.Т.11. факт'!$S$17</f>
        <v>80.230999999999995</v>
      </c>
      <c r="S20" s="85"/>
      <c r="T20" s="74">
        <f>'[50]Табл.Т.11. факт'!$S$18</f>
        <v>0</v>
      </c>
      <c r="U20" s="85"/>
      <c r="V20" s="74">
        <f>'[50]Табл.Т.11. факт'!$S$19</f>
        <v>74.694999999999993</v>
      </c>
      <c r="W20" s="85"/>
      <c r="X20" s="74">
        <f>'[50]Табл.Т.11. факт'!$S$20</f>
        <v>23.937000000000001</v>
      </c>
      <c r="Y20" s="85"/>
      <c r="Z20" s="74">
        <f>AB20+AD20</f>
        <v>3880.6043324594584</v>
      </c>
      <c r="AA20" s="85"/>
      <c r="AB20" s="74">
        <f>'[50]Табл.Т.12.'!$R$16</f>
        <v>1468.0706249999998</v>
      </c>
      <c r="AC20" s="85"/>
      <c r="AD20" s="74">
        <f>AF20+AH20+AJ20+AL20+AN20+AP20</f>
        <v>2412.5337074594586</v>
      </c>
      <c r="AE20" s="85"/>
      <c r="AF20" s="74">
        <f>'[50]Табл.Т.12.'!$R$15</f>
        <v>0</v>
      </c>
      <c r="AG20" s="85"/>
      <c r="AH20" s="74">
        <f>'[50]Табл.Т.12.'!$R$17</f>
        <v>1773.7419282162157</v>
      </c>
      <c r="AI20" s="85"/>
      <c r="AJ20" s="74">
        <f>'[50]Табл.Т.12.'!$R$18</f>
        <v>0</v>
      </c>
      <c r="AK20" s="85"/>
      <c r="AL20" s="74">
        <f>'[50]Табл.Т.12.'!$R$19</f>
        <v>332.3393318918919</v>
      </c>
      <c r="AM20" s="85"/>
      <c r="AN20" s="74">
        <f>'[50]Табл.Т.12.'!$R$20</f>
        <v>306.45244735135128</v>
      </c>
      <c r="AO20" s="85"/>
      <c r="AP20" s="74">
        <f>'[51]Табл.Т.12.'!$R$21</f>
        <v>0</v>
      </c>
      <c r="AQ20" s="85"/>
      <c r="AR20" s="74">
        <f>AT20+AV20</f>
        <v>3880.6043324594584</v>
      </c>
      <c r="AS20" s="85"/>
      <c r="AT20" s="74">
        <f t="shared" si="6"/>
        <v>1468.0706249999998</v>
      </c>
      <c r="AU20" s="85"/>
      <c r="AV20" s="74">
        <f>AX20+AZ20+BB20+BD20+BF20+BH20</f>
        <v>2412.5337074594586</v>
      </c>
      <c r="AW20" s="85"/>
      <c r="AX20" s="74">
        <f t="shared" si="1"/>
        <v>0</v>
      </c>
      <c r="AY20" s="85"/>
      <c r="AZ20" s="74">
        <f>AH20</f>
        <v>1773.7419282162157</v>
      </c>
      <c r="BA20" s="85"/>
      <c r="BB20" s="74">
        <f t="shared" si="3"/>
        <v>0</v>
      </c>
      <c r="BC20" s="85"/>
      <c r="BD20" s="74">
        <f t="shared" si="4"/>
        <v>332.3393318918919</v>
      </c>
      <c r="BE20" s="85"/>
      <c r="BF20" s="74">
        <f t="shared" si="5"/>
        <v>306.45244735135128</v>
      </c>
      <c r="BG20" s="85"/>
      <c r="BH20" s="74">
        <f>AP20</f>
        <v>0</v>
      </c>
      <c r="BI20" s="85"/>
      <c r="BL20" s="51">
        <v>0</v>
      </c>
    </row>
    <row r="21" spans="1:64" x14ac:dyDescent="0.25">
      <c r="A21" s="66"/>
      <c r="B21" s="84" t="s">
        <v>630</v>
      </c>
      <c r="C21" s="68" t="s">
        <v>617</v>
      </c>
      <c r="D21" s="77"/>
      <c r="E21" s="77">
        <v>0</v>
      </c>
      <c r="F21" s="77">
        <f>'[48]Приложение №1'!AT20</f>
        <v>0</v>
      </c>
      <c r="G21" s="77">
        <f>'[48]Приложение №1'!AU20</f>
        <v>0</v>
      </c>
      <c r="H21" s="78"/>
      <c r="I21" s="78"/>
      <c r="J21" s="77"/>
      <c r="K21" s="78"/>
      <c r="L21" s="77"/>
      <c r="M21" s="78"/>
      <c r="N21" s="77"/>
      <c r="O21" s="78"/>
      <c r="P21" s="77"/>
      <c r="Q21" s="78"/>
      <c r="R21" s="77"/>
      <c r="S21" s="78"/>
      <c r="T21" s="77"/>
      <c r="U21" s="78"/>
      <c r="V21" s="77"/>
      <c r="W21" s="78"/>
      <c r="X21" s="77"/>
      <c r="Y21" s="78"/>
      <c r="Z21" s="77"/>
      <c r="AA21" s="78"/>
      <c r="AB21" s="77"/>
      <c r="AC21" s="78"/>
      <c r="AD21" s="77"/>
      <c r="AE21" s="78"/>
      <c r="AF21" s="77"/>
      <c r="AG21" s="78"/>
      <c r="AH21" s="77"/>
      <c r="AI21" s="78"/>
      <c r="AJ21" s="77"/>
      <c r="AK21" s="78"/>
      <c r="AL21" s="77"/>
      <c r="AM21" s="78"/>
      <c r="AN21" s="77"/>
      <c r="AO21" s="78"/>
      <c r="AP21" s="77"/>
      <c r="AQ21" s="78"/>
      <c r="AR21" s="77"/>
      <c r="AS21" s="78"/>
      <c r="AT21" s="77"/>
      <c r="AU21" s="78"/>
      <c r="AV21" s="77"/>
      <c r="AW21" s="78"/>
      <c r="AX21" s="77"/>
      <c r="AY21" s="78"/>
      <c r="AZ21" s="77"/>
      <c r="BA21" s="78"/>
      <c r="BB21" s="77"/>
      <c r="BC21" s="78"/>
      <c r="BD21" s="77"/>
      <c r="BE21" s="78"/>
      <c r="BF21" s="77"/>
      <c r="BG21" s="78"/>
      <c r="BH21" s="77"/>
      <c r="BI21" s="78"/>
    </row>
    <row r="22" spans="1:64" ht="13.5" x14ac:dyDescent="0.25">
      <c r="A22" s="66"/>
      <c r="B22" s="86" t="s">
        <v>631</v>
      </c>
      <c r="C22" s="68" t="s">
        <v>617</v>
      </c>
      <c r="D22" s="77"/>
      <c r="E22" s="77">
        <v>0</v>
      </c>
      <c r="F22" s="77">
        <f>'[48]Приложение №1'!AT21</f>
        <v>0</v>
      </c>
      <c r="G22" s="77">
        <f>'[48]Приложение №1'!AU21</f>
        <v>0</v>
      </c>
      <c r="H22" s="78"/>
      <c r="I22" s="78"/>
      <c r="J22" s="77"/>
      <c r="K22" s="78"/>
      <c r="L22" s="77"/>
      <c r="M22" s="78"/>
      <c r="N22" s="77"/>
      <c r="O22" s="78"/>
      <c r="P22" s="77"/>
      <c r="Q22" s="78"/>
      <c r="R22" s="77"/>
      <c r="S22" s="78"/>
      <c r="T22" s="77"/>
      <c r="U22" s="78"/>
      <c r="V22" s="77"/>
      <c r="W22" s="78"/>
      <c r="X22" s="77"/>
      <c r="Y22" s="78"/>
      <c r="Z22" s="77"/>
      <c r="AA22" s="78"/>
      <c r="AB22" s="77"/>
      <c r="AC22" s="78"/>
      <c r="AD22" s="77"/>
      <c r="AE22" s="78"/>
      <c r="AF22" s="77"/>
      <c r="AG22" s="78"/>
      <c r="AH22" s="77"/>
      <c r="AI22" s="78"/>
      <c r="AJ22" s="77"/>
      <c r="AK22" s="78"/>
      <c r="AL22" s="77"/>
      <c r="AM22" s="78"/>
      <c r="AN22" s="77"/>
      <c r="AO22" s="78"/>
      <c r="AP22" s="77"/>
      <c r="AQ22" s="78"/>
      <c r="AR22" s="77"/>
      <c r="AS22" s="78"/>
      <c r="AT22" s="77"/>
      <c r="AU22" s="78"/>
      <c r="AV22" s="77"/>
      <c r="AW22" s="78"/>
      <c r="AX22" s="77"/>
      <c r="AY22" s="78"/>
      <c r="AZ22" s="77"/>
      <c r="BA22" s="78"/>
      <c r="BB22" s="77"/>
      <c r="BC22" s="78"/>
      <c r="BD22" s="77"/>
      <c r="BE22" s="78"/>
      <c r="BF22" s="77"/>
      <c r="BG22" s="78"/>
      <c r="BH22" s="77"/>
      <c r="BI22" s="78"/>
    </row>
    <row r="23" spans="1:64" ht="13.5" x14ac:dyDescent="0.25">
      <c r="A23" s="66"/>
      <c r="B23" s="86" t="s">
        <v>632</v>
      </c>
      <c r="C23" s="68" t="s">
        <v>617</v>
      </c>
      <c r="D23" s="87"/>
      <c r="E23" s="88"/>
      <c r="F23" s="87"/>
      <c r="G23" s="87"/>
      <c r="H23" s="89"/>
      <c r="I23" s="89"/>
      <c r="J23" s="88"/>
      <c r="K23" s="89"/>
      <c r="L23" s="88"/>
      <c r="M23" s="89"/>
      <c r="N23" s="87"/>
      <c r="O23" s="89"/>
      <c r="P23" s="88"/>
      <c r="Q23" s="88"/>
      <c r="R23" s="88"/>
      <c r="S23" s="88"/>
      <c r="T23" s="88"/>
      <c r="U23" s="88"/>
      <c r="V23" s="88"/>
      <c r="W23" s="89"/>
      <c r="X23" s="88"/>
      <c r="Y23" s="89"/>
      <c r="Z23" s="88"/>
      <c r="AA23" s="90"/>
      <c r="AB23" s="88"/>
      <c r="AC23" s="90"/>
      <c r="AD23" s="88"/>
      <c r="AE23" s="90"/>
      <c r="AF23" s="88"/>
      <c r="AG23" s="90"/>
      <c r="AH23" s="88"/>
      <c r="AI23" s="90"/>
      <c r="AJ23" s="88"/>
      <c r="AK23" s="90"/>
      <c r="AL23" s="88"/>
      <c r="AM23" s="90"/>
      <c r="AN23" s="88"/>
      <c r="AO23" s="90"/>
      <c r="AP23" s="88"/>
      <c r="AQ23" s="90"/>
      <c r="AR23" s="88"/>
      <c r="AS23" s="89"/>
      <c r="AT23" s="87"/>
      <c r="AU23" s="89"/>
      <c r="AV23" s="87"/>
      <c r="AW23" s="89"/>
      <c r="AX23" s="87"/>
      <c r="AY23" s="89"/>
      <c r="AZ23" s="87"/>
      <c r="BA23" s="89"/>
      <c r="BB23" s="87"/>
      <c r="BC23" s="89"/>
      <c r="BD23" s="87"/>
      <c r="BE23" s="89"/>
      <c r="BF23" s="87"/>
      <c r="BG23" s="89"/>
      <c r="BH23" s="88"/>
      <c r="BI23" s="90"/>
      <c r="BK23" s="51">
        <v>0.77584290600000005</v>
      </c>
    </row>
    <row r="24" spans="1:64" x14ac:dyDescent="0.25">
      <c r="A24" s="66" t="s">
        <v>633</v>
      </c>
      <c r="B24" s="73" t="s">
        <v>634</v>
      </c>
      <c r="C24" s="68"/>
      <c r="D24" s="91"/>
      <c r="E24" s="92"/>
      <c r="F24" s="92"/>
      <c r="G24" s="92"/>
      <c r="H24" s="93"/>
      <c r="I24" s="93"/>
      <c r="J24" s="92"/>
      <c r="K24" s="93"/>
      <c r="L24" s="94"/>
      <c r="M24" s="93"/>
      <c r="N24" s="94"/>
      <c r="O24" s="93"/>
      <c r="P24" s="94"/>
      <c r="Q24" s="93"/>
      <c r="R24" s="94"/>
      <c r="S24" s="93"/>
      <c r="T24" s="94"/>
      <c r="U24" s="93"/>
      <c r="V24" s="94"/>
      <c r="W24" s="93"/>
      <c r="X24" s="94"/>
      <c r="Y24" s="93"/>
      <c r="Z24" s="92"/>
      <c r="AA24" s="93"/>
      <c r="AB24" s="94"/>
      <c r="AC24" s="93"/>
      <c r="AD24" s="94"/>
      <c r="AE24" s="93"/>
      <c r="AF24" s="94"/>
      <c r="AG24" s="93"/>
      <c r="AH24" s="94"/>
      <c r="AI24" s="93"/>
      <c r="AJ24" s="94"/>
      <c r="AK24" s="93"/>
      <c r="AL24" s="94"/>
      <c r="AM24" s="93"/>
      <c r="AN24" s="94"/>
      <c r="AO24" s="93"/>
      <c r="AP24" s="94"/>
      <c r="AQ24" s="93"/>
      <c r="AR24" s="92"/>
      <c r="AS24" s="93"/>
      <c r="AT24" s="94"/>
      <c r="AU24" s="93"/>
      <c r="AV24" s="94"/>
      <c r="AW24" s="93"/>
      <c r="AX24" s="94"/>
      <c r="AY24" s="93"/>
      <c r="AZ24" s="94"/>
      <c r="BA24" s="93"/>
      <c r="BB24" s="94"/>
      <c r="BC24" s="93"/>
      <c r="BD24" s="94"/>
      <c r="BE24" s="93"/>
      <c r="BF24" s="94"/>
      <c r="BG24" s="93"/>
      <c r="BH24" s="94"/>
      <c r="BI24" s="93"/>
    </row>
    <row r="25" spans="1:64" x14ac:dyDescent="0.25">
      <c r="A25" s="418" t="s">
        <v>635</v>
      </c>
      <c r="B25" s="419" t="s">
        <v>636</v>
      </c>
      <c r="C25" s="95" t="s">
        <v>637</v>
      </c>
      <c r="D25" s="74">
        <v>201.18</v>
      </c>
      <c r="E25" s="74">
        <v>22562.857798394027</v>
      </c>
      <c r="F25" s="74">
        <f>'[48]Приложение №1'!AT24</f>
        <v>3970.5783404747294</v>
      </c>
      <c r="G25" s="74">
        <f>'[48]Приложение №1'!AU24</f>
        <v>1052.2902946593003</v>
      </c>
      <c r="H25" s="96">
        <f>7900/7000</f>
        <v>1.1285714285714286</v>
      </c>
      <c r="I25" s="96"/>
      <c r="J25" s="97">
        <f>'[53]Табл.Т.11. факт'!$AF$14</f>
        <v>12480.908321743265</v>
      </c>
      <c r="K25" s="96">
        <f>'[53]Табл.Т.3 Реестр сч'!$S$11</f>
        <v>1.1816573471245746</v>
      </c>
      <c r="L25" s="97">
        <f>M26*L11/1000</f>
        <v>4659.4579522973108</v>
      </c>
      <c r="M25" s="96">
        <f>7900/7000</f>
        <v>1.1285714285714286</v>
      </c>
      <c r="N25" s="98">
        <f>P25+R25+T25+V25+X25</f>
        <v>4677.7613665066901</v>
      </c>
      <c r="O25" s="96">
        <f>7900/7000</f>
        <v>1.1285714285714286</v>
      </c>
      <c r="P25" s="97">
        <f>Q26*P11/1000</f>
        <v>2013.3379513581949</v>
      </c>
      <c r="Q25" s="96">
        <f>7900/7000</f>
        <v>1.1285714285714286</v>
      </c>
      <c r="R25" s="97">
        <f>S26*R11/1000</f>
        <v>891.27999883214613</v>
      </c>
      <c r="S25" s="96">
        <f>7900/7000</f>
        <v>1.1285714285714286</v>
      </c>
      <c r="T25" s="97">
        <f>U26*T11/1000</f>
        <v>103.13786841554895</v>
      </c>
      <c r="U25" s="96">
        <f>7900/7000</f>
        <v>1.1285714285714286</v>
      </c>
      <c r="V25" s="97">
        <f>W26*V11/1000</f>
        <v>334.94537485589393</v>
      </c>
      <c r="W25" s="96">
        <f>7900/7000</f>
        <v>1.1285714285714286</v>
      </c>
      <c r="X25" s="97">
        <f>Y26*X11/1000</f>
        <v>1335.0601730449062</v>
      </c>
      <c r="Y25" s="96">
        <f>7900/7000</f>
        <v>1.1285714285714286</v>
      </c>
      <c r="Z25" s="99">
        <f>AB25+AD25</f>
        <v>29191.352172280196</v>
      </c>
      <c r="AA25" s="96">
        <f>7900/7000</f>
        <v>1.1285714285714286</v>
      </c>
      <c r="AB25" s="97">
        <f>AC26*AB11/1000</f>
        <v>6326.9682054219611</v>
      </c>
      <c r="AC25" s="96">
        <f>7900/7000</f>
        <v>1.1285714285714286</v>
      </c>
      <c r="AD25" s="98">
        <f>AF25+AH25+AJ25+AL25+AN25+AP25</f>
        <v>22864.383966858237</v>
      </c>
      <c r="AE25" s="96">
        <f>7900/7000</f>
        <v>1.1285714285714286</v>
      </c>
      <c r="AF25" s="97">
        <f>AG26*AF11/1000</f>
        <v>1750.4973783435526</v>
      </c>
      <c r="AG25" s="96">
        <f>7900/7000</f>
        <v>1.1285714285714286</v>
      </c>
      <c r="AH25" s="97">
        <f>AI26*AH11/1000</f>
        <v>7446.6763941385725</v>
      </c>
      <c r="AI25" s="96">
        <f>7900/7000</f>
        <v>1.1285714285714286</v>
      </c>
      <c r="AJ25" s="97">
        <f>AK26*AJ11/1000</f>
        <v>512.86963963696769</v>
      </c>
      <c r="AK25" s="96">
        <f>7900/7000</f>
        <v>1.1285714285714286</v>
      </c>
      <c r="AL25" s="97">
        <f>'[50]Табл.Т.12.'!$AJ$19</f>
        <v>2265.6092797757351</v>
      </c>
      <c r="AM25" s="96">
        <f>7900/7000</f>
        <v>1.1285714285714286</v>
      </c>
      <c r="AN25" s="97">
        <f>AO26*AN11/1000</f>
        <v>10137.643702773104</v>
      </c>
      <c r="AO25" s="96">
        <f>7900/7000</f>
        <v>1.1285714285714286</v>
      </c>
      <c r="AP25" s="97">
        <f>AQ26*AP11/1000</f>
        <v>751.0875721903077</v>
      </c>
      <c r="AQ25" s="100">
        <f>'[51]Табл.Т.12.'!$BC$21</f>
        <v>1.179582857142857</v>
      </c>
      <c r="AR25" s="99">
        <f>AT25+AV25</f>
        <v>29162.973220794738</v>
      </c>
      <c r="AS25" s="96">
        <f>7900/7000</f>
        <v>1.1285714285714286</v>
      </c>
      <c r="AT25" s="97">
        <f>AU26*AT11/1000</f>
        <v>6345.4299245738675</v>
      </c>
      <c r="AU25" s="96">
        <f>7900/7000</f>
        <v>1.1285714285714286</v>
      </c>
      <c r="AV25" s="98">
        <f>AX25+AZ25+BB25+BD25+BF25+BH25</f>
        <v>22817.543296220872</v>
      </c>
      <c r="AW25" s="96">
        <f>7900/7000</f>
        <v>1.1285714285714286</v>
      </c>
      <c r="AX25" s="97">
        <f>AY26*AX11/1000</f>
        <v>1750.4973783435526</v>
      </c>
      <c r="AY25" s="96">
        <f>7900/7000</f>
        <v>1.1285714285714286</v>
      </c>
      <c r="AZ25" s="97">
        <f>BA26*AZ11/1000</f>
        <v>7446.6763941385725</v>
      </c>
      <c r="BA25" s="96">
        <f>7900/7000</f>
        <v>1.1285714285714286</v>
      </c>
      <c r="BB25" s="97">
        <f>BC26*BB11/1000</f>
        <v>512.86963963696769</v>
      </c>
      <c r="BC25" s="96">
        <f>7900/7000</f>
        <v>1.1285714285714286</v>
      </c>
      <c r="BD25" s="97">
        <f>BE26*BD11/1000</f>
        <v>2218.7686091383694</v>
      </c>
      <c r="BE25" s="96">
        <f>7900/7000</f>
        <v>1.1285714285714286</v>
      </c>
      <c r="BF25" s="97">
        <f>BG26*BF11/1000</f>
        <v>10137.643702773104</v>
      </c>
      <c r="BG25" s="96">
        <f>7900/7000</f>
        <v>1.1285714285714286</v>
      </c>
      <c r="BH25" s="97">
        <f>BI26*BH11/1000</f>
        <v>751.0875721903077</v>
      </c>
      <c r="BI25" s="100">
        <f>'[51]Табл.Т.12.'!$BC$21</f>
        <v>1.179582857142857</v>
      </c>
    </row>
    <row r="26" spans="1:64" ht="13.5" x14ac:dyDescent="0.25">
      <c r="A26" s="418"/>
      <c r="B26" s="419"/>
      <c r="C26" s="95" t="s">
        <v>638</v>
      </c>
      <c r="D26" s="101">
        <f>D29</f>
        <v>2301.8640543333336</v>
      </c>
      <c r="E26" s="101">
        <v>124152.36352157596</v>
      </c>
      <c r="F26" s="101">
        <f>'[48]Приложение №1'!AT25</f>
        <v>21836.234205669116</v>
      </c>
      <c r="G26" s="101">
        <f>'[48]Приложение №1'!AU25</f>
        <v>5815.240561321878</v>
      </c>
      <c r="H26" s="75">
        <f>G25*1000/G11</f>
        <v>153</v>
      </c>
      <c r="I26" s="75">
        <f>E25*1000/E11</f>
        <v>155.11793374311966</v>
      </c>
      <c r="J26" s="101">
        <f>J29</f>
        <v>72599.127726533887</v>
      </c>
      <c r="K26" s="75">
        <f>J25*1000/J11</f>
        <v>209.12380047407302</v>
      </c>
      <c r="L26" s="101">
        <f>L29</f>
        <v>26493.384739623601</v>
      </c>
      <c r="M26" s="75">
        <v>156.96</v>
      </c>
      <c r="N26" s="101">
        <f>N29</f>
        <v>44779.903920243625</v>
      </c>
      <c r="O26" s="75">
        <f>N25*1000/N11</f>
        <v>155.94475262740684</v>
      </c>
      <c r="P26" s="101">
        <f>P29</f>
        <v>11632.054161910301</v>
      </c>
      <c r="Q26" s="75">
        <v>156.07749999999999</v>
      </c>
      <c r="R26" s="101">
        <f>R29</f>
        <v>11648.135183333299</v>
      </c>
      <c r="S26" s="75">
        <v>154.04509652253037</v>
      </c>
      <c r="T26" s="101">
        <f>T29</f>
        <v>1325.8390666666701</v>
      </c>
      <c r="U26" s="75">
        <v>154.52280845459777</v>
      </c>
      <c r="V26" s="101">
        <f>V29</f>
        <v>4368.6564333333299</v>
      </c>
      <c r="W26" s="75">
        <f>'[49]Табл.Т.1'!$N$32</f>
        <v>155.51805259417202</v>
      </c>
      <c r="X26" s="101">
        <f>X29</f>
        <v>17131.058141666701</v>
      </c>
      <c r="Y26" s="75">
        <v>157.25774336283186</v>
      </c>
      <c r="Z26" s="101">
        <f>Z29</f>
        <v>203095.77467107802</v>
      </c>
      <c r="AA26" s="75">
        <f>Z25*1000/Z11</f>
        <v>156.51161908881471</v>
      </c>
      <c r="AB26" s="101">
        <f>AB29</f>
        <v>44794.3439021874</v>
      </c>
      <c r="AC26" s="75">
        <v>156.96</v>
      </c>
      <c r="AD26" s="101">
        <f>AD29</f>
        <v>158301.4307688906</v>
      </c>
      <c r="AE26" s="75">
        <f>AD25*1000/AD11</f>
        <v>156.38799654142858</v>
      </c>
      <c r="AF26" s="101">
        <f>AF29</f>
        <v>12393.069433659433</v>
      </c>
      <c r="AG26" s="75">
        <v>156.07749999999999</v>
      </c>
      <c r="AH26" s="101">
        <f>AH29</f>
        <v>52720.546025542062</v>
      </c>
      <c r="AI26" s="75">
        <v>154.04509652253037</v>
      </c>
      <c r="AJ26" s="101">
        <f>AJ29</f>
        <v>3654.2656535274932</v>
      </c>
      <c r="AK26" s="75">
        <v>154.52280845459777</v>
      </c>
      <c r="AL26" s="101">
        <f>AL29</f>
        <v>16039.92868608185</v>
      </c>
      <c r="AM26" s="75">
        <f>'[50]Табл.Т.12.'!$AI$19</f>
        <v>155.51805259417202</v>
      </c>
      <c r="AN26" s="101">
        <f>AN29</f>
        <v>68142.020279133823</v>
      </c>
      <c r="AO26" s="75">
        <v>157.25774336283186</v>
      </c>
      <c r="AP26" s="101">
        <f>AP38</f>
        <v>5351.6006909459429</v>
      </c>
      <c r="AQ26" s="76">
        <f>'[51]Табл.Т.12.'!$AI$21</f>
        <v>174.91</v>
      </c>
      <c r="AR26" s="101">
        <f>AR29</f>
        <v>211219.60565792111</v>
      </c>
      <c r="AS26" s="75">
        <f>AR25*1000/AR11</f>
        <v>156.359463216801</v>
      </c>
      <c r="AT26" s="101">
        <f>AT29</f>
        <v>46586.117658274903</v>
      </c>
      <c r="AU26" s="75">
        <v>157.41800000000001</v>
      </c>
      <c r="AV26" s="101">
        <f>AV29</f>
        <v>84399.685911094683</v>
      </c>
      <c r="AW26" s="75">
        <f>AV25*1000/AV11</f>
        <v>156.06761534732982</v>
      </c>
      <c r="AX26" s="101">
        <f>AX29</f>
        <v>12888.79221100581</v>
      </c>
      <c r="AY26" s="75">
        <v>156.07749999999999</v>
      </c>
      <c r="AZ26" s="101">
        <f>AZ29</f>
        <v>54829.367866563749</v>
      </c>
      <c r="BA26" s="75">
        <v>154.04509652253037</v>
      </c>
      <c r="BB26" s="101">
        <f>BB29</f>
        <v>3764.3441029170558</v>
      </c>
      <c r="BC26" s="75">
        <v>154.52280845459777</v>
      </c>
      <c r="BD26" s="101">
        <f>BD29</f>
        <v>16681.525833525127</v>
      </c>
      <c r="BE26" s="75">
        <v>152.30277185501069</v>
      </c>
      <c r="BF26" s="101">
        <f>BF29</f>
        <v>74642.775710921618</v>
      </c>
      <c r="BG26" s="75">
        <v>157.25774336283186</v>
      </c>
      <c r="BH26" s="101">
        <f>BH38</f>
        <v>5351.6006909459429</v>
      </c>
      <c r="BI26" s="76">
        <f>'[51]Табл.Т.12.'!$AI$21</f>
        <v>174.91</v>
      </c>
    </row>
    <row r="27" spans="1:64" ht="13.5" x14ac:dyDescent="0.25">
      <c r="A27" s="102" t="s">
        <v>639</v>
      </c>
      <c r="B27" s="417" t="s">
        <v>640</v>
      </c>
      <c r="C27" s="95" t="s">
        <v>641</v>
      </c>
      <c r="D27" s="101">
        <f>D39</f>
        <v>373.01600000000002</v>
      </c>
      <c r="E27" s="101">
        <v>19992.430951021226</v>
      </c>
      <c r="F27" s="101">
        <f>'[48]Приложение №1'!AT26</f>
        <v>3518.2384260389067</v>
      </c>
      <c r="G27" s="101">
        <f>'[48]Приложение №1'!AU26</f>
        <v>932.41030211621819</v>
      </c>
      <c r="H27" s="103"/>
      <c r="I27" s="103"/>
      <c r="J27" s="98">
        <f>J36+J39</f>
        <v>10752.478999999999</v>
      </c>
      <c r="K27" s="103"/>
      <c r="L27" s="104">
        <f>L39</f>
        <v>3947.1489999999999</v>
      </c>
      <c r="M27" s="103"/>
      <c r="N27" s="104">
        <f>N39</f>
        <v>6615.0570000000007</v>
      </c>
      <c r="O27" s="103"/>
      <c r="P27" s="104">
        <f>P39</f>
        <v>1720.452</v>
      </c>
      <c r="Q27" s="103"/>
      <c r="R27" s="104">
        <f>R39</f>
        <v>1669.5219999999999</v>
      </c>
      <c r="S27" s="103"/>
      <c r="T27" s="104">
        <f>T36</f>
        <v>190.273</v>
      </c>
      <c r="U27" s="103"/>
      <c r="V27" s="104">
        <f>V39</f>
        <v>632.14</v>
      </c>
      <c r="W27" s="103"/>
      <c r="X27" s="104">
        <f>X39</f>
        <v>2402.67</v>
      </c>
      <c r="Y27" s="103"/>
      <c r="Z27" s="101">
        <f>Z36+Z39+Z42</f>
        <v>25865.885593472372</v>
      </c>
      <c r="AA27" s="103"/>
      <c r="AB27" s="104">
        <f>AB39</f>
        <v>5606.3048633448207</v>
      </c>
      <c r="AC27" s="103"/>
      <c r="AD27" s="104">
        <f>AD36+AD39+AD42</f>
        <v>20259.580730127556</v>
      </c>
      <c r="AE27" s="103"/>
      <c r="AF27" s="104">
        <f>AF39</f>
        <v>1551.0736263803631</v>
      </c>
      <c r="AG27" s="103"/>
      <c r="AH27" s="104">
        <f>AH39</f>
        <v>6598.3208555658239</v>
      </c>
      <c r="AI27" s="103"/>
      <c r="AJ27" s="104">
        <f>AJ36</f>
        <v>454.44145284288277</v>
      </c>
      <c r="AK27" s="103"/>
      <c r="AL27" s="104">
        <f>AL39</f>
        <v>2007.5018934721704</v>
      </c>
      <c r="AM27" s="103"/>
      <c r="AN27" s="104">
        <f>AN42</f>
        <v>8982.7222682799656</v>
      </c>
      <c r="AO27" s="103"/>
      <c r="AP27" s="104">
        <f>AP36</f>
        <v>665.52063358634859</v>
      </c>
      <c r="AQ27" s="103"/>
      <c r="AR27" s="101">
        <f>AR36+AR39+AR42</f>
        <v>25865.885593472372</v>
      </c>
      <c r="AS27" s="103"/>
      <c r="AT27" s="104">
        <f>AT39</f>
        <v>5606.3048633448207</v>
      </c>
      <c r="AU27" s="103"/>
      <c r="AV27" s="104">
        <f>AV36+AV39+AV42</f>
        <v>20259.580730127556</v>
      </c>
      <c r="AW27" s="103"/>
      <c r="AX27" s="104">
        <f>AX39</f>
        <v>1551.0736263803631</v>
      </c>
      <c r="AY27" s="103"/>
      <c r="AZ27" s="104">
        <f>AZ39</f>
        <v>6598.3208555658239</v>
      </c>
      <c r="BA27" s="103"/>
      <c r="BB27" s="104">
        <f>BB36</f>
        <v>454.44145284288277</v>
      </c>
      <c r="BC27" s="103"/>
      <c r="BD27" s="104">
        <f>BD39</f>
        <v>2007.5018934721704</v>
      </c>
      <c r="BE27" s="103"/>
      <c r="BF27" s="104">
        <f>BF42</f>
        <v>8982.7222682799656</v>
      </c>
      <c r="BG27" s="103"/>
      <c r="BH27" s="104">
        <f>BH36</f>
        <v>665.52063358634859</v>
      </c>
      <c r="BI27" s="103"/>
    </row>
    <row r="28" spans="1:64" s="79" customFormat="1" x14ac:dyDescent="0.25">
      <c r="A28" s="105"/>
      <c r="B28" s="423"/>
      <c r="C28" s="106" t="s">
        <v>642</v>
      </c>
      <c r="D28" s="107">
        <f>D29/D27*1000</f>
        <v>6170.9525981012439</v>
      </c>
      <c r="E28" s="107">
        <v>6209.9683538101299</v>
      </c>
      <c r="F28" s="107">
        <f>'[48]Приложение №1'!AT27</f>
        <v>6206.5816927177293</v>
      </c>
      <c r="G28" s="107">
        <f>'[48]Приложение №1'!AU27</f>
        <v>6236.7828284645557</v>
      </c>
      <c r="H28" s="108"/>
      <c r="I28" s="108"/>
      <c r="J28" s="109">
        <f>J29/J27*1000</f>
        <v>6751.8502223100268</v>
      </c>
      <c r="K28" s="108"/>
      <c r="L28" s="109">
        <f>L40</f>
        <v>6712.0305667770845</v>
      </c>
      <c r="M28" s="85"/>
      <c r="N28" s="109">
        <f>N40</f>
        <v>6206.8324459267988</v>
      </c>
      <c r="O28" s="85"/>
      <c r="P28" s="109">
        <f>P40</f>
        <v>6761.0454473070449</v>
      </c>
      <c r="Q28" s="85"/>
      <c r="R28" s="109">
        <f>R40</f>
        <v>6976.9282365451309</v>
      </c>
      <c r="S28" s="85"/>
      <c r="T28" s="109">
        <f>T37</f>
        <v>6968.088308202794</v>
      </c>
      <c r="U28" s="85"/>
      <c r="V28" s="109">
        <f>V40</f>
        <v>6910.9001697936055</v>
      </c>
      <c r="W28" s="85"/>
      <c r="X28" s="109">
        <f>X40</f>
        <v>7130.008757618275</v>
      </c>
      <c r="Y28" s="108"/>
      <c r="Z28" s="109">
        <f>AVERAGE(AB28,AD28)</f>
        <v>7964.8579916666677</v>
      </c>
      <c r="AA28" s="108"/>
      <c r="AB28" s="109">
        <f>AB40</f>
        <v>7989.9943000000012</v>
      </c>
      <c r="AC28" s="85"/>
      <c r="AD28" s="109">
        <f>AVERAGE(AF28,AH28,AJ28,AL28,AN28,AP28)</f>
        <v>7939.7216833333341</v>
      </c>
      <c r="AE28" s="85"/>
      <c r="AF28" s="109">
        <f>AF40</f>
        <v>7989.9943000000012</v>
      </c>
      <c r="AG28" s="85"/>
      <c r="AH28" s="109">
        <f>AH40</f>
        <v>7989.9943000000012</v>
      </c>
      <c r="AI28" s="85"/>
      <c r="AJ28" s="109">
        <f>AJ37</f>
        <v>8041.2243000000008</v>
      </c>
      <c r="AK28" s="85"/>
      <c r="AL28" s="109">
        <f>AL40</f>
        <v>7989.9943000000012</v>
      </c>
      <c r="AM28" s="85"/>
      <c r="AN28" s="109">
        <f>AN43</f>
        <v>7585.8986000000004</v>
      </c>
      <c r="AO28" s="108"/>
      <c r="AP28" s="109">
        <f>AP37</f>
        <v>8041.2243000000008</v>
      </c>
      <c r="AQ28" s="108"/>
      <c r="AR28" s="109">
        <f>Z28*1.04</f>
        <v>8283.4523113333344</v>
      </c>
      <c r="AS28" s="108"/>
      <c r="AT28" s="109">
        <f>AT40</f>
        <v>8309.5940720000017</v>
      </c>
      <c r="AU28" s="85"/>
      <c r="AV28" s="109">
        <f>AV40</f>
        <v>8309.5940720000017</v>
      </c>
      <c r="AW28" s="85"/>
      <c r="AX28" s="109">
        <f>AX40</f>
        <v>8309.5940720000017</v>
      </c>
      <c r="AY28" s="85"/>
      <c r="AZ28" s="109">
        <f>AZ40</f>
        <v>8309.5940720000017</v>
      </c>
      <c r="BA28" s="85"/>
      <c r="BB28" s="109">
        <f>BB37</f>
        <v>8283.4523113333344</v>
      </c>
      <c r="BC28" s="85"/>
      <c r="BD28" s="109">
        <f>BD40</f>
        <v>8309.5940720000017</v>
      </c>
      <c r="BE28" s="85"/>
      <c r="BF28" s="109">
        <f>BF43</f>
        <v>8309.5940720000017</v>
      </c>
      <c r="BG28" s="108"/>
      <c r="BH28" s="109">
        <f>BH37</f>
        <v>8041.2243000000008</v>
      </c>
      <c r="BI28" s="108"/>
    </row>
    <row r="29" spans="1:64" ht="13.5" x14ac:dyDescent="0.25">
      <c r="A29" s="102"/>
      <c r="B29" s="423"/>
      <c r="C29" s="95" t="s">
        <v>643</v>
      </c>
      <c r="D29" s="101">
        <f>D41</f>
        <v>2301.8640543333336</v>
      </c>
      <c r="E29" s="101">
        <v>124152.36352157596</v>
      </c>
      <c r="F29" s="101">
        <f>'[48]Приложение №1'!AT28</f>
        <v>21836.234205669116</v>
      </c>
      <c r="G29" s="101">
        <f>'[48]Приложение №1'!AU28</f>
        <v>5815.240561321878</v>
      </c>
      <c r="H29" s="75">
        <f>IF(ISERR(G29/G17*1000),0,G29/G17*1000)</f>
        <v>1010.0427902292828</v>
      </c>
      <c r="I29" s="76"/>
      <c r="J29" s="101">
        <f>J38+J41</f>
        <v>72599.127726533887</v>
      </c>
      <c r="K29" s="75">
        <f>IF(ISERR(J29/J17*1000),0,J29/J17*1000)</f>
        <v>1430.0306344652879</v>
      </c>
      <c r="L29" s="101">
        <f>L41</f>
        <v>26493.384739623601</v>
      </c>
      <c r="M29" s="75">
        <f>IF(ISERR(L29/L17*1000),0,L29/L17*1000)</f>
        <v>1106.1706083101747</v>
      </c>
      <c r="N29" s="101">
        <f>N41</f>
        <v>44779.903920243625</v>
      </c>
      <c r="O29" s="75">
        <f>IF(ISERR(N29/N17*1000),0,N29/N17*1000)</f>
        <v>1669.8332132195742</v>
      </c>
      <c r="P29" s="101">
        <f>P41</f>
        <v>11632.054161910301</v>
      </c>
      <c r="Q29" s="75">
        <f>IF(ISERR(P29/P17*1000),0,P29/P17*1000)</f>
        <v>1006.6446861022065</v>
      </c>
      <c r="R29" s="101">
        <f>R41</f>
        <v>11648.135183333299</v>
      </c>
      <c r="S29" s="75">
        <f>IF(ISERR(R29/R17*1000),0,R29/R17*1000)</f>
        <v>2225.8954134308715</v>
      </c>
      <c r="T29" s="101">
        <f>T38</f>
        <v>1325.8390666666701</v>
      </c>
      <c r="U29" s="75">
        <f>IF(ISERR(T29/T17*1000),0,T29/T17*1000)</f>
        <v>2180.8500535683597</v>
      </c>
      <c r="V29" s="101">
        <f>V41</f>
        <v>4368.6564333333299</v>
      </c>
      <c r="W29" s="75">
        <f>IF(ISERR(V29/V17*1000),0,V29/V17*1000)</f>
        <v>2264.8023045532018</v>
      </c>
      <c r="X29" s="101">
        <f>X41</f>
        <v>17131.058141666701</v>
      </c>
      <c r="Y29" s="75">
        <f>IF(ISERR(X29/X17*1000),0,X29/X17*1000)</f>
        <v>2286.6329056539485</v>
      </c>
      <c r="Z29" s="101">
        <f>Z38+Z41+Z44</f>
        <v>203095.77467107802</v>
      </c>
      <c r="AA29" s="75">
        <f>IF(ISERR(Z29/Z17*1000),0,Z29/Z17*1000)</f>
        <v>1258.7122544798342</v>
      </c>
      <c r="AB29" s="101">
        <f>AB41</f>
        <v>44794.3439021874</v>
      </c>
      <c r="AC29" s="75">
        <f>IF(ISERR(AB29/AB17*1000),0,AB29/AB17*1000)</f>
        <v>1330.8217338699094</v>
      </c>
      <c r="AD29" s="104">
        <f>AD38+AD41+AD44</f>
        <v>158301.4307688906</v>
      </c>
      <c r="AE29" s="75">
        <f>IF(ISERR(AD29/AD17*1000),0,AD29/AD17*1000)</f>
        <v>1239.7045784919633</v>
      </c>
      <c r="AF29" s="101">
        <f>AF41</f>
        <v>12393.069433659433</v>
      </c>
      <c r="AG29" s="75">
        <f>IF(ISERR(AF29/AF17*1000),0,AF29/AF17*1000)</f>
        <v>1251.5010574781168</v>
      </c>
      <c r="AH29" s="101">
        <f>AH41</f>
        <v>52720.546025542062</v>
      </c>
      <c r="AI29" s="75">
        <f>IF(ISERR(AH29/AH17*1000),0,AH29/AH17*1000)</f>
        <v>1221.1332975675996</v>
      </c>
      <c r="AJ29" s="101">
        <f>AJ38</f>
        <v>3654.2656535274932</v>
      </c>
      <c r="AK29" s="75">
        <f>IF(ISERR(AJ29/AJ17*1000),0,AJ29/AJ17*1000)</f>
        <v>1297.982607299359</v>
      </c>
      <c r="AL29" s="101">
        <f>AL41</f>
        <v>16039.92868608185</v>
      </c>
      <c r="AM29" s="75">
        <f>IF(ISERR(AL29/AL17*1000),0,AL29/AL17*1000)</f>
        <v>1278.7542147727465</v>
      </c>
      <c r="AN29" s="101">
        <f>AN44</f>
        <v>68142.020279133823</v>
      </c>
      <c r="AO29" s="75">
        <f>IF(ISERR(AN29/AN17*1000),0,AN29/AN17*1000)</f>
        <v>1234.3985999310501</v>
      </c>
      <c r="AP29" s="101">
        <f>AP38</f>
        <v>5351.6006909459429</v>
      </c>
      <c r="AQ29" s="75">
        <f>IF(ISERR(AP29/AP17*1000),0,AP29/AP17*1000)</f>
        <v>1319.5929940259045</v>
      </c>
      <c r="AR29" s="101">
        <f>AR38+AR41+AR44</f>
        <v>211219.60565792111</v>
      </c>
      <c r="AS29" s="75">
        <f>IF(ISERR(AR29/AR17*1000),0,AR29/AR17*1000)</f>
        <v>1309.0607446590275</v>
      </c>
      <c r="AT29" s="101">
        <f>AT41</f>
        <v>46586.117658274903</v>
      </c>
      <c r="AU29" s="75">
        <f>IF(ISERR(AT29/AT17*1000),0,AT29/AT17*1000)</f>
        <v>1384.0546032247062</v>
      </c>
      <c r="AV29" s="101">
        <f>AV41</f>
        <v>84399.685911094683</v>
      </c>
      <c r="AW29" s="75">
        <f>IF(ISERR(AV29/AV17*1000),0,AV29/AV17*1000)</f>
        <v>660.95850516993414</v>
      </c>
      <c r="AX29" s="101">
        <f>AX41</f>
        <v>12888.79221100581</v>
      </c>
      <c r="AY29" s="75">
        <f>IF(ISERR(AX29/AX17*1000),0,AX29/AX17*1000)</f>
        <v>1301.5610997772412</v>
      </c>
      <c r="AZ29" s="101">
        <f>AZ41</f>
        <v>54829.367866563749</v>
      </c>
      <c r="BA29" s="75">
        <f>IF(ISERR(AZ29/AZ17*1000),0,AZ29/AZ17*1000)</f>
        <v>1269.9786294703038</v>
      </c>
      <c r="BB29" s="101">
        <f>BB38</f>
        <v>3764.3441029170558</v>
      </c>
      <c r="BC29" s="75">
        <f>IF(ISERR(BB29/BB17*1000),0,BB29/BB17*1000)</f>
        <v>1337.0820943900724</v>
      </c>
      <c r="BD29" s="101">
        <f>BD41</f>
        <v>16681.525833525127</v>
      </c>
      <c r="BE29" s="75">
        <f>IF(ISERR(BD29/BD17*1000),0,BD29/BD17*1000)</f>
        <v>1329.9043833636567</v>
      </c>
      <c r="BF29" s="101">
        <f>BF44</f>
        <v>74642.775710921618</v>
      </c>
      <c r="BG29" s="75">
        <f>IF(ISERR(BF29/BF17*1000),0,BF29/BF17*1000)</f>
        <v>1352.1603476840774</v>
      </c>
      <c r="BH29" s="101">
        <f>BH38</f>
        <v>5351.6006909459429</v>
      </c>
      <c r="BI29" s="75">
        <f>IF(ISERR(BH29/BH17*1000),0,BH29/BH17*1000)</f>
        <v>1319.5929940259045</v>
      </c>
    </row>
    <row r="30" spans="1:64" ht="13.5" hidden="1" customHeight="1" x14ac:dyDescent="0.25">
      <c r="A30" s="102"/>
      <c r="B30" s="110" t="s">
        <v>644</v>
      </c>
      <c r="C30" s="106" t="s">
        <v>641</v>
      </c>
      <c r="D30" s="111"/>
      <c r="E30" s="111">
        <v>0</v>
      </c>
      <c r="F30" s="111"/>
      <c r="G30" s="111"/>
      <c r="H30" s="85"/>
      <c r="I30" s="85"/>
      <c r="J30" s="111"/>
      <c r="K30" s="85"/>
      <c r="L30" s="104"/>
      <c r="M30" s="85"/>
      <c r="N30" s="104"/>
      <c r="O30" s="85"/>
      <c r="P30" s="104"/>
      <c r="Q30" s="85"/>
      <c r="R30" s="104"/>
      <c r="S30" s="85"/>
      <c r="T30" s="104"/>
      <c r="U30" s="85"/>
      <c r="V30" s="104"/>
      <c r="W30" s="85"/>
      <c r="X30" s="104"/>
      <c r="Y30" s="85"/>
      <c r="Z30" s="111"/>
      <c r="AA30" s="85"/>
      <c r="AB30" s="104"/>
      <c r="AC30" s="85"/>
      <c r="AD30" s="104"/>
      <c r="AE30" s="85"/>
      <c r="AF30" s="104"/>
      <c r="AG30" s="85"/>
      <c r="AH30" s="104"/>
      <c r="AI30" s="85"/>
      <c r="AJ30" s="104"/>
      <c r="AK30" s="85"/>
      <c r="AL30" s="104"/>
      <c r="AM30" s="85"/>
      <c r="AN30" s="104"/>
      <c r="AO30" s="85"/>
      <c r="AP30" s="104"/>
      <c r="AQ30" s="85"/>
      <c r="AR30" s="111"/>
      <c r="AS30" s="85"/>
      <c r="AT30" s="104"/>
      <c r="AU30" s="85"/>
      <c r="AV30" s="104"/>
      <c r="AW30" s="85"/>
      <c r="AX30" s="104"/>
      <c r="AY30" s="85"/>
      <c r="AZ30" s="104"/>
      <c r="BA30" s="85"/>
      <c r="BB30" s="104"/>
      <c r="BC30" s="85"/>
      <c r="BD30" s="104"/>
      <c r="BE30" s="85"/>
      <c r="BF30" s="104"/>
      <c r="BG30" s="85"/>
      <c r="BH30" s="104"/>
      <c r="BI30" s="85"/>
    </row>
    <row r="31" spans="1:64" ht="12.75" hidden="1" customHeight="1" x14ac:dyDescent="0.25">
      <c r="A31" s="102"/>
      <c r="B31" s="112" t="s">
        <v>645</v>
      </c>
      <c r="C31" s="113" t="s">
        <v>642</v>
      </c>
      <c r="D31" s="74"/>
      <c r="E31" s="74" t="e">
        <v>#DIV/0!</v>
      </c>
      <c r="F31" s="74"/>
      <c r="G31" s="74"/>
      <c r="H31" s="85"/>
      <c r="I31" s="85"/>
      <c r="J31" s="74"/>
      <c r="K31" s="85"/>
      <c r="L31" s="109"/>
      <c r="M31" s="85"/>
      <c r="N31" s="109"/>
      <c r="O31" s="85"/>
      <c r="P31" s="109"/>
      <c r="Q31" s="85"/>
      <c r="R31" s="109"/>
      <c r="S31" s="85"/>
      <c r="T31" s="109"/>
      <c r="U31" s="85"/>
      <c r="V31" s="109"/>
      <c r="W31" s="85"/>
      <c r="X31" s="109"/>
      <c r="Y31" s="85"/>
      <c r="Z31" s="74"/>
      <c r="AA31" s="85"/>
      <c r="AB31" s="109"/>
      <c r="AC31" s="85"/>
      <c r="AD31" s="109"/>
      <c r="AE31" s="85"/>
      <c r="AF31" s="109"/>
      <c r="AG31" s="85"/>
      <c r="AH31" s="109"/>
      <c r="AI31" s="85"/>
      <c r="AJ31" s="109"/>
      <c r="AK31" s="85"/>
      <c r="AL31" s="109"/>
      <c r="AM31" s="85"/>
      <c r="AN31" s="109"/>
      <c r="AO31" s="85"/>
      <c r="AP31" s="109"/>
      <c r="AQ31" s="85"/>
      <c r="AR31" s="74"/>
      <c r="AS31" s="85"/>
      <c r="AT31" s="109"/>
      <c r="AU31" s="85"/>
      <c r="AV31" s="109"/>
      <c r="AW31" s="85"/>
      <c r="AX31" s="109"/>
      <c r="AY31" s="85"/>
      <c r="AZ31" s="109"/>
      <c r="BA31" s="85"/>
      <c r="BB31" s="109"/>
      <c r="BC31" s="85"/>
      <c r="BD31" s="109"/>
      <c r="BE31" s="85"/>
      <c r="BF31" s="109"/>
      <c r="BG31" s="85"/>
      <c r="BH31" s="109"/>
      <c r="BI31" s="85"/>
    </row>
    <row r="32" spans="1:64" ht="12.75" hidden="1" customHeight="1" x14ac:dyDescent="0.25">
      <c r="A32" s="102"/>
      <c r="B32" s="112" t="s">
        <v>646</v>
      </c>
      <c r="C32" s="95" t="s">
        <v>643</v>
      </c>
      <c r="D32" s="111"/>
      <c r="E32" s="111">
        <v>0</v>
      </c>
      <c r="F32" s="111"/>
      <c r="G32" s="111"/>
      <c r="H32" s="85"/>
      <c r="I32" s="85"/>
      <c r="J32" s="111"/>
      <c r="K32" s="85"/>
      <c r="L32" s="104"/>
      <c r="M32" s="85"/>
      <c r="N32" s="104"/>
      <c r="O32" s="85"/>
      <c r="P32" s="104"/>
      <c r="Q32" s="85"/>
      <c r="R32" s="104"/>
      <c r="S32" s="85"/>
      <c r="T32" s="104"/>
      <c r="U32" s="85"/>
      <c r="V32" s="104"/>
      <c r="W32" s="85"/>
      <c r="X32" s="104"/>
      <c r="Y32" s="85"/>
      <c r="Z32" s="111"/>
      <c r="AA32" s="85"/>
      <c r="AB32" s="104"/>
      <c r="AC32" s="85"/>
      <c r="AD32" s="104"/>
      <c r="AE32" s="85"/>
      <c r="AF32" s="104"/>
      <c r="AG32" s="85"/>
      <c r="AH32" s="104"/>
      <c r="AI32" s="85"/>
      <c r="AJ32" s="104"/>
      <c r="AK32" s="85"/>
      <c r="AL32" s="104"/>
      <c r="AM32" s="85"/>
      <c r="AN32" s="104"/>
      <c r="AO32" s="85"/>
      <c r="AP32" s="104"/>
      <c r="AQ32" s="85"/>
      <c r="AR32" s="111"/>
      <c r="AS32" s="85"/>
      <c r="AT32" s="104"/>
      <c r="AU32" s="85"/>
      <c r="AV32" s="104"/>
      <c r="AW32" s="85"/>
      <c r="AX32" s="104"/>
      <c r="AY32" s="85"/>
      <c r="AZ32" s="104"/>
      <c r="BA32" s="85"/>
      <c r="BB32" s="104"/>
      <c r="BC32" s="85"/>
      <c r="BD32" s="104"/>
      <c r="BE32" s="85"/>
      <c r="BF32" s="104"/>
      <c r="BG32" s="85"/>
      <c r="BH32" s="104"/>
      <c r="BI32" s="85"/>
    </row>
    <row r="33" spans="1:61" ht="13.5" hidden="1" customHeight="1" x14ac:dyDescent="0.25">
      <c r="A33" s="102"/>
      <c r="B33" s="110" t="s">
        <v>647</v>
      </c>
      <c r="C33" s="106" t="s">
        <v>641</v>
      </c>
      <c r="D33" s="111"/>
      <c r="E33" s="111">
        <v>0</v>
      </c>
      <c r="F33" s="111"/>
      <c r="G33" s="111"/>
      <c r="H33" s="85"/>
      <c r="I33" s="85"/>
      <c r="J33" s="99"/>
      <c r="K33" s="85"/>
      <c r="L33" s="104"/>
      <c r="M33" s="85"/>
      <c r="N33" s="98"/>
      <c r="O33" s="85"/>
      <c r="P33" s="104"/>
      <c r="Q33" s="85"/>
      <c r="R33" s="104"/>
      <c r="S33" s="85"/>
      <c r="T33" s="104"/>
      <c r="U33" s="85"/>
      <c r="V33" s="104"/>
      <c r="W33" s="85"/>
      <c r="X33" s="104"/>
      <c r="Y33" s="85"/>
      <c r="Z33" s="111"/>
      <c r="AA33" s="85"/>
      <c r="AB33" s="104"/>
      <c r="AC33" s="85"/>
      <c r="AD33" s="104"/>
      <c r="AE33" s="85"/>
      <c r="AF33" s="104"/>
      <c r="AG33" s="85"/>
      <c r="AH33" s="104"/>
      <c r="AI33" s="85"/>
      <c r="AJ33" s="104"/>
      <c r="AK33" s="85"/>
      <c r="AL33" s="104"/>
      <c r="AM33" s="85"/>
      <c r="AN33" s="104"/>
      <c r="AO33" s="85"/>
      <c r="AP33" s="104"/>
      <c r="AQ33" s="85"/>
      <c r="AR33" s="111"/>
      <c r="AS33" s="85"/>
      <c r="AT33" s="104"/>
      <c r="AU33" s="85"/>
      <c r="AV33" s="104"/>
      <c r="AW33" s="85"/>
      <c r="AX33" s="104"/>
      <c r="AY33" s="85"/>
      <c r="AZ33" s="104"/>
      <c r="BA33" s="85"/>
      <c r="BB33" s="104"/>
      <c r="BC33" s="85"/>
      <c r="BD33" s="104"/>
      <c r="BE33" s="85"/>
      <c r="BF33" s="104"/>
      <c r="BG33" s="85"/>
      <c r="BH33" s="104"/>
      <c r="BI33" s="85"/>
    </row>
    <row r="34" spans="1:61" ht="12.75" hidden="1" customHeight="1" x14ac:dyDescent="0.25">
      <c r="A34" s="102"/>
      <c r="B34" s="112" t="s">
        <v>645</v>
      </c>
      <c r="C34" s="113" t="s">
        <v>642</v>
      </c>
      <c r="D34" s="74"/>
      <c r="E34" s="74" t="e">
        <v>#DIV/0!</v>
      </c>
      <c r="F34" s="74"/>
      <c r="G34" s="74"/>
      <c r="H34" s="85"/>
      <c r="I34" s="85"/>
      <c r="J34" s="109"/>
      <c r="K34" s="85"/>
      <c r="L34" s="109"/>
      <c r="M34" s="85"/>
      <c r="N34" s="109"/>
      <c r="O34" s="85"/>
      <c r="P34" s="109"/>
      <c r="Q34" s="85"/>
      <c r="R34" s="109"/>
      <c r="S34" s="85"/>
      <c r="T34" s="109"/>
      <c r="U34" s="85"/>
      <c r="V34" s="109"/>
      <c r="W34" s="85"/>
      <c r="X34" s="109"/>
      <c r="Y34" s="85"/>
      <c r="Z34" s="74"/>
      <c r="AA34" s="85"/>
      <c r="AB34" s="109"/>
      <c r="AC34" s="85"/>
      <c r="AD34" s="109"/>
      <c r="AE34" s="85"/>
      <c r="AF34" s="109"/>
      <c r="AG34" s="85"/>
      <c r="AH34" s="109"/>
      <c r="AI34" s="85"/>
      <c r="AJ34" s="109"/>
      <c r="AK34" s="85"/>
      <c r="AL34" s="109"/>
      <c r="AM34" s="85"/>
      <c r="AN34" s="109"/>
      <c r="AO34" s="85"/>
      <c r="AP34" s="109"/>
      <c r="AQ34" s="85"/>
      <c r="AR34" s="74"/>
      <c r="AS34" s="85"/>
      <c r="AT34" s="109"/>
      <c r="AU34" s="85"/>
      <c r="AV34" s="109"/>
      <c r="AW34" s="85"/>
      <c r="AX34" s="109"/>
      <c r="AY34" s="85"/>
      <c r="AZ34" s="109"/>
      <c r="BA34" s="85"/>
      <c r="BB34" s="109"/>
      <c r="BC34" s="85"/>
      <c r="BD34" s="109"/>
      <c r="BE34" s="85"/>
      <c r="BF34" s="109"/>
      <c r="BG34" s="85"/>
      <c r="BH34" s="109"/>
      <c r="BI34" s="85"/>
    </row>
    <row r="35" spans="1:61" ht="12.75" hidden="1" customHeight="1" x14ac:dyDescent="0.25">
      <c r="A35" s="102"/>
      <c r="B35" s="112" t="s">
        <v>646</v>
      </c>
      <c r="C35" s="95" t="s">
        <v>643</v>
      </c>
      <c r="D35" s="111"/>
      <c r="E35" s="111">
        <v>0</v>
      </c>
      <c r="F35" s="111"/>
      <c r="G35" s="111"/>
      <c r="H35" s="85"/>
      <c r="I35" s="85"/>
      <c r="J35" s="111"/>
      <c r="K35" s="85"/>
      <c r="L35" s="104"/>
      <c r="M35" s="85"/>
      <c r="N35" s="111"/>
      <c r="O35" s="85"/>
      <c r="P35" s="104"/>
      <c r="Q35" s="85"/>
      <c r="R35" s="104"/>
      <c r="S35" s="85"/>
      <c r="T35" s="104"/>
      <c r="U35" s="85"/>
      <c r="V35" s="104"/>
      <c r="W35" s="85"/>
      <c r="X35" s="104"/>
      <c r="Y35" s="85"/>
      <c r="Z35" s="111"/>
      <c r="AA35" s="85"/>
      <c r="AB35" s="104"/>
      <c r="AC35" s="85"/>
      <c r="AD35" s="104"/>
      <c r="AE35" s="85"/>
      <c r="AF35" s="104"/>
      <c r="AG35" s="85"/>
      <c r="AH35" s="104"/>
      <c r="AI35" s="85"/>
      <c r="AJ35" s="104"/>
      <c r="AK35" s="85"/>
      <c r="AL35" s="104"/>
      <c r="AM35" s="85"/>
      <c r="AN35" s="104"/>
      <c r="AO35" s="85"/>
      <c r="AP35" s="104"/>
      <c r="AQ35" s="85"/>
      <c r="AR35" s="111"/>
      <c r="AS35" s="85"/>
      <c r="AT35" s="104"/>
      <c r="AU35" s="85"/>
      <c r="AV35" s="104"/>
      <c r="AW35" s="85"/>
      <c r="AX35" s="104"/>
      <c r="AY35" s="85"/>
      <c r="AZ35" s="104"/>
      <c r="BA35" s="85"/>
      <c r="BB35" s="104"/>
      <c r="BC35" s="85"/>
      <c r="BD35" s="104"/>
      <c r="BE35" s="85"/>
      <c r="BF35" s="104"/>
      <c r="BG35" s="85"/>
      <c r="BH35" s="104"/>
      <c r="BI35" s="85"/>
    </row>
    <row r="36" spans="1:61" ht="13.5" x14ac:dyDescent="0.25">
      <c r="A36" s="102"/>
      <c r="B36" s="110" t="s">
        <v>648</v>
      </c>
      <c r="C36" s="106" t="s">
        <v>641</v>
      </c>
      <c r="D36" s="101"/>
      <c r="E36" s="101">
        <v>425.64</v>
      </c>
      <c r="F36" s="101">
        <f>'[48]Приложение №1'!AT35</f>
        <v>0</v>
      </c>
      <c r="G36" s="101">
        <f>'[48]Приложение №1'!AU35</f>
        <v>932.41030211621819</v>
      </c>
      <c r="H36" s="103"/>
      <c r="I36" s="103"/>
      <c r="J36" s="99">
        <f>N36</f>
        <v>190.273</v>
      </c>
      <c r="K36" s="103"/>
      <c r="L36" s="101"/>
      <c r="M36" s="103"/>
      <c r="N36" s="98">
        <f>T36</f>
        <v>190.273</v>
      </c>
      <c r="O36" s="103"/>
      <c r="P36" s="101"/>
      <c r="Q36" s="103"/>
      <c r="R36" s="101"/>
      <c r="S36" s="103"/>
      <c r="T36" s="104">
        <f>'[49]Табл.Т.11. факт'!$BI$18</f>
        <v>190.273</v>
      </c>
      <c r="U36" s="103"/>
      <c r="V36" s="101"/>
      <c r="W36" s="103"/>
      <c r="X36" s="101"/>
      <c r="Y36" s="103"/>
      <c r="Z36" s="99">
        <f>AB36+AD36</f>
        <v>1119.9620864292315</v>
      </c>
      <c r="AA36" s="103"/>
      <c r="AB36" s="101"/>
      <c r="AC36" s="103"/>
      <c r="AD36" s="98">
        <f>AF36+AH36+AJ36+AL36+AN36+AP36</f>
        <v>1119.9620864292315</v>
      </c>
      <c r="AE36" s="103"/>
      <c r="AF36" s="101"/>
      <c r="AG36" s="103"/>
      <c r="AH36" s="101"/>
      <c r="AI36" s="103"/>
      <c r="AJ36" s="104">
        <f>'[52]Табл.Т.12.'!$AK$18</f>
        <v>454.44145284288277</v>
      </c>
      <c r="AK36" s="103"/>
      <c r="AL36" s="101"/>
      <c r="AM36" s="103"/>
      <c r="AN36" s="101"/>
      <c r="AO36" s="103"/>
      <c r="AP36" s="104">
        <f>'[51]Табл.Т.12.'!$AK$21</f>
        <v>665.52063358634859</v>
      </c>
      <c r="AQ36" s="103"/>
      <c r="AR36" s="99">
        <f>AT36+AV36</f>
        <v>1119.9620864292315</v>
      </c>
      <c r="AS36" s="103"/>
      <c r="AT36" s="101"/>
      <c r="AU36" s="103"/>
      <c r="AV36" s="98">
        <f>AX36+AZ36+BB36+BD36+BF36+BH36</f>
        <v>1119.9620864292315</v>
      </c>
      <c r="AW36" s="103"/>
      <c r="AX36" s="101"/>
      <c r="AY36" s="103"/>
      <c r="AZ36" s="101"/>
      <c r="BA36" s="103"/>
      <c r="BB36" s="104">
        <f>AJ36</f>
        <v>454.44145284288277</v>
      </c>
      <c r="BC36" s="103"/>
      <c r="BD36" s="101"/>
      <c r="BE36" s="103"/>
      <c r="BF36" s="101"/>
      <c r="BG36" s="103"/>
      <c r="BH36" s="104">
        <f>'[51]Табл.Т.12.'!$AK$21</f>
        <v>665.52063358634859</v>
      </c>
      <c r="BI36" s="103"/>
    </row>
    <row r="37" spans="1:61" x14ac:dyDescent="0.25">
      <c r="A37" s="102"/>
      <c r="B37" s="112" t="s">
        <v>645</v>
      </c>
      <c r="C37" s="113" t="s">
        <v>642</v>
      </c>
      <c r="D37" s="74"/>
      <c r="E37" s="74">
        <v>6250.7492784604401</v>
      </c>
      <c r="F37" s="74">
        <f>'[48]Приложение №1'!AT36</f>
        <v>0</v>
      </c>
      <c r="G37" s="74">
        <f>'[48]Приложение №1'!AU36</f>
        <v>6236.7828284645557</v>
      </c>
      <c r="H37" s="85"/>
      <c r="I37" s="85"/>
      <c r="J37" s="109">
        <f>N37</f>
        <v>6968.088308202794</v>
      </c>
      <c r="K37" s="85"/>
      <c r="L37" s="74"/>
      <c r="M37" s="85"/>
      <c r="N37" s="109">
        <f>T37</f>
        <v>6968.088308202794</v>
      </c>
      <c r="O37" s="85"/>
      <c r="P37" s="74"/>
      <c r="Q37" s="85"/>
      <c r="R37" s="74"/>
      <c r="S37" s="85"/>
      <c r="T37" s="109">
        <f>T38/T36*1000</f>
        <v>6968.088308202794</v>
      </c>
      <c r="U37" s="85"/>
      <c r="V37" s="74"/>
      <c r="W37" s="85"/>
      <c r="X37" s="74"/>
      <c r="Y37" s="85"/>
      <c r="Z37" s="109">
        <f>AD37</f>
        <v>8041.2243000000008</v>
      </c>
      <c r="AA37" s="85"/>
      <c r="AB37" s="74"/>
      <c r="AC37" s="85"/>
      <c r="AD37" s="109">
        <f>AVERAGE(AF37,AH37,AJ37,AL37,AN37,AP37)</f>
        <v>8041.2243000000008</v>
      </c>
      <c r="AE37" s="85"/>
      <c r="AF37" s="74"/>
      <c r="AG37" s="85"/>
      <c r="AH37" s="74"/>
      <c r="AI37" s="85"/>
      <c r="AJ37" s="109">
        <f>'[50]Табл.1.14. структура и балансы'!$Z$51</f>
        <v>8041.2243000000008</v>
      </c>
      <c r="AK37" s="85"/>
      <c r="AL37" s="74"/>
      <c r="AM37" s="85"/>
      <c r="AN37" s="74"/>
      <c r="AO37" s="85"/>
      <c r="AP37" s="109">
        <f>'[51]Табл.1.14. структура и балансы'!$Z$51</f>
        <v>8041.2243000000008</v>
      </c>
      <c r="AQ37" s="85"/>
      <c r="AR37" s="74">
        <f>Z37*1.04</f>
        <v>8362.8732720000007</v>
      </c>
      <c r="AS37" s="85"/>
      <c r="AT37" s="74"/>
      <c r="AU37" s="85"/>
      <c r="AV37" s="109">
        <f>AVERAGE(AX37,AZ37,BB37,BD37,BF37,BH37)</f>
        <v>8162.338305666668</v>
      </c>
      <c r="AW37" s="85"/>
      <c r="AX37" s="74"/>
      <c r="AY37" s="85"/>
      <c r="AZ37" s="74"/>
      <c r="BA37" s="85"/>
      <c r="BB37" s="109">
        <f>AR28</f>
        <v>8283.4523113333344</v>
      </c>
      <c r="BC37" s="85"/>
      <c r="BD37" s="74"/>
      <c r="BE37" s="85"/>
      <c r="BF37" s="74"/>
      <c r="BG37" s="85"/>
      <c r="BH37" s="109">
        <f>'[51]Табл.1.14. структура и балансы'!$Z$51</f>
        <v>8041.2243000000008</v>
      </c>
      <c r="BI37" s="85"/>
    </row>
    <row r="38" spans="1:61" ht="13.5" x14ac:dyDescent="0.25">
      <c r="A38" s="102"/>
      <c r="B38" s="112" t="s">
        <v>646</v>
      </c>
      <c r="C38" s="95" t="s">
        <v>643</v>
      </c>
      <c r="D38" s="101"/>
      <c r="E38" s="101">
        <v>2660.5689228839001</v>
      </c>
      <c r="F38" s="101">
        <f>'[48]Приложение №1'!AT37</f>
        <v>0</v>
      </c>
      <c r="G38" s="101">
        <f>'[48]Приложение №1'!AU37</f>
        <v>5815.240561321878</v>
      </c>
      <c r="H38" s="103"/>
      <c r="I38" s="103"/>
      <c r="J38" s="111">
        <f>N38</f>
        <v>1325.8390666666701</v>
      </c>
      <c r="K38" s="103"/>
      <c r="L38" s="104"/>
      <c r="M38" s="103"/>
      <c r="N38" s="111">
        <f>N36*N37/1000</f>
        <v>1325.8390666666701</v>
      </c>
      <c r="O38" s="103"/>
      <c r="P38" s="104"/>
      <c r="Q38" s="103"/>
      <c r="R38" s="104"/>
      <c r="S38" s="103"/>
      <c r="T38" s="104">
        <v>1325.8390666666701</v>
      </c>
      <c r="U38" s="103"/>
      <c r="V38" s="104"/>
      <c r="W38" s="103"/>
      <c r="X38" s="104"/>
      <c r="Y38" s="103"/>
      <c r="Z38" s="111">
        <f>Z36*Z37/1000</f>
        <v>9005.8663444734357</v>
      </c>
      <c r="AA38" s="103"/>
      <c r="AB38" s="104"/>
      <c r="AC38" s="103"/>
      <c r="AD38" s="111">
        <f>AD36*AD37/1000</f>
        <v>9005.8663444734357</v>
      </c>
      <c r="AE38" s="103"/>
      <c r="AF38" s="104"/>
      <c r="AG38" s="103"/>
      <c r="AH38" s="104"/>
      <c r="AI38" s="103"/>
      <c r="AJ38" s="111">
        <f>AJ36*AJ37/1000</f>
        <v>3654.2656535274932</v>
      </c>
      <c r="AK38" s="103"/>
      <c r="AL38" s="104"/>
      <c r="AM38" s="103"/>
      <c r="AN38" s="104"/>
      <c r="AO38" s="103"/>
      <c r="AP38" s="111">
        <f>AP36*AP37/1000</f>
        <v>5351.6006909459429</v>
      </c>
      <c r="AQ38" s="103"/>
      <c r="AR38" s="111">
        <f>AR36*AR37/1000</f>
        <v>9366.1009982523756</v>
      </c>
      <c r="AS38" s="103"/>
      <c r="AT38" s="104"/>
      <c r="AU38" s="103"/>
      <c r="AV38" s="111">
        <f>AV36*AV37/1000</f>
        <v>9141.5094389556798</v>
      </c>
      <c r="AW38" s="103"/>
      <c r="AX38" s="104"/>
      <c r="AY38" s="103"/>
      <c r="AZ38" s="104"/>
      <c r="BA38" s="103"/>
      <c r="BB38" s="111">
        <f>BB36*BB37/1000</f>
        <v>3764.3441029170558</v>
      </c>
      <c r="BC38" s="103"/>
      <c r="BD38" s="104"/>
      <c r="BE38" s="103"/>
      <c r="BF38" s="104"/>
      <c r="BG38" s="103"/>
      <c r="BH38" s="111">
        <f>BH36*BH37/1000</f>
        <v>5351.6006909459429</v>
      </c>
      <c r="BI38" s="103"/>
    </row>
    <row r="39" spans="1:61" ht="13.5" x14ac:dyDescent="0.25">
      <c r="A39" s="102"/>
      <c r="B39" s="110" t="s">
        <v>649</v>
      </c>
      <c r="C39" s="106" t="s">
        <v>641</v>
      </c>
      <c r="D39" s="111">
        <v>373.01600000000002</v>
      </c>
      <c r="E39" s="111">
        <v>19566.790951021227</v>
      </c>
      <c r="F39" s="111"/>
      <c r="G39" s="111"/>
      <c r="H39" s="85"/>
      <c r="I39" s="85"/>
      <c r="J39" s="99">
        <f>L39+N39</f>
        <v>10562.206</v>
      </c>
      <c r="K39" s="85"/>
      <c r="L39" s="104">
        <f>'[54]Табл.Т.11. факт'!$AG$16</f>
        <v>3947.1489999999999</v>
      </c>
      <c r="M39" s="85"/>
      <c r="N39" s="98">
        <f>P39+R39+T39+V39+X39</f>
        <v>6615.0570000000007</v>
      </c>
      <c r="O39" s="85"/>
      <c r="P39" s="104">
        <f>'[54]Табл.Т.11. факт'!$AG$15</f>
        <v>1720.452</v>
      </c>
      <c r="Q39" s="85"/>
      <c r="R39" s="104">
        <f>'[54]Табл.Т.11. факт'!$AG$17</f>
        <v>1669.5219999999999</v>
      </c>
      <c r="S39" s="85"/>
      <c r="T39" s="104">
        <f>'[54]Табл.Т.11. факт'!$AG$18</f>
        <v>190.273</v>
      </c>
      <c r="U39" s="85"/>
      <c r="V39" s="104">
        <f>'[54]Табл.Т.11. факт'!$AG$19</f>
        <v>632.14</v>
      </c>
      <c r="W39" s="85"/>
      <c r="X39" s="104">
        <f>'[54]Табл.Т.11. факт'!$AG$20</f>
        <v>2402.67</v>
      </c>
      <c r="Y39" s="85"/>
      <c r="Z39" s="99">
        <f>AB39+AD39</f>
        <v>15763.201238763177</v>
      </c>
      <c r="AA39" s="85"/>
      <c r="AB39" s="104">
        <f>'[50]Табл.Т.12.'!$AK$16</f>
        <v>5606.3048633448207</v>
      </c>
      <c r="AC39" s="85"/>
      <c r="AD39" s="98">
        <f>AF39+AH39+AJ39+AL39+AN39</f>
        <v>10156.896375418357</v>
      </c>
      <c r="AE39" s="85"/>
      <c r="AF39" s="104">
        <f>'[52]Табл.Т.12.'!$AK$15</f>
        <v>1551.0736263803631</v>
      </c>
      <c r="AG39" s="85"/>
      <c r="AH39" s="104">
        <f>'[52]Табл.Т.12.'!$AK$17</f>
        <v>6598.3208555658239</v>
      </c>
      <c r="AI39" s="85"/>
      <c r="AJ39" s="104"/>
      <c r="AK39" s="85"/>
      <c r="AL39" s="104">
        <f>'[52]Табл.Т.12.'!$AK$19</f>
        <v>2007.5018934721704</v>
      </c>
      <c r="AM39" s="85"/>
      <c r="AN39" s="104"/>
      <c r="AO39" s="85"/>
      <c r="AP39" s="104"/>
      <c r="AQ39" s="85"/>
      <c r="AR39" s="99">
        <f>AT39+AV39</f>
        <v>15763.201238763177</v>
      </c>
      <c r="AS39" s="85"/>
      <c r="AT39" s="104">
        <f>AB39</f>
        <v>5606.3048633448207</v>
      </c>
      <c r="AU39" s="85"/>
      <c r="AV39" s="98">
        <f>AX39+AZ39+BB39+BD39+BF39</f>
        <v>10156.896375418357</v>
      </c>
      <c r="AW39" s="85"/>
      <c r="AX39" s="104">
        <f>AF39</f>
        <v>1551.0736263803631</v>
      </c>
      <c r="AY39" s="85"/>
      <c r="AZ39" s="104">
        <f>AH39</f>
        <v>6598.3208555658239</v>
      </c>
      <c r="BA39" s="85"/>
      <c r="BB39" s="104"/>
      <c r="BC39" s="85"/>
      <c r="BD39" s="104">
        <f>AL39</f>
        <v>2007.5018934721704</v>
      </c>
      <c r="BE39" s="85"/>
      <c r="BF39" s="104"/>
      <c r="BG39" s="85"/>
      <c r="BH39" s="104"/>
      <c r="BI39" s="85"/>
    </row>
    <row r="40" spans="1:61" x14ac:dyDescent="0.25">
      <c r="A40" s="102"/>
      <c r="B40" s="112" t="s">
        <v>645</v>
      </c>
      <c r="C40" s="113" t="s">
        <v>642</v>
      </c>
      <c r="D40" s="74">
        <f>D41/D39*1000</f>
        <v>6170.9525981012439</v>
      </c>
      <c r="E40" s="74">
        <v>6209.0812388605382</v>
      </c>
      <c r="F40" s="74"/>
      <c r="G40" s="74"/>
      <c r="H40" s="85"/>
      <c r="I40" s="85"/>
      <c r="J40" s="109">
        <f>AVERAGE(L40,P40,R40,V40,X40)</f>
        <v>6898.1826356082283</v>
      </c>
      <c r="K40" s="85"/>
      <c r="L40" s="109">
        <f>L41/L39*1000</f>
        <v>6712.0305667770845</v>
      </c>
      <c r="M40" s="85"/>
      <c r="N40" s="109">
        <v>6206.8324459267988</v>
      </c>
      <c r="O40" s="85"/>
      <c r="P40" s="109">
        <f>P41/P39*1000</f>
        <v>6761.0454473070449</v>
      </c>
      <c r="Q40" s="85"/>
      <c r="R40" s="109">
        <f>R41/R39*1000</f>
        <v>6976.9282365451309</v>
      </c>
      <c r="S40" s="85"/>
      <c r="T40" s="109"/>
      <c r="U40" s="85"/>
      <c r="V40" s="109">
        <f>V41/V39*1000</f>
        <v>6910.9001697936055</v>
      </c>
      <c r="W40" s="85"/>
      <c r="X40" s="109">
        <f>X41/X39*1000</f>
        <v>7130.008757618275</v>
      </c>
      <c r="Y40" s="85"/>
      <c r="Z40" s="109">
        <f>AVERAGE(AB40,AD40)</f>
        <v>7989.9943000000012</v>
      </c>
      <c r="AA40" s="85"/>
      <c r="AB40" s="109">
        <f>'[50]Табл.1.14. структура и балансы'!$Z$52</f>
        <v>7989.9943000000012</v>
      </c>
      <c r="AC40" s="85"/>
      <c r="AD40" s="109">
        <f>AVERAGE(AF40,AH40,AJ40,AL40,AN40)</f>
        <v>7989.9943000000012</v>
      </c>
      <c r="AE40" s="85"/>
      <c r="AF40" s="109">
        <f>'[54]Табл.1.14. структура и балансы'!$Z$52</f>
        <v>7989.9943000000012</v>
      </c>
      <c r="AG40" s="85"/>
      <c r="AH40" s="109">
        <f>'[54]Табл.1.14. структура и балансы'!$Z$52</f>
        <v>7989.9943000000012</v>
      </c>
      <c r="AI40" s="85"/>
      <c r="AJ40" s="109"/>
      <c r="AK40" s="85"/>
      <c r="AL40" s="109">
        <f>'[54]Табл.1.14. структура и балансы'!$Z$52</f>
        <v>7989.9943000000012</v>
      </c>
      <c r="AM40" s="85"/>
      <c r="AN40" s="109"/>
      <c r="AO40" s="85"/>
      <c r="AP40" s="109"/>
      <c r="AQ40" s="85"/>
      <c r="AR40" s="109">
        <f>Z40*1.04</f>
        <v>8309.5940720000017</v>
      </c>
      <c r="AS40" s="85"/>
      <c r="AT40" s="109">
        <f>AR40</f>
        <v>8309.5940720000017</v>
      </c>
      <c r="AU40" s="85"/>
      <c r="AV40" s="109">
        <f>AR40</f>
        <v>8309.5940720000017</v>
      </c>
      <c r="AW40" s="85"/>
      <c r="AX40" s="109">
        <f>AV40</f>
        <v>8309.5940720000017</v>
      </c>
      <c r="AY40" s="85"/>
      <c r="AZ40" s="109">
        <f>AX40</f>
        <v>8309.5940720000017</v>
      </c>
      <c r="BA40" s="85"/>
      <c r="BB40" s="109"/>
      <c r="BC40" s="85"/>
      <c r="BD40" s="109">
        <f>AR40</f>
        <v>8309.5940720000017</v>
      </c>
      <c r="BE40" s="85"/>
      <c r="BF40" s="109"/>
      <c r="BG40" s="85"/>
      <c r="BH40" s="109"/>
      <c r="BI40" s="85"/>
    </row>
    <row r="41" spans="1:61" x14ac:dyDescent="0.25">
      <c r="A41" s="102"/>
      <c r="B41" s="112" t="s">
        <v>646</v>
      </c>
      <c r="C41" s="95" t="s">
        <v>643</v>
      </c>
      <c r="D41" s="111">
        <f>2537.08/1.2+187630.721/1000</f>
        <v>2301.8640543333336</v>
      </c>
      <c r="E41" s="111">
        <v>121491.79459869204</v>
      </c>
      <c r="F41" s="111"/>
      <c r="G41" s="111"/>
      <c r="H41" s="85"/>
      <c r="I41" s="85"/>
      <c r="J41" s="111">
        <f>L41+N41</f>
        <v>71273.288659867219</v>
      </c>
      <c r="K41" s="85"/>
      <c r="L41" s="111">
        <v>26493.384739623601</v>
      </c>
      <c r="M41" s="85"/>
      <c r="N41" s="111">
        <f>P41+R41+V41+X41</f>
        <v>44779.903920243625</v>
      </c>
      <c r="O41" s="85"/>
      <c r="P41" s="111">
        <v>11632.054161910301</v>
      </c>
      <c r="Q41" s="85"/>
      <c r="R41" s="111">
        <v>11648.135183333299</v>
      </c>
      <c r="S41" s="85"/>
      <c r="T41" s="111"/>
      <c r="U41" s="85"/>
      <c r="V41" s="111">
        <v>4368.6564333333299</v>
      </c>
      <c r="W41" s="85"/>
      <c r="X41" s="111">
        <v>17131.058141666701</v>
      </c>
      <c r="Y41" s="85"/>
      <c r="Z41" s="111">
        <f>Z39*Z40/1000</f>
        <v>125947.88804747074</v>
      </c>
      <c r="AA41" s="85"/>
      <c r="AB41" s="111">
        <f>AB39*AB40/1000</f>
        <v>44794.3439021874</v>
      </c>
      <c r="AC41" s="85"/>
      <c r="AD41" s="111">
        <f>AD39*AD40/1000</f>
        <v>81153.544145283347</v>
      </c>
      <c r="AE41" s="85"/>
      <c r="AF41" s="111">
        <f>AF39*AF40/1000</f>
        <v>12393.069433659433</v>
      </c>
      <c r="AG41" s="85"/>
      <c r="AH41" s="111">
        <f>AH39*AH40/1000</f>
        <v>52720.546025542062</v>
      </c>
      <c r="AI41" s="85"/>
      <c r="AJ41" s="111"/>
      <c r="AK41" s="85"/>
      <c r="AL41" s="111">
        <f>AL39*AL40/1000</f>
        <v>16039.92868608185</v>
      </c>
      <c r="AM41" s="85"/>
      <c r="AN41" s="111"/>
      <c r="AO41" s="85"/>
      <c r="AP41" s="111"/>
      <c r="AQ41" s="85"/>
      <c r="AR41" s="111">
        <f>AR39*AR40/1000</f>
        <v>130985.80356936957</v>
      </c>
      <c r="AS41" s="85"/>
      <c r="AT41" s="111">
        <f>AT39*AT40/1000</f>
        <v>46586.117658274903</v>
      </c>
      <c r="AU41" s="85"/>
      <c r="AV41" s="111">
        <f>AV39*AV40/1000</f>
        <v>84399.685911094683</v>
      </c>
      <c r="AW41" s="85"/>
      <c r="AX41" s="111">
        <f>AX39*AX40/1000</f>
        <v>12888.79221100581</v>
      </c>
      <c r="AY41" s="85"/>
      <c r="AZ41" s="111">
        <f>AZ39*AZ40/1000</f>
        <v>54829.367866563749</v>
      </c>
      <c r="BA41" s="85"/>
      <c r="BB41" s="111"/>
      <c r="BC41" s="85"/>
      <c r="BD41" s="111">
        <f>BD39*BD40/1000</f>
        <v>16681.525833525127</v>
      </c>
      <c r="BE41" s="85"/>
      <c r="BF41" s="111"/>
      <c r="BG41" s="85"/>
      <c r="BH41" s="111"/>
      <c r="BI41" s="85"/>
    </row>
    <row r="42" spans="1:61" ht="13.5" x14ac:dyDescent="0.25">
      <c r="A42" s="102"/>
      <c r="B42" s="110" t="s">
        <v>650</v>
      </c>
      <c r="C42" s="106" t="s">
        <v>641</v>
      </c>
      <c r="D42" s="111"/>
      <c r="E42" s="111">
        <v>0</v>
      </c>
      <c r="F42" s="111"/>
      <c r="G42" s="111"/>
      <c r="H42" s="85"/>
      <c r="I42" s="85"/>
      <c r="J42" s="111"/>
      <c r="K42" s="85"/>
      <c r="L42" s="104"/>
      <c r="M42" s="85"/>
      <c r="N42" s="104"/>
      <c r="O42" s="85"/>
      <c r="P42" s="104"/>
      <c r="Q42" s="85"/>
      <c r="R42" s="104"/>
      <c r="S42" s="85"/>
      <c r="T42" s="104"/>
      <c r="U42" s="85"/>
      <c r="V42" s="104"/>
      <c r="W42" s="85"/>
      <c r="X42" s="104"/>
      <c r="Y42" s="85"/>
      <c r="Z42" s="99">
        <f>AB42+AD42</f>
        <v>8982.7222682799656</v>
      </c>
      <c r="AA42" s="85"/>
      <c r="AB42" s="104"/>
      <c r="AC42" s="85"/>
      <c r="AD42" s="98">
        <f>AF42+AH42+AJ42+AL42+AN42</f>
        <v>8982.7222682799656</v>
      </c>
      <c r="AE42" s="85"/>
      <c r="AF42" s="104"/>
      <c r="AG42" s="85"/>
      <c r="AH42" s="104"/>
      <c r="AI42" s="85"/>
      <c r="AJ42" s="104"/>
      <c r="AK42" s="85"/>
      <c r="AL42" s="104"/>
      <c r="AM42" s="85"/>
      <c r="AN42" s="104">
        <f>'[50]Табл.Т.12.'!$AK$20</f>
        <v>8982.7222682799656</v>
      </c>
      <c r="AO42" s="85"/>
      <c r="AP42" s="104"/>
      <c r="AQ42" s="85"/>
      <c r="AR42" s="99">
        <f>AT42+AV42</f>
        <v>8982.7222682799656</v>
      </c>
      <c r="AS42" s="85"/>
      <c r="AT42" s="104"/>
      <c r="AU42" s="85"/>
      <c r="AV42" s="98">
        <f>AX42+AZ42+BB42+BD42+BF42</f>
        <v>8982.7222682799656</v>
      </c>
      <c r="AW42" s="85"/>
      <c r="AX42" s="104"/>
      <c r="AY42" s="85"/>
      <c r="AZ42" s="104"/>
      <c r="BA42" s="85"/>
      <c r="BB42" s="104"/>
      <c r="BC42" s="85"/>
      <c r="BD42" s="104"/>
      <c r="BE42" s="85"/>
      <c r="BF42" s="104">
        <f>AN42</f>
        <v>8982.7222682799656</v>
      </c>
      <c r="BG42" s="85"/>
      <c r="BH42" s="104"/>
      <c r="BI42" s="85"/>
    </row>
    <row r="43" spans="1:61" x14ac:dyDescent="0.25">
      <c r="A43" s="102"/>
      <c r="B43" s="112" t="s">
        <v>645</v>
      </c>
      <c r="C43" s="113" t="s">
        <v>642</v>
      </c>
      <c r="D43" s="74"/>
      <c r="E43" s="74" t="e">
        <v>#DIV/0!</v>
      </c>
      <c r="F43" s="74"/>
      <c r="G43" s="74"/>
      <c r="H43" s="85"/>
      <c r="I43" s="85"/>
      <c r="J43" s="74"/>
      <c r="K43" s="85"/>
      <c r="L43" s="109"/>
      <c r="M43" s="85"/>
      <c r="N43" s="109"/>
      <c r="O43" s="85"/>
      <c r="P43" s="109"/>
      <c r="Q43" s="85"/>
      <c r="R43" s="109"/>
      <c r="S43" s="85"/>
      <c r="T43" s="109"/>
      <c r="U43" s="85"/>
      <c r="V43" s="109"/>
      <c r="W43" s="85"/>
      <c r="X43" s="109"/>
      <c r="Y43" s="85"/>
      <c r="Z43" s="109">
        <f>AVERAGE(AB43,AD43)</f>
        <v>7585.8986000000004</v>
      </c>
      <c r="AA43" s="85"/>
      <c r="AB43" s="109"/>
      <c r="AC43" s="85"/>
      <c r="AD43" s="109">
        <f>AVERAGE(AF43,AH43,AJ43,AL43,AN43)</f>
        <v>7585.8986000000004</v>
      </c>
      <c r="AE43" s="85"/>
      <c r="AF43" s="109"/>
      <c r="AG43" s="85"/>
      <c r="AH43" s="109"/>
      <c r="AI43" s="85"/>
      <c r="AJ43" s="109"/>
      <c r="AK43" s="85"/>
      <c r="AL43" s="109"/>
      <c r="AM43" s="85"/>
      <c r="AN43" s="109">
        <f>'[50]Табл.1.14. структура и балансы'!$Z$53</f>
        <v>7585.8986000000004</v>
      </c>
      <c r="AO43" s="85"/>
      <c r="AP43" s="109"/>
      <c r="AQ43" s="85"/>
      <c r="AR43" s="74">
        <f>Z43*1.04</f>
        <v>7889.3345440000003</v>
      </c>
      <c r="AS43" s="85"/>
      <c r="AT43" s="109"/>
      <c r="AU43" s="85"/>
      <c r="AV43" s="109">
        <f>AVERAGE(AX43,AZ43,BB43,BD43,BF43)</f>
        <v>8309.5940720000017</v>
      </c>
      <c r="AW43" s="85"/>
      <c r="AX43" s="109"/>
      <c r="AY43" s="85"/>
      <c r="AZ43" s="109"/>
      <c r="BA43" s="85"/>
      <c r="BB43" s="109"/>
      <c r="BC43" s="85"/>
      <c r="BD43" s="109"/>
      <c r="BE43" s="85"/>
      <c r="BF43" s="109">
        <f>AR40</f>
        <v>8309.5940720000017</v>
      </c>
      <c r="BG43" s="85"/>
      <c r="BH43" s="109"/>
      <c r="BI43" s="85"/>
    </row>
    <row r="44" spans="1:61" x14ac:dyDescent="0.25">
      <c r="A44" s="102"/>
      <c r="B44" s="112" t="s">
        <v>646</v>
      </c>
      <c r="C44" s="95" t="s">
        <v>643</v>
      </c>
      <c r="D44" s="111"/>
      <c r="E44" s="111">
        <v>0</v>
      </c>
      <c r="F44" s="111"/>
      <c r="G44" s="111"/>
      <c r="H44" s="85"/>
      <c r="I44" s="85"/>
      <c r="J44" s="111"/>
      <c r="K44" s="85"/>
      <c r="L44" s="104"/>
      <c r="M44" s="85"/>
      <c r="N44" s="104"/>
      <c r="O44" s="85"/>
      <c r="P44" s="104"/>
      <c r="Q44" s="85"/>
      <c r="R44" s="104"/>
      <c r="S44" s="85"/>
      <c r="T44" s="104"/>
      <c r="U44" s="85"/>
      <c r="V44" s="104"/>
      <c r="W44" s="85"/>
      <c r="X44" s="104"/>
      <c r="Y44" s="85"/>
      <c r="Z44" s="111">
        <f>Z42*Z43/1000</f>
        <v>68142.020279133823</v>
      </c>
      <c r="AA44" s="85"/>
      <c r="AB44" s="104"/>
      <c r="AC44" s="85"/>
      <c r="AD44" s="111">
        <f>AD42*AD43/1000</f>
        <v>68142.020279133823</v>
      </c>
      <c r="AE44" s="85"/>
      <c r="AF44" s="104"/>
      <c r="AG44" s="85"/>
      <c r="AH44" s="104"/>
      <c r="AI44" s="85"/>
      <c r="AJ44" s="104"/>
      <c r="AK44" s="85"/>
      <c r="AL44" s="104"/>
      <c r="AM44" s="85"/>
      <c r="AN44" s="111">
        <f>AN42*AN43/1000</f>
        <v>68142.020279133823</v>
      </c>
      <c r="AO44" s="85"/>
      <c r="AP44" s="111"/>
      <c r="AQ44" s="85"/>
      <c r="AR44" s="111">
        <f>AR42*AR43/1000</f>
        <v>70867.701090299175</v>
      </c>
      <c r="AS44" s="85"/>
      <c r="AT44" s="104"/>
      <c r="AU44" s="85"/>
      <c r="AV44" s="111">
        <f>AV42*AV43/1000</f>
        <v>74642.775710921618</v>
      </c>
      <c r="AW44" s="85"/>
      <c r="AX44" s="104"/>
      <c r="AY44" s="85"/>
      <c r="AZ44" s="104"/>
      <c r="BA44" s="85"/>
      <c r="BB44" s="104"/>
      <c r="BC44" s="85"/>
      <c r="BD44" s="104"/>
      <c r="BE44" s="85"/>
      <c r="BF44" s="111">
        <f>BF42*BF43/1000</f>
        <v>74642.775710921618</v>
      </c>
      <c r="BG44" s="85"/>
      <c r="BH44" s="111"/>
      <c r="BI44" s="85"/>
    </row>
    <row r="45" spans="1:61" ht="12.75" hidden="1" customHeight="1" x14ac:dyDescent="0.25">
      <c r="A45" s="102" t="s">
        <v>651</v>
      </c>
      <c r="B45" s="417" t="s">
        <v>652</v>
      </c>
      <c r="C45" s="95" t="s">
        <v>653</v>
      </c>
      <c r="D45" s="111"/>
      <c r="E45" s="111">
        <v>0</v>
      </c>
      <c r="F45" s="111"/>
      <c r="G45" s="111"/>
      <c r="H45" s="85"/>
      <c r="I45" s="85"/>
      <c r="J45" s="111"/>
      <c r="K45" s="85"/>
      <c r="L45" s="104"/>
      <c r="M45" s="85"/>
      <c r="N45" s="104"/>
      <c r="O45" s="85"/>
      <c r="P45" s="104"/>
      <c r="Q45" s="85"/>
      <c r="R45" s="104"/>
      <c r="S45" s="85"/>
      <c r="T45" s="104"/>
      <c r="U45" s="85"/>
      <c r="V45" s="104"/>
      <c r="W45" s="85"/>
      <c r="X45" s="104"/>
      <c r="Y45" s="85"/>
      <c r="Z45" s="111"/>
      <c r="AA45" s="85"/>
      <c r="AB45" s="104"/>
      <c r="AC45" s="85"/>
      <c r="AD45" s="104"/>
      <c r="AE45" s="85"/>
      <c r="AF45" s="104"/>
      <c r="AG45" s="85"/>
      <c r="AH45" s="104"/>
      <c r="AI45" s="85"/>
      <c r="AJ45" s="104"/>
      <c r="AK45" s="85"/>
      <c r="AL45" s="104"/>
      <c r="AM45" s="85"/>
      <c r="AN45" s="104"/>
      <c r="AO45" s="85"/>
      <c r="AP45" s="104"/>
      <c r="AQ45" s="85"/>
      <c r="AR45" s="111"/>
      <c r="AS45" s="85"/>
      <c r="AT45" s="104"/>
      <c r="AU45" s="85"/>
      <c r="AV45" s="104"/>
      <c r="AW45" s="85"/>
      <c r="AX45" s="104"/>
      <c r="AY45" s="85"/>
      <c r="AZ45" s="104"/>
      <c r="BA45" s="85"/>
      <c r="BB45" s="104"/>
      <c r="BC45" s="85"/>
      <c r="BD45" s="104"/>
      <c r="BE45" s="85"/>
      <c r="BF45" s="104"/>
      <c r="BG45" s="85"/>
      <c r="BH45" s="104"/>
      <c r="BI45" s="85"/>
    </row>
    <row r="46" spans="1:61" ht="12.75" hidden="1" customHeight="1" x14ac:dyDescent="0.25">
      <c r="A46" s="102"/>
      <c r="B46" s="417"/>
      <c r="C46" s="106" t="s">
        <v>654</v>
      </c>
      <c r="D46" s="74"/>
      <c r="E46" s="74" t="e">
        <v>#DIV/0!</v>
      </c>
      <c r="F46" s="74"/>
      <c r="G46" s="74"/>
      <c r="H46" s="85"/>
      <c r="I46" s="85"/>
      <c r="J46" s="74"/>
      <c r="K46" s="85"/>
      <c r="L46" s="109"/>
      <c r="M46" s="85"/>
      <c r="N46" s="109"/>
      <c r="O46" s="85"/>
      <c r="P46" s="109"/>
      <c r="Q46" s="85"/>
      <c r="R46" s="109"/>
      <c r="S46" s="85"/>
      <c r="T46" s="109"/>
      <c r="U46" s="85"/>
      <c r="V46" s="109"/>
      <c r="W46" s="85"/>
      <c r="X46" s="109"/>
      <c r="Y46" s="85"/>
      <c r="Z46" s="74"/>
      <c r="AA46" s="85"/>
      <c r="AB46" s="109"/>
      <c r="AC46" s="85"/>
      <c r="AD46" s="109"/>
      <c r="AE46" s="85"/>
      <c r="AF46" s="109"/>
      <c r="AG46" s="85"/>
      <c r="AH46" s="109"/>
      <c r="AI46" s="85"/>
      <c r="AJ46" s="109"/>
      <c r="AK46" s="85"/>
      <c r="AL46" s="109"/>
      <c r="AM46" s="85"/>
      <c r="AN46" s="109"/>
      <c r="AO46" s="85"/>
      <c r="AP46" s="109"/>
      <c r="AQ46" s="85"/>
      <c r="AR46" s="74"/>
      <c r="AS46" s="85"/>
      <c r="AT46" s="109"/>
      <c r="AU46" s="85"/>
      <c r="AV46" s="109"/>
      <c r="AW46" s="85"/>
      <c r="AX46" s="109"/>
      <c r="AY46" s="85"/>
      <c r="AZ46" s="109"/>
      <c r="BA46" s="85"/>
      <c r="BB46" s="109"/>
      <c r="BC46" s="85"/>
      <c r="BD46" s="109"/>
      <c r="BE46" s="85"/>
      <c r="BF46" s="109"/>
      <c r="BG46" s="85"/>
      <c r="BH46" s="109"/>
      <c r="BI46" s="85"/>
    </row>
    <row r="47" spans="1:61" ht="12.75" hidden="1" customHeight="1" x14ac:dyDescent="0.25">
      <c r="A47" s="102"/>
      <c r="B47" s="417"/>
      <c r="C47" s="95" t="s">
        <v>643</v>
      </c>
      <c r="D47" s="111"/>
      <c r="E47" s="111">
        <v>0</v>
      </c>
      <c r="F47" s="111"/>
      <c r="G47" s="111"/>
      <c r="H47" s="85"/>
      <c r="I47" s="85"/>
      <c r="J47" s="111"/>
      <c r="K47" s="85"/>
      <c r="L47" s="104"/>
      <c r="M47" s="85"/>
      <c r="N47" s="104"/>
      <c r="O47" s="85"/>
      <c r="P47" s="104"/>
      <c r="Q47" s="85"/>
      <c r="R47" s="104"/>
      <c r="S47" s="85"/>
      <c r="T47" s="104"/>
      <c r="U47" s="85"/>
      <c r="V47" s="104"/>
      <c r="W47" s="85"/>
      <c r="X47" s="104"/>
      <c r="Y47" s="85"/>
      <c r="Z47" s="111"/>
      <c r="AA47" s="85"/>
      <c r="AB47" s="104"/>
      <c r="AC47" s="85"/>
      <c r="AD47" s="104"/>
      <c r="AE47" s="85"/>
      <c r="AF47" s="104"/>
      <c r="AG47" s="85"/>
      <c r="AH47" s="104"/>
      <c r="AI47" s="85"/>
      <c r="AJ47" s="104"/>
      <c r="AK47" s="85"/>
      <c r="AL47" s="104"/>
      <c r="AM47" s="85"/>
      <c r="AN47" s="104"/>
      <c r="AO47" s="85"/>
      <c r="AP47" s="104"/>
      <c r="AQ47" s="85"/>
      <c r="AR47" s="111"/>
      <c r="AS47" s="85"/>
      <c r="AT47" s="104"/>
      <c r="AU47" s="85"/>
      <c r="AV47" s="104"/>
      <c r="AW47" s="85"/>
      <c r="AX47" s="104"/>
      <c r="AY47" s="85"/>
      <c r="AZ47" s="104"/>
      <c r="BA47" s="85"/>
      <c r="BB47" s="104"/>
      <c r="BC47" s="85"/>
      <c r="BD47" s="104"/>
      <c r="BE47" s="85"/>
      <c r="BF47" s="104"/>
      <c r="BG47" s="85"/>
      <c r="BH47" s="104"/>
      <c r="BI47" s="85"/>
    </row>
    <row r="48" spans="1:61" ht="12.75" hidden="1" customHeight="1" x14ac:dyDescent="0.25">
      <c r="A48" s="102" t="s">
        <v>655</v>
      </c>
      <c r="B48" s="417" t="s">
        <v>656</v>
      </c>
      <c r="C48" s="95" t="s">
        <v>653</v>
      </c>
      <c r="D48" s="111"/>
      <c r="E48" s="111">
        <v>0</v>
      </c>
      <c r="F48" s="111"/>
      <c r="G48" s="111"/>
      <c r="H48" s="85"/>
      <c r="I48" s="85"/>
      <c r="J48" s="111"/>
      <c r="K48" s="85"/>
      <c r="L48" s="104"/>
      <c r="M48" s="85"/>
      <c r="N48" s="104"/>
      <c r="O48" s="85"/>
      <c r="P48" s="104"/>
      <c r="Q48" s="85"/>
      <c r="R48" s="104"/>
      <c r="S48" s="85"/>
      <c r="T48" s="104"/>
      <c r="U48" s="85"/>
      <c r="V48" s="104"/>
      <c r="W48" s="85"/>
      <c r="X48" s="104"/>
      <c r="Y48" s="85"/>
      <c r="Z48" s="111"/>
      <c r="AA48" s="85"/>
      <c r="AB48" s="104"/>
      <c r="AC48" s="85"/>
      <c r="AD48" s="104"/>
      <c r="AE48" s="85"/>
      <c r="AF48" s="104"/>
      <c r="AG48" s="85"/>
      <c r="AH48" s="104"/>
      <c r="AI48" s="85"/>
      <c r="AJ48" s="104"/>
      <c r="AK48" s="85"/>
      <c r="AL48" s="104"/>
      <c r="AM48" s="85"/>
      <c r="AN48" s="104"/>
      <c r="AO48" s="85"/>
      <c r="AP48" s="104"/>
      <c r="AQ48" s="85"/>
      <c r="AR48" s="111"/>
      <c r="AS48" s="85"/>
      <c r="AT48" s="104"/>
      <c r="AU48" s="85"/>
      <c r="AV48" s="104"/>
      <c r="AW48" s="85"/>
      <c r="AX48" s="104"/>
      <c r="AY48" s="85"/>
      <c r="AZ48" s="104"/>
      <c r="BA48" s="85"/>
      <c r="BB48" s="104"/>
      <c r="BC48" s="85"/>
      <c r="BD48" s="104"/>
      <c r="BE48" s="85"/>
      <c r="BF48" s="104"/>
      <c r="BG48" s="85"/>
      <c r="BH48" s="104"/>
      <c r="BI48" s="85"/>
    </row>
    <row r="49" spans="1:61" ht="12.75" hidden="1" customHeight="1" x14ac:dyDescent="0.25">
      <c r="A49" s="102"/>
      <c r="B49" s="417"/>
      <c r="C49" s="106" t="s">
        <v>654</v>
      </c>
      <c r="D49" s="74"/>
      <c r="E49" s="74" t="e">
        <v>#DIV/0!</v>
      </c>
      <c r="F49" s="74"/>
      <c r="G49" s="74"/>
      <c r="H49" s="85"/>
      <c r="I49" s="85"/>
      <c r="J49" s="74"/>
      <c r="K49" s="85"/>
      <c r="L49" s="109"/>
      <c r="M49" s="85"/>
      <c r="N49" s="109"/>
      <c r="O49" s="85"/>
      <c r="P49" s="109"/>
      <c r="Q49" s="85"/>
      <c r="R49" s="109"/>
      <c r="S49" s="85"/>
      <c r="T49" s="109"/>
      <c r="U49" s="85"/>
      <c r="V49" s="109"/>
      <c r="W49" s="85"/>
      <c r="X49" s="109"/>
      <c r="Y49" s="85"/>
      <c r="Z49" s="74"/>
      <c r="AA49" s="85"/>
      <c r="AB49" s="109"/>
      <c r="AC49" s="85"/>
      <c r="AD49" s="109"/>
      <c r="AE49" s="85"/>
      <c r="AF49" s="109"/>
      <c r="AG49" s="85"/>
      <c r="AH49" s="109"/>
      <c r="AI49" s="85"/>
      <c r="AJ49" s="109"/>
      <c r="AK49" s="85"/>
      <c r="AL49" s="109"/>
      <c r="AM49" s="85"/>
      <c r="AN49" s="109"/>
      <c r="AO49" s="85"/>
      <c r="AP49" s="109"/>
      <c r="AQ49" s="85"/>
      <c r="AR49" s="74"/>
      <c r="AS49" s="85"/>
      <c r="AT49" s="109"/>
      <c r="AU49" s="85"/>
      <c r="AV49" s="109"/>
      <c r="AW49" s="85"/>
      <c r="AX49" s="109"/>
      <c r="AY49" s="85"/>
      <c r="AZ49" s="109"/>
      <c r="BA49" s="85"/>
      <c r="BB49" s="109"/>
      <c r="BC49" s="85"/>
      <c r="BD49" s="109"/>
      <c r="BE49" s="85"/>
      <c r="BF49" s="109"/>
      <c r="BG49" s="85"/>
      <c r="BH49" s="109"/>
      <c r="BI49" s="85"/>
    </row>
    <row r="50" spans="1:61" ht="12.75" hidden="1" customHeight="1" x14ac:dyDescent="0.25">
      <c r="A50" s="102"/>
      <c r="B50" s="417"/>
      <c r="C50" s="95" t="s">
        <v>643</v>
      </c>
      <c r="D50" s="111"/>
      <c r="E50" s="111">
        <v>0</v>
      </c>
      <c r="F50" s="111"/>
      <c r="G50" s="111"/>
      <c r="H50" s="85"/>
      <c r="I50" s="85"/>
      <c r="J50" s="111"/>
      <c r="K50" s="85"/>
      <c r="L50" s="104"/>
      <c r="M50" s="85"/>
      <c r="N50" s="104"/>
      <c r="O50" s="85"/>
      <c r="P50" s="104"/>
      <c r="Q50" s="85"/>
      <c r="R50" s="104"/>
      <c r="S50" s="85"/>
      <c r="T50" s="104"/>
      <c r="U50" s="85"/>
      <c r="V50" s="104"/>
      <c r="W50" s="85"/>
      <c r="X50" s="104"/>
      <c r="Y50" s="85"/>
      <c r="Z50" s="111"/>
      <c r="AA50" s="85"/>
      <c r="AB50" s="104"/>
      <c r="AC50" s="85"/>
      <c r="AD50" s="104"/>
      <c r="AE50" s="85"/>
      <c r="AF50" s="104"/>
      <c r="AG50" s="85"/>
      <c r="AH50" s="104"/>
      <c r="AI50" s="85"/>
      <c r="AJ50" s="104"/>
      <c r="AK50" s="85"/>
      <c r="AL50" s="104"/>
      <c r="AM50" s="85"/>
      <c r="AN50" s="104"/>
      <c r="AO50" s="85"/>
      <c r="AP50" s="104"/>
      <c r="AQ50" s="85"/>
      <c r="AR50" s="111"/>
      <c r="AS50" s="85"/>
      <c r="AT50" s="104"/>
      <c r="AU50" s="85"/>
      <c r="AV50" s="104"/>
      <c r="AW50" s="85"/>
      <c r="AX50" s="104"/>
      <c r="AY50" s="85"/>
      <c r="AZ50" s="104"/>
      <c r="BA50" s="85"/>
      <c r="BB50" s="104"/>
      <c r="BC50" s="85"/>
      <c r="BD50" s="104"/>
      <c r="BE50" s="85"/>
      <c r="BF50" s="104"/>
      <c r="BG50" s="85"/>
      <c r="BH50" s="104"/>
      <c r="BI50" s="85"/>
    </row>
    <row r="51" spans="1:61" ht="12.75" hidden="1" customHeight="1" x14ac:dyDescent="0.25">
      <c r="A51" s="102" t="s">
        <v>657</v>
      </c>
      <c r="B51" s="420" t="s">
        <v>658</v>
      </c>
      <c r="C51" s="95" t="s">
        <v>653</v>
      </c>
      <c r="D51" s="111"/>
      <c r="E51" s="111">
        <v>0</v>
      </c>
      <c r="F51" s="111"/>
      <c r="G51" s="111"/>
      <c r="H51" s="85"/>
      <c r="I51" s="85"/>
      <c r="J51" s="111"/>
      <c r="K51" s="85"/>
      <c r="L51" s="104"/>
      <c r="M51" s="85"/>
      <c r="N51" s="104"/>
      <c r="O51" s="85"/>
      <c r="P51" s="104"/>
      <c r="Q51" s="85"/>
      <c r="R51" s="104"/>
      <c r="S51" s="85"/>
      <c r="T51" s="104"/>
      <c r="U51" s="85"/>
      <c r="V51" s="104"/>
      <c r="W51" s="85"/>
      <c r="X51" s="104"/>
      <c r="Y51" s="85"/>
      <c r="Z51" s="111"/>
      <c r="AA51" s="85"/>
      <c r="AB51" s="104"/>
      <c r="AC51" s="85"/>
      <c r="AD51" s="104"/>
      <c r="AE51" s="85"/>
      <c r="AF51" s="104"/>
      <c r="AG51" s="85"/>
      <c r="AH51" s="104"/>
      <c r="AI51" s="85"/>
      <c r="AJ51" s="104"/>
      <c r="AK51" s="85"/>
      <c r="AL51" s="104"/>
      <c r="AM51" s="85"/>
      <c r="AN51" s="104"/>
      <c r="AO51" s="85"/>
      <c r="AP51" s="104"/>
      <c r="AQ51" s="85"/>
      <c r="AR51" s="111"/>
      <c r="AS51" s="85"/>
      <c r="AT51" s="104"/>
      <c r="AU51" s="85"/>
      <c r="AV51" s="104"/>
      <c r="AW51" s="85"/>
      <c r="AX51" s="104"/>
      <c r="AY51" s="85"/>
      <c r="AZ51" s="104"/>
      <c r="BA51" s="85"/>
      <c r="BB51" s="104"/>
      <c r="BC51" s="85"/>
      <c r="BD51" s="104"/>
      <c r="BE51" s="85"/>
      <c r="BF51" s="104"/>
      <c r="BG51" s="85"/>
      <c r="BH51" s="104"/>
      <c r="BI51" s="85"/>
    </row>
    <row r="52" spans="1:61" ht="12.75" hidden="1" customHeight="1" x14ac:dyDescent="0.25">
      <c r="A52" s="102"/>
      <c r="B52" s="420"/>
      <c r="C52" s="106" t="s">
        <v>654</v>
      </c>
      <c r="D52" s="74"/>
      <c r="E52" s="74" t="e">
        <v>#DIV/0!</v>
      </c>
      <c r="F52" s="74"/>
      <c r="G52" s="74"/>
      <c r="H52" s="85"/>
      <c r="I52" s="85"/>
      <c r="J52" s="74"/>
      <c r="K52" s="85"/>
      <c r="L52" s="109"/>
      <c r="M52" s="85"/>
      <c r="N52" s="109"/>
      <c r="O52" s="85"/>
      <c r="P52" s="109"/>
      <c r="Q52" s="85"/>
      <c r="R52" s="109"/>
      <c r="S52" s="85"/>
      <c r="T52" s="109"/>
      <c r="U52" s="85"/>
      <c r="V52" s="109"/>
      <c r="W52" s="85"/>
      <c r="X52" s="109"/>
      <c r="Y52" s="85"/>
      <c r="Z52" s="74"/>
      <c r="AA52" s="85"/>
      <c r="AB52" s="109"/>
      <c r="AC52" s="85"/>
      <c r="AD52" s="109"/>
      <c r="AE52" s="85"/>
      <c r="AF52" s="109"/>
      <c r="AG52" s="85"/>
      <c r="AH52" s="109"/>
      <c r="AI52" s="85"/>
      <c r="AJ52" s="109"/>
      <c r="AK52" s="85"/>
      <c r="AL52" s="109"/>
      <c r="AM52" s="85"/>
      <c r="AN52" s="109"/>
      <c r="AO52" s="85"/>
      <c r="AP52" s="109"/>
      <c r="AQ52" s="85"/>
      <c r="AR52" s="74"/>
      <c r="AS52" s="85"/>
      <c r="AT52" s="109"/>
      <c r="AU52" s="85"/>
      <c r="AV52" s="109"/>
      <c r="AW52" s="85"/>
      <c r="AX52" s="109"/>
      <c r="AY52" s="85"/>
      <c r="AZ52" s="109"/>
      <c r="BA52" s="85"/>
      <c r="BB52" s="109"/>
      <c r="BC52" s="85"/>
      <c r="BD52" s="109"/>
      <c r="BE52" s="85"/>
      <c r="BF52" s="109"/>
      <c r="BG52" s="85"/>
      <c r="BH52" s="109"/>
      <c r="BI52" s="85"/>
    </row>
    <row r="53" spans="1:61" ht="12.75" hidden="1" customHeight="1" x14ac:dyDescent="0.25">
      <c r="A53" s="102"/>
      <c r="B53" s="420"/>
      <c r="C53" s="95" t="s">
        <v>643</v>
      </c>
      <c r="D53" s="111"/>
      <c r="E53" s="111">
        <v>0</v>
      </c>
      <c r="F53" s="111"/>
      <c r="G53" s="111"/>
      <c r="H53" s="85"/>
      <c r="I53" s="85"/>
      <c r="J53" s="111"/>
      <c r="K53" s="85"/>
      <c r="L53" s="104"/>
      <c r="M53" s="85"/>
      <c r="N53" s="104"/>
      <c r="O53" s="85"/>
      <c r="P53" s="104"/>
      <c r="Q53" s="85"/>
      <c r="R53" s="104"/>
      <c r="S53" s="85"/>
      <c r="T53" s="104"/>
      <c r="U53" s="85"/>
      <c r="V53" s="104"/>
      <c r="W53" s="85"/>
      <c r="X53" s="104"/>
      <c r="Y53" s="85"/>
      <c r="Z53" s="111"/>
      <c r="AA53" s="85"/>
      <c r="AB53" s="104"/>
      <c r="AC53" s="85"/>
      <c r="AD53" s="104"/>
      <c r="AE53" s="85"/>
      <c r="AF53" s="104"/>
      <c r="AG53" s="85"/>
      <c r="AH53" s="104"/>
      <c r="AI53" s="85"/>
      <c r="AJ53" s="104"/>
      <c r="AK53" s="85"/>
      <c r="AL53" s="104"/>
      <c r="AM53" s="85"/>
      <c r="AN53" s="104"/>
      <c r="AO53" s="85"/>
      <c r="AP53" s="104"/>
      <c r="AQ53" s="85"/>
      <c r="AR53" s="111"/>
      <c r="AS53" s="85"/>
      <c r="AT53" s="104"/>
      <c r="AU53" s="85"/>
      <c r="AV53" s="104"/>
      <c r="AW53" s="85"/>
      <c r="AX53" s="104"/>
      <c r="AY53" s="85"/>
      <c r="AZ53" s="104"/>
      <c r="BA53" s="85"/>
      <c r="BB53" s="104"/>
      <c r="BC53" s="85"/>
      <c r="BD53" s="104"/>
      <c r="BE53" s="85"/>
      <c r="BF53" s="104"/>
      <c r="BG53" s="85"/>
      <c r="BH53" s="104"/>
      <c r="BI53" s="85"/>
    </row>
    <row r="54" spans="1:61" ht="12.75" hidden="1" customHeight="1" x14ac:dyDescent="0.25">
      <c r="A54" s="102" t="s">
        <v>659</v>
      </c>
      <c r="B54" s="420" t="s">
        <v>660</v>
      </c>
      <c r="C54" s="95" t="s">
        <v>653</v>
      </c>
      <c r="D54" s="111"/>
      <c r="E54" s="111">
        <v>0</v>
      </c>
      <c r="F54" s="111"/>
      <c r="G54" s="111"/>
      <c r="H54" s="85"/>
      <c r="I54" s="85"/>
      <c r="J54" s="111"/>
      <c r="K54" s="85"/>
      <c r="L54" s="104"/>
      <c r="M54" s="85"/>
      <c r="N54" s="104"/>
      <c r="O54" s="85"/>
      <c r="P54" s="104"/>
      <c r="Q54" s="85"/>
      <c r="R54" s="104"/>
      <c r="S54" s="85"/>
      <c r="T54" s="104"/>
      <c r="U54" s="85"/>
      <c r="V54" s="104"/>
      <c r="W54" s="85"/>
      <c r="X54" s="104"/>
      <c r="Y54" s="85"/>
      <c r="Z54" s="111"/>
      <c r="AA54" s="85"/>
      <c r="AB54" s="104"/>
      <c r="AC54" s="85"/>
      <c r="AD54" s="104"/>
      <c r="AE54" s="85"/>
      <c r="AF54" s="104"/>
      <c r="AG54" s="85"/>
      <c r="AH54" s="104"/>
      <c r="AI54" s="85"/>
      <c r="AJ54" s="104"/>
      <c r="AK54" s="85"/>
      <c r="AL54" s="104"/>
      <c r="AM54" s="85"/>
      <c r="AN54" s="104"/>
      <c r="AO54" s="85"/>
      <c r="AP54" s="104"/>
      <c r="AQ54" s="85"/>
      <c r="AR54" s="111"/>
      <c r="AS54" s="85"/>
      <c r="AT54" s="104"/>
      <c r="AU54" s="85"/>
      <c r="AV54" s="104"/>
      <c r="AW54" s="85"/>
      <c r="AX54" s="104"/>
      <c r="AY54" s="85"/>
      <c r="AZ54" s="104"/>
      <c r="BA54" s="85"/>
      <c r="BB54" s="104"/>
      <c r="BC54" s="85"/>
      <c r="BD54" s="104"/>
      <c r="BE54" s="85"/>
      <c r="BF54" s="104"/>
      <c r="BG54" s="85"/>
      <c r="BH54" s="104"/>
      <c r="BI54" s="85"/>
    </row>
    <row r="55" spans="1:61" ht="12.75" hidden="1" customHeight="1" x14ac:dyDescent="0.25">
      <c r="A55" s="102"/>
      <c r="B55" s="420"/>
      <c r="C55" s="106" t="s">
        <v>654</v>
      </c>
      <c r="D55" s="74"/>
      <c r="E55" s="74" t="e">
        <v>#DIV/0!</v>
      </c>
      <c r="F55" s="74"/>
      <c r="G55" s="74"/>
      <c r="H55" s="85"/>
      <c r="I55" s="85"/>
      <c r="J55" s="74"/>
      <c r="K55" s="85"/>
      <c r="L55" s="109"/>
      <c r="M55" s="85"/>
      <c r="N55" s="109"/>
      <c r="O55" s="85"/>
      <c r="P55" s="109"/>
      <c r="Q55" s="85"/>
      <c r="R55" s="109"/>
      <c r="S55" s="85"/>
      <c r="T55" s="109"/>
      <c r="U55" s="85"/>
      <c r="V55" s="109"/>
      <c r="W55" s="85"/>
      <c r="X55" s="109"/>
      <c r="Y55" s="85"/>
      <c r="Z55" s="74"/>
      <c r="AA55" s="85"/>
      <c r="AB55" s="109"/>
      <c r="AC55" s="85"/>
      <c r="AD55" s="109"/>
      <c r="AE55" s="85"/>
      <c r="AF55" s="109"/>
      <c r="AG55" s="85"/>
      <c r="AH55" s="109"/>
      <c r="AI55" s="85"/>
      <c r="AJ55" s="109"/>
      <c r="AK55" s="85"/>
      <c r="AL55" s="109"/>
      <c r="AM55" s="85"/>
      <c r="AN55" s="109"/>
      <c r="AO55" s="85"/>
      <c r="AP55" s="109"/>
      <c r="AQ55" s="85"/>
      <c r="AR55" s="74"/>
      <c r="AS55" s="85"/>
      <c r="AT55" s="109"/>
      <c r="AU55" s="85"/>
      <c r="AV55" s="109"/>
      <c r="AW55" s="85"/>
      <c r="AX55" s="109"/>
      <c r="AY55" s="85"/>
      <c r="AZ55" s="109"/>
      <c r="BA55" s="85"/>
      <c r="BB55" s="109"/>
      <c r="BC55" s="85"/>
      <c r="BD55" s="109"/>
      <c r="BE55" s="85"/>
      <c r="BF55" s="109"/>
      <c r="BG55" s="85"/>
      <c r="BH55" s="109"/>
      <c r="BI55" s="85"/>
    </row>
    <row r="56" spans="1:61" ht="12.75" hidden="1" customHeight="1" x14ac:dyDescent="0.25">
      <c r="A56" s="102"/>
      <c r="B56" s="420"/>
      <c r="C56" s="95" t="s">
        <v>643</v>
      </c>
      <c r="D56" s="111"/>
      <c r="E56" s="111">
        <v>0</v>
      </c>
      <c r="F56" s="111"/>
      <c r="G56" s="111"/>
      <c r="H56" s="85"/>
      <c r="I56" s="85"/>
      <c r="J56" s="111"/>
      <c r="K56" s="85"/>
      <c r="L56" s="104"/>
      <c r="M56" s="85"/>
      <c r="N56" s="104"/>
      <c r="O56" s="85"/>
      <c r="P56" s="104"/>
      <c r="Q56" s="85"/>
      <c r="R56" s="104"/>
      <c r="S56" s="85"/>
      <c r="T56" s="104"/>
      <c r="U56" s="85"/>
      <c r="V56" s="104"/>
      <c r="W56" s="85"/>
      <c r="X56" s="104"/>
      <c r="Y56" s="85"/>
      <c r="Z56" s="111"/>
      <c r="AA56" s="85"/>
      <c r="AB56" s="104"/>
      <c r="AC56" s="85"/>
      <c r="AD56" s="104"/>
      <c r="AE56" s="85"/>
      <c r="AF56" s="104"/>
      <c r="AG56" s="85"/>
      <c r="AH56" s="104"/>
      <c r="AI56" s="85"/>
      <c r="AJ56" s="104"/>
      <c r="AK56" s="85"/>
      <c r="AL56" s="104"/>
      <c r="AM56" s="85"/>
      <c r="AN56" s="104"/>
      <c r="AO56" s="85"/>
      <c r="AP56" s="104"/>
      <c r="AQ56" s="85"/>
      <c r="AR56" s="111"/>
      <c r="AS56" s="85"/>
      <c r="AT56" s="104"/>
      <c r="AU56" s="85"/>
      <c r="AV56" s="104"/>
      <c r="AW56" s="85"/>
      <c r="AX56" s="104"/>
      <c r="AY56" s="85"/>
      <c r="AZ56" s="104"/>
      <c r="BA56" s="85"/>
      <c r="BB56" s="104"/>
      <c r="BC56" s="85"/>
      <c r="BD56" s="104"/>
      <c r="BE56" s="85"/>
      <c r="BF56" s="104"/>
      <c r="BG56" s="85"/>
      <c r="BH56" s="104"/>
      <c r="BI56" s="85"/>
    </row>
    <row r="57" spans="1:61" ht="15.75" hidden="1" customHeight="1" x14ac:dyDescent="0.25">
      <c r="A57" s="102" t="s">
        <v>661</v>
      </c>
      <c r="B57" s="420" t="s">
        <v>662</v>
      </c>
      <c r="C57" s="95" t="s">
        <v>653</v>
      </c>
      <c r="D57" s="111"/>
      <c r="E57" s="111">
        <v>0</v>
      </c>
      <c r="F57" s="111"/>
      <c r="G57" s="111"/>
      <c r="H57" s="85"/>
      <c r="I57" s="85"/>
      <c r="J57" s="111"/>
      <c r="K57" s="85"/>
      <c r="L57" s="104"/>
      <c r="M57" s="85"/>
      <c r="N57" s="104"/>
      <c r="O57" s="85"/>
      <c r="P57" s="104"/>
      <c r="Q57" s="85"/>
      <c r="R57" s="104"/>
      <c r="S57" s="85"/>
      <c r="T57" s="104"/>
      <c r="U57" s="85"/>
      <c r="V57" s="104"/>
      <c r="W57" s="85"/>
      <c r="X57" s="104"/>
      <c r="Y57" s="85"/>
      <c r="Z57" s="111"/>
      <c r="AA57" s="85"/>
      <c r="AB57" s="104"/>
      <c r="AC57" s="85"/>
      <c r="AD57" s="104"/>
      <c r="AE57" s="85"/>
      <c r="AF57" s="104"/>
      <c r="AG57" s="85"/>
      <c r="AH57" s="104"/>
      <c r="AI57" s="85"/>
      <c r="AJ57" s="104"/>
      <c r="AK57" s="85"/>
      <c r="AL57" s="104"/>
      <c r="AM57" s="85"/>
      <c r="AN57" s="104"/>
      <c r="AO57" s="85"/>
      <c r="AP57" s="104"/>
      <c r="AQ57" s="85"/>
      <c r="AR57" s="111"/>
      <c r="AS57" s="85"/>
      <c r="AT57" s="104"/>
      <c r="AU57" s="85"/>
      <c r="AV57" s="104"/>
      <c r="AW57" s="85"/>
      <c r="AX57" s="104"/>
      <c r="AY57" s="85"/>
      <c r="AZ57" s="104"/>
      <c r="BA57" s="85"/>
      <c r="BB57" s="104"/>
      <c r="BC57" s="85"/>
      <c r="BD57" s="104"/>
      <c r="BE57" s="85"/>
      <c r="BF57" s="104"/>
      <c r="BG57" s="85"/>
      <c r="BH57" s="104"/>
      <c r="BI57" s="85"/>
    </row>
    <row r="58" spans="1:61" ht="15.75" hidden="1" customHeight="1" x14ac:dyDescent="0.25">
      <c r="A58" s="102"/>
      <c r="B58" s="420"/>
      <c r="C58" s="106" t="s">
        <v>654</v>
      </c>
      <c r="D58" s="74"/>
      <c r="E58" s="74" t="e">
        <v>#DIV/0!</v>
      </c>
      <c r="F58" s="74"/>
      <c r="G58" s="74"/>
      <c r="H58" s="85"/>
      <c r="I58" s="85"/>
      <c r="J58" s="74"/>
      <c r="K58" s="85"/>
      <c r="L58" s="109"/>
      <c r="M58" s="85"/>
      <c r="N58" s="109"/>
      <c r="O58" s="85"/>
      <c r="P58" s="109"/>
      <c r="Q58" s="85"/>
      <c r="R58" s="109"/>
      <c r="S58" s="85"/>
      <c r="T58" s="109"/>
      <c r="U58" s="85"/>
      <c r="V58" s="109"/>
      <c r="W58" s="85"/>
      <c r="X58" s="109"/>
      <c r="Y58" s="85"/>
      <c r="Z58" s="74"/>
      <c r="AA58" s="85"/>
      <c r="AB58" s="109"/>
      <c r="AC58" s="85"/>
      <c r="AD58" s="109"/>
      <c r="AE58" s="85"/>
      <c r="AF58" s="109"/>
      <c r="AG58" s="85"/>
      <c r="AH58" s="109"/>
      <c r="AI58" s="85"/>
      <c r="AJ58" s="109"/>
      <c r="AK58" s="85"/>
      <c r="AL58" s="109"/>
      <c r="AM58" s="85"/>
      <c r="AN58" s="109"/>
      <c r="AO58" s="85"/>
      <c r="AP58" s="109"/>
      <c r="AQ58" s="85"/>
      <c r="AR58" s="74"/>
      <c r="AS58" s="85"/>
      <c r="AT58" s="109"/>
      <c r="AU58" s="85"/>
      <c r="AV58" s="109"/>
      <c r="AW58" s="85"/>
      <c r="AX58" s="109"/>
      <c r="AY58" s="85"/>
      <c r="AZ58" s="109"/>
      <c r="BA58" s="85"/>
      <c r="BB58" s="109"/>
      <c r="BC58" s="85"/>
      <c r="BD58" s="109"/>
      <c r="BE58" s="85"/>
      <c r="BF58" s="109"/>
      <c r="BG58" s="85"/>
      <c r="BH58" s="109"/>
      <c r="BI58" s="85"/>
    </row>
    <row r="59" spans="1:61" ht="15.75" hidden="1" customHeight="1" x14ac:dyDescent="0.25">
      <c r="A59" s="102"/>
      <c r="B59" s="420"/>
      <c r="C59" s="95" t="s">
        <v>643</v>
      </c>
      <c r="D59" s="111"/>
      <c r="E59" s="111">
        <v>0</v>
      </c>
      <c r="F59" s="111"/>
      <c r="G59" s="111"/>
      <c r="H59" s="85"/>
      <c r="I59" s="85"/>
      <c r="J59" s="111"/>
      <c r="K59" s="85"/>
      <c r="L59" s="104"/>
      <c r="M59" s="85"/>
      <c r="N59" s="104"/>
      <c r="O59" s="85"/>
      <c r="P59" s="104"/>
      <c r="Q59" s="85"/>
      <c r="R59" s="104"/>
      <c r="S59" s="85"/>
      <c r="T59" s="104"/>
      <c r="U59" s="85"/>
      <c r="V59" s="104"/>
      <c r="W59" s="85"/>
      <c r="X59" s="104"/>
      <c r="Y59" s="85"/>
      <c r="Z59" s="111"/>
      <c r="AA59" s="85"/>
      <c r="AB59" s="104"/>
      <c r="AC59" s="85"/>
      <c r="AD59" s="104"/>
      <c r="AE59" s="85"/>
      <c r="AF59" s="104"/>
      <c r="AG59" s="85"/>
      <c r="AH59" s="104"/>
      <c r="AI59" s="85"/>
      <c r="AJ59" s="104"/>
      <c r="AK59" s="85"/>
      <c r="AL59" s="104"/>
      <c r="AM59" s="85"/>
      <c r="AN59" s="104"/>
      <c r="AO59" s="85"/>
      <c r="AP59" s="104"/>
      <c r="AQ59" s="85"/>
      <c r="AR59" s="111"/>
      <c r="AS59" s="85"/>
      <c r="AT59" s="104"/>
      <c r="AU59" s="85"/>
      <c r="AV59" s="104"/>
      <c r="AW59" s="85"/>
      <c r="AX59" s="104"/>
      <c r="AY59" s="85"/>
      <c r="AZ59" s="104"/>
      <c r="BA59" s="85"/>
      <c r="BB59" s="104"/>
      <c r="BC59" s="85"/>
      <c r="BD59" s="104"/>
      <c r="BE59" s="85"/>
      <c r="BF59" s="104"/>
      <c r="BG59" s="85"/>
      <c r="BH59" s="104"/>
      <c r="BI59" s="85"/>
    </row>
    <row r="60" spans="1:61" ht="15.75" hidden="1" customHeight="1" x14ac:dyDescent="0.25">
      <c r="A60" s="102" t="s">
        <v>663</v>
      </c>
      <c r="B60" s="420" t="s">
        <v>664</v>
      </c>
      <c r="C60" s="95" t="s">
        <v>653</v>
      </c>
      <c r="D60" s="111"/>
      <c r="E60" s="111">
        <v>0</v>
      </c>
      <c r="F60" s="111"/>
      <c r="G60" s="111"/>
      <c r="H60" s="85"/>
      <c r="I60" s="85"/>
      <c r="J60" s="111"/>
      <c r="K60" s="85"/>
      <c r="L60" s="104"/>
      <c r="M60" s="85"/>
      <c r="N60" s="104"/>
      <c r="O60" s="85"/>
      <c r="P60" s="104"/>
      <c r="Q60" s="85"/>
      <c r="R60" s="104"/>
      <c r="S60" s="85"/>
      <c r="T60" s="104"/>
      <c r="U60" s="85"/>
      <c r="V60" s="104"/>
      <c r="W60" s="85"/>
      <c r="X60" s="104"/>
      <c r="Y60" s="85"/>
      <c r="Z60" s="111"/>
      <c r="AA60" s="85"/>
      <c r="AB60" s="104"/>
      <c r="AC60" s="85"/>
      <c r="AD60" s="104"/>
      <c r="AE60" s="85"/>
      <c r="AF60" s="104"/>
      <c r="AG60" s="85"/>
      <c r="AH60" s="104"/>
      <c r="AI60" s="85"/>
      <c r="AJ60" s="104"/>
      <c r="AK60" s="85"/>
      <c r="AL60" s="104"/>
      <c r="AM60" s="85"/>
      <c r="AN60" s="104"/>
      <c r="AO60" s="85"/>
      <c r="AP60" s="104"/>
      <c r="AQ60" s="85"/>
      <c r="AR60" s="111"/>
      <c r="AS60" s="85"/>
      <c r="AT60" s="104"/>
      <c r="AU60" s="85"/>
      <c r="AV60" s="104"/>
      <c r="AW60" s="85"/>
      <c r="AX60" s="104"/>
      <c r="AY60" s="85"/>
      <c r="AZ60" s="104"/>
      <c r="BA60" s="85"/>
      <c r="BB60" s="104"/>
      <c r="BC60" s="85"/>
      <c r="BD60" s="104"/>
      <c r="BE60" s="85"/>
      <c r="BF60" s="104"/>
      <c r="BG60" s="85"/>
      <c r="BH60" s="104"/>
      <c r="BI60" s="85"/>
    </row>
    <row r="61" spans="1:61" ht="12.75" hidden="1" customHeight="1" x14ac:dyDescent="0.25">
      <c r="A61" s="102"/>
      <c r="B61" s="420"/>
      <c r="C61" s="106" t="s">
        <v>654</v>
      </c>
      <c r="D61" s="74"/>
      <c r="E61" s="74" t="e">
        <v>#DIV/0!</v>
      </c>
      <c r="F61" s="74"/>
      <c r="G61" s="74"/>
      <c r="H61" s="85"/>
      <c r="I61" s="85"/>
      <c r="J61" s="74"/>
      <c r="K61" s="85"/>
      <c r="L61" s="109"/>
      <c r="M61" s="85"/>
      <c r="N61" s="109"/>
      <c r="O61" s="85"/>
      <c r="P61" s="109"/>
      <c r="Q61" s="85"/>
      <c r="R61" s="109"/>
      <c r="S61" s="85"/>
      <c r="T61" s="109"/>
      <c r="U61" s="85"/>
      <c r="V61" s="109"/>
      <c r="W61" s="85"/>
      <c r="X61" s="109"/>
      <c r="Y61" s="85"/>
      <c r="Z61" s="74"/>
      <c r="AA61" s="85"/>
      <c r="AB61" s="109"/>
      <c r="AC61" s="85"/>
      <c r="AD61" s="109"/>
      <c r="AE61" s="85"/>
      <c r="AF61" s="109"/>
      <c r="AG61" s="85"/>
      <c r="AH61" s="109"/>
      <c r="AI61" s="85"/>
      <c r="AJ61" s="109"/>
      <c r="AK61" s="85"/>
      <c r="AL61" s="109"/>
      <c r="AM61" s="85"/>
      <c r="AN61" s="109"/>
      <c r="AO61" s="85"/>
      <c r="AP61" s="109"/>
      <c r="AQ61" s="85"/>
      <c r="AR61" s="74"/>
      <c r="AS61" s="85"/>
      <c r="AT61" s="109"/>
      <c r="AU61" s="85"/>
      <c r="AV61" s="109"/>
      <c r="AW61" s="85"/>
      <c r="AX61" s="109"/>
      <c r="AY61" s="85"/>
      <c r="AZ61" s="109"/>
      <c r="BA61" s="85"/>
      <c r="BB61" s="109"/>
      <c r="BC61" s="85"/>
      <c r="BD61" s="109"/>
      <c r="BE61" s="85"/>
      <c r="BF61" s="109"/>
      <c r="BG61" s="85"/>
      <c r="BH61" s="109"/>
      <c r="BI61" s="85"/>
    </row>
    <row r="62" spans="1:61" ht="12.75" hidden="1" customHeight="1" x14ac:dyDescent="0.25">
      <c r="A62" s="102"/>
      <c r="B62" s="420"/>
      <c r="C62" s="95" t="s">
        <v>643</v>
      </c>
      <c r="D62" s="111"/>
      <c r="E62" s="111">
        <v>0</v>
      </c>
      <c r="F62" s="111"/>
      <c r="G62" s="111"/>
      <c r="H62" s="85"/>
      <c r="I62" s="85"/>
      <c r="J62" s="111"/>
      <c r="K62" s="85"/>
      <c r="L62" s="104"/>
      <c r="M62" s="85"/>
      <c r="N62" s="104"/>
      <c r="O62" s="85"/>
      <c r="P62" s="104"/>
      <c r="Q62" s="85"/>
      <c r="R62" s="104"/>
      <c r="S62" s="85"/>
      <c r="T62" s="104"/>
      <c r="U62" s="85"/>
      <c r="V62" s="104"/>
      <c r="W62" s="85"/>
      <c r="X62" s="104"/>
      <c r="Y62" s="85"/>
      <c r="Z62" s="111"/>
      <c r="AA62" s="85"/>
      <c r="AB62" s="104"/>
      <c r="AC62" s="85"/>
      <c r="AD62" s="104"/>
      <c r="AE62" s="85"/>
      <c r="AF62" s="104"/>
      <c r="AG62" s="85"/>
      <c r="AH62" s="104"/>
      <c r="AI62" s="85"/>
      <c r="AJ62" s="104"/>
      <c r="AK62" s="85"/>
      <c r="AL62" s="104"/>
      <c r="AM62" s="85"/>
      <c r="AN62" s="104"/>
      <c r="AO62" s="85"/>
      <c r="AP62" s="104"/>
      <c r="AQ62" s="85"/>
      <c r="AR62" s="111"/>
      <c r="AS62" s="85"/>
      <c r="AT62" s="104"/>
      <c r="AU62" s="85"/>
      <c r="AV62" s="104"/>
      <c r="AW62" s="85"/>
      <c r="AX62" s="104"/>
      <c r="AY62" s="85"/>
      <c r="AZ62" s="104"/>
      <c r="BA62" s="85"/>
      <c r="BB62" s="104"/>
      <c r="BC62" s="85"/>
      <c r="BD62" s="104"/>
      <c r="BE62" s="85"/>
      <c r="BF62" s="104"/>
      <c r="BG62" s="85"/>
      <c r="BH62" s="104"/>
      <c r="BI62" s="85"/>
    </row>
    <row r="63" spans="1:61" ht="12.75" hidden="1" customHeight="1" x14ac:dyDescent="0.25">
      <c r="A63" s="102" t="s">
        <v>665</v>
      </c>
      <c r="B63" s="114" t="s">
        <v>666</v>
      </c>
      <c r="C63" s="95" t="s">
        <v>653</v>
      </c>
      <c r="D63" s="111"/>
      <c r="E63" s="111">
        <v>0</v>
      </c>
      <c r="F63" s="111"/>
      <c r="G63" s="111"/>
      <c r="H63" s="85"/>
      <c r="I63" s="85"/>
      <c r="J63" s="111"/>
      <c r="K63" s="85"/>
      <c r="L63" s="104"/>
      <c r="M63" s="85"/>
      <c r="N63" s="104"/>
      <c r="O63" s="85"/>
      <c r="P63" s="104"/>
      <c r="Q63" s="85"/>
      <c r="R63" s="104"/>
      <c r="S63" s="85"/>
      <c r="T63" s="104"/>
      <c r="U63" s="85"/>
      <c r="V63" s="104"/>
      <c r="W63" s="85"/>
      <c r="X63" s="104"/>
      <c r="Y63" s="85"/>
      <c r="Z63" s="111"/>
      <c r="AA63" s="85"/>
      <c r="AB63" s="104"/>
      <c r="AC63" s="85"/>
      <c r="AD63" s="104"/>
      <c r="AE63" s="85"/>
      <c r="AF63" s="104"/>
      <c r="AG63" s="85"/>
      <c r="AH63" s="104"/>
      <c r="AI63" s="85"/>
      <c r="AJ63" s="104"/>
      <c r="AK63" s="85"/>
      <c r="AL63" s="104"/>
      <c r="AM63" s="85"/>
      <c r="AN63" s="104"/>
      <c r="AO63" s="85"/>
      <c r="AP63" s="104"/>
      <c r="AQ63" s="85"/>
      <c r="AR63" s="111"/>
      <c r="AS63" s="85"/>
      <c r="AT63" s="104"/>
      <c r="AU63" s="85"/>
      <c r="AV63" s="104"/>
      <c r="AW63" s="85"/>
      <c r="AX63" s="104"/>
      <c r="AY63" s="85"/>
      <c r="AZ63" s="104"/>
      <c r="BA63" s="85"/>
      <c r="BB63" s="104"/>
      <c r="BC63" s="85"/>
      <c r="BD63" s="104"/>
      <c r="BE63" s="85"/>
      <c r="BF63" s="104"/>
      <c r="BG63" s="85"/>
      <c r="BH63" s="104"/>
      <c r="BI63" s="85"/>
    </row>
    <row r="64" spans="1:61" ht="12.75" hidden="1" customHeight="1" x14ac:dyDescent="0.25">
      <c r="A64" s="102"/>
      <c r="B64" s="114"/>
      <c r="C64" s="106" t="s">
        <v>667</v>
      </c>
      <c r="D64" s="74"/>
      <c r="E64" s="74" t="e">
        <v>#DIV/0!</v>
      </c>
      <c r="F64" s="74"/>
      <c r="G64" s="74"/>
      <c r="H64" s="85"/>
      <c r="I64" s="85"/>
      <c r="J64" s="74"/>
      <c r="K64" s="85"/>
      <c r="L64" s="109"/>
      <c r="M64" s="85"/>
      <c r="N64" s="109"/>
      <c r="O64" s="85"/>
      <c r="P64" s="109"/>
      <c r="Q64" s="85"/>
      <c r="R64" s="109"/>
      <c r="S64" s="85"/>
      <c r="T64" s="109"/>
      <c r="U64" s="85"/>
      <c r="V64" s="109"/>
      <c r="W64" s="85"/>
      <c r="X64" s="109"/>
      <c r="Y64" s="85"/>
      <c r="Z64" s="74"/>
      <c r="AA64" s="85"/>
      <c r="AB64" s="109"/>
      <c r="AC64" s="85"/>
      <c r="AD64" s="109"/>
      <c r="AE64" s="85"/>
      <c r="AF64" s="109"/>
      <c r="AG64" s="85"/>
      <c r="AH64" s="109"/>
      <c r="AI64" s="85"/>
      <c r="AJ64" s="109"/>
      <c r="AK64" s="85"/>
      <c r="AL64" s="109"/>
      <c r="AM64" s="85"/>
      <c r="AN64" s="109"/>
      <c r="AO64" s="85"/>
      <c r="AP64" s="109"/>
      <c r="AQ64" s="85"/>
      <c r="AR64" s="74"/>
      <c r="AS64" s="85"/>
      <c r="AT64" s="109"/>
      <c r="AU64" s="85"/>
      <c r="AV64" s="109"/>
      <c r="AW64" s="85"/>
      <c r="AX64" s="109"/>
      <c r="AY64" s="85"/>
      <c r="AZ64" s="109"/>
      <c r="BA64" s="85"/>
      <c r="BB64" s="109"/>
      <c r="BC64" s="85"/>
      <c r="BD64" s="109"/>
      <c r="BE64" s="85"/>
      <c r="BF64" s="109"/>
      <c r="BG64" s="85"/>
      <c r="BH64" s="109"/>
      <c r="BI64" s="85"/>
    </row>
    <row r="65" spans="1:61" ht="12.75" hidden="1" customHeight="1" x14ac:dyDescent="0.25">
      <c r="A65" s="102"/>
      <c r="B65" s="114"/>
      <c r="C65" s="95" t="s">
        <v>643</v>
      </c>
      <c r="D65" s="111"/>
      <c r="E65" s="111">
        <v>0</v>
      </c>
      <c r="F65" s="111"/>
      <c r="G65" s="111"/>
      <c r="H65" s="85"/>
      <c r="I65" s="85"/>
      <c r="J65" s="111"/>
      <c r="K65" s="85"/>
      <c r="L65" s="104"/>
      <c r="M65" s="85"/>
      <c r="N65" s="104"/>
      <c r="O65" s="85"/>
      <c r="P65" s="104"/>
      <c r="Q65" s="85"/>
      <c r="R65" s="104"/>
      <c r="S65" s="85"/>
      <c r="T65" s="104"/>
      <c r="U65" s="85"/>
      <c r="V65" s="104"/>
      <c r="W65" s="85"/>
      <c r="X65" s="104"/>
      <c r="Y65" s="85"/>
      <c r="Z65" s="111"/>
      <c r="AA65" s="85"/>
      <c r="AB65" s="104"/>
      <c r="AC65" s="85"/>
      <c r="AD65" s="104"/>
      <c r="AE65" s="85"/>
      <c r="AF65" s="104"/>
      <c r="AG65" s="85"/>
      <c r="AH65" s="104"/>
      <c r="AI65" s="85"/>
      <c r="AJ65" s="104"/>
      <c r="AK65" s="85"/>
      <c r="AL65" s="104"/>
      <c r="AM65" s="85"/>
      <c r="AN65" s="104"/>
      <c r="AO65" s="85"/>
      <c r="AP65" s="104"/>
      <c r="AQ65" s="85"/>
      <c r="AR65" s="111"/>
      <c r="AS65" s="85"/>
      <c r="AT65" s="104"/>
      <c r="AU65" s="85"/>
      <c r="AV65" s="104"/>
      <c r="AW65" s="85"/>
      <c r="AX65" s="104"/>
      <c r="AY65" s="85"/>
      <c r="AZ65" s="104"/>
      <c r="BA65" s="85"/>
      <c r="BB65" s="104"/>
      <c r="BC65" s="85"/>
      <c r="BD65" s="104"/>
      <c r="BE65" s="85"/>
      <c r="BF65" s="104"/>
      <c r="BG65" s="85"/>
      <c r="BH65" s="104"/>
      <c r="BI65" s="85"/>
    </row>
    <row r="66" spans="1:61" ht="12.75" hidden="1" customHeight="1" x14ac:dyDescent="0.25">
      <c r="A66" s="102" t="s">
        <v>668</v>
      </c>
      <c r="B66" s="419" t="s">
        <v>669</v>
      </c>
      <c r="C66" s="95" t="s">
        <v>617</v>
      </c>
      <c r="D66" s="111"/>
      <c r="E66" s="111">
        <v>0</v>
      </c>
      <c r="F66" s="111"/>
      <c r="G66" s="111"/>
      <c r="H66" s="85"/>
      <c r="I66" s="85"/>
      <c r="J66" s="111"/>
      <c r="K66" s="85"/>
      <c r="L66" s="104"/>
      <c r="M66" s="85"/>
      <c r="N66" s="104"/>
      <c r="O66" s="85"/>
      <c r="P66" s="104"/>
      <c r="Q66" s="85"/>
      <c r="R66" s="104"/>
      <c r="S66" s="85"/>
      <c r="T66" s="104"/>
      <c r="U66" s="85"/>
      <c r="V66" s="104"/>
      <c r="W66" s="85"/>
      <c r="X66" s="104"/>
      <c r="Y66" s="85"/>
      <c r="Z66" s="111"/>
      <c r="AA66" s="85"/>
      <c r="AB66" s="104"/>
      <c r="AC66" s="85"/>
      <c r="AD66" s="104"/>
      <c r="AE66" s="85"/>
      <c r="AF66" s="104"/>
      <c r="AG66" s="85"/>
      <c r="AH66" s="104"/>
      <c r="AI66" s="85"/>
      <c r="AJ66" s="104"/>
      <c r="AK66" s="85"/>
      <c r="AL66" s="104"/>
      <c r="AM66" s="85"/>
      <c r="AN66" s="104"/>
      <c r="AO66" s="85"/>
      <c r="AP66" s="104"/>
      <c r="AQ66" s="85"/>
      <c r="AR66" s="111"/>
      <c r="AS66" s="85"/>
      <c r="AT66" s="104"/>
      <c r="AU66" s="85"/>
      <c r="AV66" s="104"/>
      <c r="AW66" s="85"/>
      <c r="AX66" s="104"/>
      <c r="AY66" s="85"/>
      <c r="AZ66" s="104"/>
      <c r="BA66" s="85"/>
      <c r="BB66" s="104"/>
      <c r="BC66" s="85"/>
      <c r="BD66" s="104"/>
      <c r="BE66" s="85"/>
      <c r="BF66" s="104"/>
      <c r="BG66" s="85"/>
      <c r="BH66" s="104"/>
      <c r="BI66" s="85"/>
    </row>
    <row r="67" spans="1:61" ht="12.75" hidden="1" customHeight="1" x14ac:dyDescent="0.25">
      <c r="A67" s="102"/>
      <c r="B67" s="419"/>
      <c r="C67" s="95" t="s">
        <v>670</v>
      </c>
      <c r="D67" s="74"/>
      <c r="E67" s="74">
        <v>0</v>
      </c>
      <c r="F67" s="74"/>
      <c r="G67" s="74"/>
      <c r="H67" s="85"/>
      <c r="I67" s="85"/>
      <c r="J67" s="74"/>
      <c r="K67" s="85"/>
      <c r="L67" s="109"/>
      <c r="M67" s="85"/>
      <c r="N67" s="109"/>
      <c r="O67" s="85"/>
      <c r="P67" s="109"/>
      <c r="Q67" s="85"/>
      <c r="R67" s="109"/>
      <c r="S67" s="85"/>
      <c r="T67" s="109"/>
      <c r="U67" s="85"/>
      <c r="V67" s="109"/>
      <c r="W67" s="85"/>
      <c r="X67" s="109"/>
      <c r="Y67" s="85"/>
      <c r="Z67" s="74"/>
      <c r="AA67" s="85"/>
      <c r="AB67" s="109"/>
      <c r="AC67" s="85"/>
      <c r="AD67" s="109"/>
      <c r="AE67" s="85"/>
      <c r="AF67" s="109"/>
      <c r="AG67" s="85"/>
      <c r="AH67" s="109"/>
      <c r="AI67" s="85"/>
      <c r="AJ67" s="109"/>
      <c r="AK67" s="85"/>
      <c r="AL67" s="109"/>
      <c r="AM67" s="85"/>
      <c r="AN67" s="109"/>
      <c r="AO67" s="85"/>
      <c r="AP67" s="109"/>
      <c r="AQ67" s="85"/>
      <c r="AR67" s="74"/>
      <c r="AS67" s="85"/>
      <c r="AT67" s="109"/>
      <c r="AU67" s="85"/>
      <c r="AV67" s="109"/>
      <c r="AW67" s="85"/>
      <c r="AX67" s="109"/>
      <c r="AY67" s="85"/>
      <c r="AZ67" s="109"/>
      <c r="BA67" s="85"/>
      <c r="BB67" s="109"/>
      <c r="BC67" s="85"/>
      <c r="BD67" s="109"/>
      <c r="BE67" s="85"/>
      <c r="BF67" s="109"/>
      <c r="BG67" s="85"/>
      <c r="BH67" s="109"/>
      <c r="BI67" s="85"/>
    </row>
    <row r="68" spans="1:61" ht="13.5" hidden="1" customHeight="1" x14ac:dyDescent="0.25">
      <c r="A68" s="102"/>
      <c r="B68" s="419"/>
      <c r="C68" s="95" t="s">
        <v>638</v>
      </c>
      <c r="D68" s="115"/>
      <c r="E68" s="115">
        <v>0</v>
      </c>
      <c r="F68" s="115"/>
      <c r="G68" s="115"/>
      <c r="H68" s="116"/>
      <c r="I68" s="116"/>
      <c r="J68" s="115"/>
      <c r="K68" s="116"/>
      <c r="L68" s="98"/>
      <c r="M68" s="116"/>
      <c r="N68" s="98"/>
      <c r="O68" s="116"/>
      <c r="P68" s="98"/>
      <c r="Q68" s="116"/>
      <c r="R68" s="98"/>
      <c r="S68" s="116"/>
      <c r="T68" s="98"/>
      <c r="U68" s="116"/>
      <c r="V68" s="98"/>
      <c r="W68" s="116"/>
      <c r="X68" s="98"/>
      <c r="Y68" s="116"/>
      <c r="Z68" s="115"/>
      <c r="AA68" s="116"/>
      <c r="AB68" s="98"/>
      <c r="AC68" s="116"/>
      <c r="AD68" s="98"/>
      <c r="AE68" s="116"/>
      <c r="AF68" s="98"/>
      <c r="AG68" s="116"/>
      <c r="AH68" s="98"/>
      <c r="AI68" s="116"/>
      <c r="AJ68" s="98"/>
      <c r="AK68" s="116"/>
      <c r="AL68" s="98"/>
      <c r="AM68" s="116"/>
      <c r="AN68" s="98"/>
      <c r="AO68" s="116"/>
      <c r="AP68" s="98"/>
      <c r="AQ68" s="116"/>
      <c r="AR68" s="115"/>
      <c r="AS68" s="116"/>
      <c r="AT68" s="98"/>
      <c r="AU68" s="116"/>
      <c r="AV68" s="98"/>
      <c r="AW68" s="116"/>
      <c r="AX68" s="98"/>
      <c r="AY68" s="116"/>
      <c r="AZ68" s="98"/>
      <c r="BA68" s="116"/>
      <c r="BB68" s="98"/>
      <c r="BC68" s="116"/>
      <c r="BD68" s="98"/>
      <c r="BE68" s="116"/>
      <c r="BF68" s="98"/>
      <c r="BG68" s="116"/>
      <c r="BH68" s="98"/>
      <c r="BI68" s="116"/>
    </row>
    <row r="69" spans="1:61" ht="13.5" x14ac:dyDescent="0.25">
      <c r="A69" s="418" t="s">
        <v>671</v>
      </c>
      <c r="B69" s="419" t="s">
        <v>672</v>
      </c>
      <c r="C69" s="95" t="s">
        <v>673</v>
      </c>
      <c r="D69" s="101">
        <f>(19003.08+27618+29800+26895)/1000</f>
        <v>103.31608</v>
      </c>
      <c r="E69" s="101">
        <v>3070.282783961301</v>
      </c>
      <c r="F69" s="101">
        <f>'[48]Приложение №1'!AT68</f>
        <v>796.25196000000005</v>
      </c>
      <c r="G69" s="101">
        <f>'[48]Приложение №1'!AU68</f>
        <v>241.62</v>
      </c>
      <c r="H69" s="117">
        <f>IF(ISERR(G69/G11*1000),0,G69/G11*1000)</f>
        <v>35.130857129086301</v>
      </c>
      <c r="I69" s="118"/>
      <c r="J69" s="101">
        <f>L69+N69</f>
        <v>856.09</v>
      </c>
      <c r="K69" s="117">
        <f>IF(ISERR(J69/J11*1000),0,J69/J11*1000)</f>
        <v>14.344211954185994</v>
      </c>
      <c r="L69" s="101">
        <f>L72+L75</f>
        <v>375.37400000000002</v>
      </c>
      <c r="M69" s="117">
        <f>IF(ISERR(L69/L11*1000),0,L69/L11*1000)</f>
        <v>12.644969359783699</v>
      </c>
      <c r="N69" s="101">
        <f>N72+N75</f>
        <v>480.71600000000001</v>
      </c>
      <c r="O69" s="117">
        <f>IF(ISERR(N69/N11*1000),0,N69/N11*1000)</f>
        <v>16.025857633695363</v>
      </c>
      <c r="P69" s="101">
        <f>P72+P75</f>
        <v>268.09199999999998</v>
      </c>
      <c r="Q69" s="117">
        <f>IF(ISERR(P69/P11*1000),0,P69/P11*1000)</f>
        <v>20.782963486965851</v>
      </c>
      <c r="R69" s="101">
        <f>R72+R75</f>
        <v>63.845999999999997</v>
      </c>
      <c r="S69" s="117">
        <f>IF(ISERR(R69/R11*1000),0,R69/R11*1000)</f>
        <v>11.034874837833897</v>
      </c>
      <c r="T69" s="101">
        <f>T72+T75</f>
        <v>5.4939999999999998</v>
      </c>
      <c r="U69" s="117">
        <f>IF(ISERR(T69/T11*1000),0,T69/T11*1000)</f>
        <v>8.2311989058092045</v>
      </c>
      <c r="V69" s="101">
        <f>V72+V75</f>
        <v>35.424999999999997</v>
      </c>
      <c r="W69" s="117">
        <f>IF(ISERR(V69/V11*1000),0,V69/V11*1000)</f>
        <v>16.448135805782716</v>
      </c>
      <c r="X69" s="101">
        <f>X72+X75</f>
        <v>107.85899999999999</v>
      </c>
      <c r="Y69" s="117">
        <f>IF(ISERR(X69/X11*1000),0,X69/X11*1000)</f>
        <v>12.70479285041271</v>
      </c>
      <c r="Z69" s="101">
        <f>Z72+Z75</f>
        <v>5291.2591889999994</v>
      </c>
      <c r="AA69" s="117">
        <f>IF(ISERR(Z69/Z11*1000),0,Z69/Z11*1000)</f>
        <v>28.369482091869489</v>
      </c>
      <c r="AB69" s="101">
        <f>AB72+AB75</f>
        <v>894.29939999999999</v>
      </c>
      <c r="AC69" s="117">
        <f>IF(ISERR(AB69/AB11*1000),0,AB69/AB11*1000)</f>
        <v>22.18586047322146</v>
      </c>
      <c r="AD69" s="101">
        <f>AD72+AD75</f>
        <v>4396.9597889999995</v>
      </c>
      <c r="AE69" s="117">
        <f>IF(ISERR(AD69/AD11*1000),0,AD69/AD11*1000)</f>
        <v>30.074360773141748</v>
      </c>
      <c r="AF69" s="101">
        <f>AF72+AF75</f>
        <v>619.97084999999993</v>
      </c>
      <c r="AG69" s="117">
        <f>IF(ISERR(AF69/AF11*1000),0,AF69/AF11*1000)</f>
        <v>55.27771794347936</v>
      </c>
      <c r="AH69" s="101">
        <f>AH72+AH75</f>
        <v>696.22115999999994</v>
      </c>
      <c r="AI69" s="117">
        <f>IF(ISERR(AH69/AH11*1000),0,AH69/AH11*1000)</f>
        <v>14.402325294764552</v>
      </c>
      <c r="AJ69" s="101">
        <f>AJ72+AJ75</f>
        <v>172.41540000000001</v>
      </c>
      <c r="AK69" s="117">
        <f>IF(ISERR(AJ69/AJ11*1000),0,AJ69/AJ11*1000)</f>
        <v>51.947141670700859</v>
      </c>
      <c r="AL69" s="101">
        <f>AL72+AL75</f>
        <v>944.43861300000003</v>
      </c>
      <c r="AM69" s="117">
        <f>IF(ISERR(AL69/AL11*1000),0,AL69/AL11*1000)</f>
        <v>64.829030848178618</v>
      </c>
      <c r="AN69" s="101">
        <f>AN72+AN75</f>
        <v>1809.0442500000001</v>
      </c>
      <c r="AO69" s="117">
        <f>IF(ISERR(AN69/AN11*1000),0,AN69/AN11*1000)</f>
        <v>28.062360913383333</v>
      </c>
      <c r="AP69" s="101">
        <f>AP72+AP75</f>
        <v>154.86951599999998</v>
      </c>
      <c r="AQ69" s="118"/>
      <c r="AR69" s="101">
        <f>AR72+AR75</f>
        <v>5291.2591889999994</v>
      </c>
      <c r="AS69" s="117">
        <f>IF(ISERR(AR69/AR11*1000),0,AR69/AR11*1000)</f>
        <v>28.369482091869489</v>
      </c>
      <c r="AT69" s="101">
        <f>AT72+AT75</f>
        <v>894.29939999999999</v>
      </c>
      <c r="AU69" s="117">
        <f>IF(ISERR(AT69/AT11*1000),0,AT69/AT11*1000)</f>
        <v>22.18586047322146</v>
      </c>
      <c r="AV69" s="101">
        <f>AV72+AV75</f>
        <v>4396.9597889999995</v>
      </c>
      <c r="AW69" s="117">
        <f>IF(ISERR(AV69/AV11*1000),0,AV69/AV11*1000)</f>
        <v>30.074360773141748</v>
      </c>
      <c r="AX69" s="101">
        <f>AX72+AX75</f>
        <v>619.97084999999993</v>
      </c>
      <c r="AY69" s="117">
        <f>IF(ISERR(AX69/AX11*1000),0,AX69/AX11*1000)</f>
        <v>55.27771794347936</v>
      </c>
      <c r="AZ69" s="101">
        <f>AZ72+AZ75</f>
        <v>696.22115999999994</v>
      </c>
      <c r="BA69" s="117">
        <f>IF(ISERR(AZ69/AZ11*1000),0,AZ69/AZ11*1000)</f>
        <v>14.402325294764552</v>
      </c>
      <c r="BB69" s="101">
        <f>BB72+BB75</f>
        <v>172.41540000000001</v>
      </c>
      <c r="BC69" s="117">
        <f>IF(ISERR(BB69/BB11*1000),0,BB69/BB11*1000)</f>
        <v>51.947141670700859</v>
      </c>
      <c r="BD69" s="101">
        <f>BD72+BD75</f>
        <v>944.43861300000003</v>
      </c>
      <c r="BE69" s="117">
        <f>IF(ISERR(BD69/BD11*1000),0,BD69/BD11*1000)</f>
        <v>64.829030848178618</v>
      </c>
      <c r="BF69" s="101">
        <f>BF72+BF75</f>
        <v>1809.0442500000001</v>
      </c>
      <c r="BG69" s="117">
        <f>IF(ISERR(BF69/BF11*1000),0,BF69/BF11*1000)</f>
        <v>28.062360913383333</v>
      </c>
      <c r="BH69" s="101">
        <f>BH72+BH75</f>
        <v>154.86951599999998</v>
      </c>
      <c r="BI69" s="118"/>
    </row>
    <row r="70" spans="1:61" x14ac:dyDescent="0.25">
      <c r="A70" s="418"/>
      <c r="B70" s="419"/>
      <c r="C70" s="106" t="s">
        <v>674</v>
      </c>
      <c r="D70" s="107">
        <f>D71/D69</f>
        <v>7.466292565494161</v>
      </c>
      <c r="E70" s="107">
        <v>8.7302226726247447</v>
      </c>
      <c r="F70" s="107">
        <f>'[48]Приложение №1'!AT69</f>
        <v>7.7959999999999994</v>
      </c>
      <c r="G70" s="107">
        <f>'[48]Приложение №1'!AU69</f>
        <v>7.7960000000000003</v>
      </c>
      <c r="H70" s="108"/>
      <c r="I70" s="108"/>
      <c r="J70" s="107">
        <f>J71/J69</f>
        <v>9.4023544039372897</v>
      </c>
      <c r="K70" s="108"/>
      <c r="L70" s="107">
        <f>L73</f>
        <v>9.01592540151068</v>
      </c>
      <c r="M70" s="108"/>
      <c r="N70" s="107">
        <f>AVERAGE(P70,R70,T70,V70,X70)</f>
        <v>10.478483841027193</v>
      </c>
      <c r="O70" s="108"/>
      <c r="P70" s="107">
        <f>P73</f>
        <v>8.7343694515315651</v>
      </c>
      <c r="Q70" s="108"/>
      <c r="R70" s="107">
        <f>R76</f>
        <v>11.098029894851157</v>
      </c>
      <c r="S70" s="108"/>
      <c r="T70" s="107">
        <f>T73</f>
        <v>10.853340007280671</v>
      </c>
      <c r="U70" s="108"/>
      <c r="V70" s="107">
        <f>V73</f>
        <v>10.853339920018829</v>
      </c>
      <c r="W70" s="108"/>
      <c r="X70" s="107">
        <f>X73</f>
        <v>10.85333993145375</v>
      </c>
      <c r="Y70" s="108"/>
      <c r="Z70" s="107">
        <f>AVERAGE(Z73,Z76)*1.09</f>
        <v>12.337106397641879</v>
      </c>
      <c r="AA70" s="108"/>
      <c r="AB70" s="107">
        <f>AB71/AB69</f>
        <v>12.096852585387762</v>
      </c>
      <c r="AC70" s="108"/>
      <c r="AD70" s="107">
        <f>AD71/AD69</f>
        <v>11.630834124325066</v>
      </c>
      <c r="AE70" s="108"/>
      <c r="AF70" s="107">
        <f>AF71/AF69</f>
        <v>10.540039887349629</v>
      </c>
      <c r="AG70" s="108"/>
      <c r="AH70" s="107">
        <f>AH71/AH69</f>
        <v>10.540039887349629</v>
      </c>
      <c r="AI70" s="108"/>
      <c r="AJ70" s="107">
        <f>AJ71/AJ69</f>
        <v>12.09685258538776</v>
      </c>
      <c r="AK70" s="108"/>
      <c r="AL70" s="107">
        <f>AL71/AL69</f>
        <v>12.096852585387762</v>
      </c>
      <c r="AM70" s="108"/>
      <c r="AN70" s="107">
        <f>AN71/AN69</f>
        <v>12.09685258538776</v>
      </c>
      <c r="AO70" s="108"/>
      <c r="AP70" s="107">
        <f>AP71/AP69</f>
        <v>12.096852585387762</v>
      </c>
      <c r="AQ70" s="108"/>
      <c r="AR70" s="107">
        <f>AR71/AR69</f>
        <v>13.087202466618503</v>
      </c>
      <c r="AS70" s="108"/>
      <c r="AT70" s="107">
        <f>AT71/AT69</f>
        <v>12.580726688803272</v>
      </c>
      <c r="AU70" s="108"/>
      <c r="AV70" s="107">
        <f>AV71/AV69</f>
        <v>12.09606748929807</v>
      </c>
      <c r="AW70" s="108"/>
      <c r="AX70" s="107">
        <f>AX71/AX69</f>
        <v>10.961641482843614</v>
      </c>
      <c r="AY70" s="108"/>
      <c r="AZ70" s="107">
        <f>AZ71/AZ69</f>
        <v>10.961641482843614</v>
      </c>
      <c r="BA70" s="108"/>
      <c r="BB70" s="107">
        <f>BB71/BB69</f>
        <v>12.580726688803274</v>
      </c>
      <c r="BC70" s="108"/>
      <c r="BD70" s="107">
        <f>BD71/BD69</f>
        <v>12.580726688803272</v>
      </c>
      <c r="BE70" s="108"/>
      <c r="BF70" s="107">
        <f>BF71/BF69</f>
        <v>12.580726688803271</v>
      </c>
      <c r="BG70" s="108"/>
      <c r="BH70" s="107">
        <f>BH71/BH69</f>
        <v>12.580726688803272</v>
      </c>
      <c r="BI70" s="108"/>
    </row>
    <row r="71" spans="1:61" ht="14.25" thickBot="1" x14ac:dyDescent="0.3">
      <c r="A71" s="418"/>
      <c r="B71" s="419"/>
      <c r="C71" s="95" t="s">
        <v>638</v>
      </c>
      <c r="D71" s="101">
        <f>144.61668+210.17768+218.9698+197.62392</f>
        <v>771.38807999999995</v>
      </c>
      <c r="E71" s="101">
        <v>26804.252371908369</v>
      </c>
      <c r="F71" s="101">
        <f>'[48]Приложение №1'!AT70</f>
        <v>6207.5802801600003</v>
      </c>
      <c r="G71" s="101">
        <f>'[48]Приложение №1'!AU70</f>
        <v>1883.6695200000001</v>
      </c>
      <c r="H71" s="119">
        <f>IF(ISERR(G71/G16*1000),0,G71/G16*1000)</f>
        <v>327.17250435090722</v>
      </c>
      <c r="I71" s="120"/>
      <c r="J71" s="101">
        <f>L71+N71</f>
        <v>8049.2615816666748</v>
      </c>
      <c r="K71" s="119">
        <f>IF(ISERR(J71/J16*1000),0,J71/J16*1000)</f>
        <v>158.55136290295783</v>
      </c>
      <c r="L71" s="101">
        <f>L74+L77</f>
        <v>3384.3439816666701</v>
      </c>
      <c r="M71" s="119">
        <f>IF(ISERR(L71/L16*1000),0,L71/L16*1000)</f>
        <v>141.3055325970511</v>
      </c>
      <c r="N71" s="101">
        <f>P71+R71+T71+V71+X71</f>
        <v>4664.9176000000043</v>
      </c>
      <c r="O71" s="119">
        <f>IF(ISERR(N71/N16*1000),0,N71/N16*1000)</f>
        <v>173.95379765187695</v>
      </c>
      <c r="P71" s="101">
        <f>P74+P77</f>
        <v>2341.6145750000001</v>
      </c>
      <c r="Q71" s="119">
        <f>IF(ISERR(P71/P16*1000),0,P71/P16*1000)</f>
        <v>202.64467788861415</v>
      </c>
      <c r="R71" s="101">
        <f>R74+R77</f>
        <v>708.56481666666696</v>
      </c>
      <c r="S71" s="119">
        <f>IF(ISERR(R71/R16*1000),0,R71/R16*1000)</f>
        <v>135.40289073855701</v>
      </c>
      <c r="T71" s="101">
        <f>T74+T77</f>
        <v>59.628250000000001</v>
      </c>
      <c r="U71" s="119">
        <f>IF(ISERR(T71/T16*1000),0,T71/T16*1000)</f>
        <v>98.081490790300464</v>
      </c>
      <c r="V71" s="101">
        <f>V74+V77</f>
        <v>384.47956666666698</v>
      </c>
      <c r="W71" s="119">
        <f>IF(ISERR(V71/V16*1000),0,V71/V16*1000)</f>
        <v>199.32219938290663</v>
      </c>
      <c r="X71" s="101">
        <f>X74+X77</f>
        <v>1170.63039166667</v>
      </c>
      <c r="Y71" s="119">
        <f>IF(ISERR(X71/X16*1000),0,X71/X16*1000)</f>
        <v>156.25432777167305</v>
      </c>
      <c r="Z71" s="101">
        <f>Z69*Z70*1.02</f>
        <v>66584.404144037137</v>
      </c>
      <c r="AA71" s="119">
        <f>IF(ISERR(Z71/Z16*1000),0,Z71/Z16*1000)</f>
        <v>412.66543131718095</v>
      </c>
      <c r="AB71" s="101">
        <f>AB74+AB77</f>
        <v>10818.208009000724</v>
      </c>
      <c r="AC71" s="119">
        <f>IF(ISERR(AB71/AB16*1000),0,AB71/AB16*1000)</f>
        <v>321.40455882870168</v>
      </c>
      <c r="AD71" s="101">
        <f>AD74+AD77</f>
        <v>51140.309957186335</v>
      </c>
      <c r="AE71" s="119">
        <f>IF(ISERR(AD71/AD16*1000),0,AD71/AD16*1000)</f>
        <v>400.49465182648999</v>
      </c>
      <c r="AF71" s="101">
        <f>AF74+AF77</f>
        <v>6534.5174879940523</v>
      </c>
      <c r="AG71" s="119">
        <f>IF(ISERR(AF71/AF16*1000),0,AF71/AF16*1000)</f>
        <v>659.88136273347834</v>
      </c>
      <c r="AH71" s="101">
        <f>AH74+AH77</f>
        <v>7338.1987968168269</v>
      </c>
      <c r="AI71" s="119">
        <f>IF(ISERR(AH71/AH16*1000),0,AH71/AH16*1000)</f>
        <v>169.97014580657293</v>
      </c>
      <c r="AJ71" s="101">
        <f>AJ74+AJ77</f>
        <v>2085.6836772506649</v>
      </c>
      <c r="AK71" s="119">
        <f>IF(ISERR(AJ71/AJ16*1000),0,AJ71/AJ16*1000)</f>
        <v>740.82767758996067</v>
      </c>
      <c r="AL71" s="101">
        <f>AL74+AL77</f>
        <v>11424.734677409082</v>
      </c>
      <c r="AM71" s="119">
        <f>IF(ISERR(AL71/AL16*1000),0,AL71/AL16*1000)</f>
        <v>910.81624534117145</v>
      </c>
      <c r="AN71" s="101">
        <f>AN74+AN77</f>
        <v>21883.741612693364</v>
      </c>
      <c r="AO71" s="119">
        <f>IF(ISERR(AN71/AN16*1000),0,AN71/AN16*1000)</f>
        <v>396.42587491984648</v>
      </c>
      <c r="AP71" s="101">
        <f>AP74+AP77</f>
        <v>1873.433705022351</v>
      </c>
      <c r="AQ71" s="120"/>
      <c r="AR71" s="101">
        <f>Z71*1.04</f>
        <v>69247.780309798618</v>
      </c>
      <c r="AS71" s="119">
        <f>IF(ISERR(AR71/AR16*1000),0,AR71/AR16*1000)</f>
        <v>429.17204856986814</v>
      </c>
      <c r="AT71" s="101">
        <f>AT74+AT77</f>
        <v>11250.936329360753</v>
      </c>
      <c r="AU71" s="119">
        <f>IF(ISERR(AT71/AT16*1000),0,AT71/AT16*1000)</f>
        <v>334.26074118184971</v>
      </c>
      <c r="AV71" s="101">
        <f>AV74+AV77</f>
        <v>53185.922355473798</v>
      </c>
      <c r="AW71" s="119">
        <f>IF(ISERR(AV71/AV16*1000),0,AV71/AV16*1000)</f>
        <v>416.51443789954965</v>
      </c>
      <c r="AX71" s="101">
        <f>AX74+AX77</f>
        <v>6795.8981875138152</v>
      </c>
      <c r="AY71" s="119">
        <f>IF(ISERR(AX71/AX16*1000),0,AX71/AX16*1000)</f>
        <v>686.27661724281757</v>
      </c>
      <c r="AZ71" s="101">
        <f>AZ74+AZ77</f>
        <v>7631.7267486895007</v>
      </c>
      <c r="BA71" s="119">
        <f>IF(ISERR(AZ71/AZ16*1000),0,AZ71/AZ16*1000)</f>
        <v>176.76895163883586</v>
      </c>
      <c r="BB71" s="101">
        <f>BB74+BB77</f>
        <v>2169.111024340692</v>
      </c>
      <c r="BC71" s="119">
        <f>IF(ISERR(BB71/BB16*1000),0,BB71/BB16*1000)</f>
        <v>770.46078469355928</v>
      </c>
      <c r="BD71" s="101">
        <f>BD74+BD77</f>
        <v>11881.724064505446</v>
      </c>
      <c r="BE71" s="119">
        <f>IF(ISERR(BD71/BD16*1000),0,BD71/BD16*1000)</f>
        <v>947.24889515481834</v>
      </c>
      <c r="BF71" s="101">
        <f>BF74+BF77</f>
        <v>22759.0912772011</v>
      </c>
      <c r="BG71" s="119">
        <f>IF(ISERR(BF71/BF16*1000),0,BF71/BF16*1000)</f>
        <v>412.28290991664039</v>
      </c>
      <c r="BH71" s="101">
        <f>BH74+BH77</f>
        <v>1948.3710532232451</v>
      </c>
      <c r="BI71" s="120"/>
    </row>
    <row r="72" spans="1:61" ht="14.25" thickTop="1" x14ac:dyDescent="0.25">
      <c r="A72" s="418"/>
      <c r="B72" s="121" t="s">
        <v>675</v>
      </c>
      <c r="C72" s="106" t="s">
        <v>673</v>
      </c>
      <c r="D72" s="111">
        <f>19.00308+27.618+26.895</f>
        <v>73.516080000000002</v>
      </c>
      <c r="E72" s="111">
        <v>2138.4684918706234</v>
      </c>
      <c r="F72" s="111"/>
      <c r="G72" s="111"/>
      <c r="H72" s="85"/>
      <c r="I72" s="85"/>
      <c r="J72" s="111">
        <f>L72+N72</f>
        <v>792.24400000000003</v>
      </c>
      <c r="K72" s="85"/>
      <c r="L72" s="104">
        <f>'[54]Табл.Т.11. факт'!$AO$16</f>
        <v>375.37400000000002</v>
      </c>
      <c r="M72" s="85"/>
      <c r="N72" s="104">
        <f>P72+R72+T72+V72+X72</f>
        <v>416.87</v>
      </c>
      <c r="O72" s="85"/>
      <c r="P72" s="104">
        <f>'[54]Табл.Т.11. факт'!$AO$15</f>
        <v>268.09199999999998</v>
      </c>
      <c r="Q72" s="85"/>
      <c r="R72" s="104"/>
      <c r="S72" s="85"/>
      <c r="T72" s="104">
        <f>'[54]Табл.Т.11. факт'!$AO$18</f>
        <v>5.4939999999999998</v>
      </c>
      <c r="U72" s="85"/>
      <c r="V72" s="104">
        <f>'[54]Табл.Т.11. факт'!$AO$19</f>
        <v>35.424999999999997</v>
      </c>
      <c r="W72" s="85"/>
      <c r="X72" s="104">
        <f>'[54]Табл.Т.11. факт'!$AO$20</f>
        <v>107.85899999999999</v>
      </c>
      <c r="Y72" s="85"/>
      <c r="Z72" s="111">
        <f>AB72+AD72</f>
        <v>1316.1920099999998</v>
      </c>
      <c r="AA72" s="85"/>
      <c r="AB72" s="104"/>
      <c r="AC72" s="85"/>
      <c r="AD72" s="104">
        <f>AF72+AH72+AJ72+AL72+AN72</f>
        <v>1316.1920099999998</v>
      </c>
      <c r="AE72" s="85"/>
      <c r="AF72" s="104">
        <v>619.97084999999993</v>
      </c>
      <c r="AG72" s="85"/>
      <c r="AH72" s="104">
        <v>696.22115999999994</v>
      </c>
      <c r="AI72" s="85"/>
      <c r="AJ72" s="104"/>
      <c r="AK72" s="85"/>
      <c r="AL72" s="104"/>
      <c r="AM72" s="85"/>
      <c r="AN72" s="104"/>
      <c r="AO72" s="85"/>
      <c r="AP72" s="104"/>
      <c r="AQ72" s="85"/>
      <c r="AR72" s="111">
        <f>AT72+AV72</f>
        <v>1316.1920099999998</v>
      </c>
      <c r="AS72" s="85"/>
      <c r="AT72" s="104"/>
      <c r="AU72" s="85"/>
      <c r="AV72" s="104">
        <f>AX72+AZ72+BB72+BD72+BF72</f>
        <v>1316.1920099999998</v>
      </c>
      <c r="AW72" s="85"/>
      <c r="AX72" s="104">
        <v>619.97084999999993</v>
      </c>
      <c r="AY72" s="85"/>
      <c r="AZ72" s="104">
        <v>696.22115999999994</v>
      </c>
      <c r="BA72" s="85"/>
      <c r="BB72" s="104"/>
      <c r="BC72" s="85"/>
      <c r="BD72" s="104"/>
      <c r="BE72" s="85"/>
      <c r="BF72" s="104"/>
      <c r="BG72" s="85"/>
      <c r="BH72" s="104"/>
      <c r="BI72" s="85"/>
    </row>
    <row r="73" spans="1:61" s="79" customFormat="1" x14ac:dyDescent="0.25">
      <c r="A73" s="418"/>
      <c r="B73" s="122" t="s">
        <v>676</v>
      </c>
      <c r="C73" s="106" t="s">
        <v>674</v>
      </c>
      <c r="D73" s="123">
        <f>D70</f>
        <v>7.466292565494161</v>
      </c>
      <c r="E73" s="123">
        <v>9.1372999999999998</v>
      </c>
      <c r="F73" s="123"/>
      <c r="G73" s="123"/>
      <c r="H73" s="124"/>
      <c r="I73" s="124"/>
      <c r="J73" s="125">
        <f>AVERAGE(L73,N73)</f>
        <v>9.6697613645409426</v>
      </c>
      <c r="K73" s="124"/>
      <c r="L73" s="125">
        <f>L74/L72</f>
        <v>9.01592540151068</v>
      </c>
      <c r="M73" s="124"/>
      <c r="N73" s="125">
        <f>AVERAGE(P73,T73,V73,X73)</f>
        <v>10.323597327571203</v>
      </c>
      <c r="O73" s="124"/>
      <c r="P73" s="125">
        <f>P74/P72</f>
        <v>8.7343694515315651</v>
      </c>
      <c r="Q73" s="124"/>
      <c r="R73" s="125"/>
      <c r="S73" s="124"/>
      <c r="T73" s="125">
        <f>T74/T72</f>
        <v>10.853340007280671</v>
      </c>
      <c r="U73" s="124"/>
      <c r="V73" s="125">
        <f>V74/V72</f>
        <v>10.853339920018829</v>
      </c>
      <c r="W73" s="124"/>
      <c r="X73" s="125">
        <f>X74/X72</f>
        <v>10.85333993145375</v>
      </c>
      <c r="Y73" s="124"/>
      <c r="Z73" s="123">
        <f>J73*1.09</f>
        <v>10.540039887349629</v>
      </c>
      <c r="AA73" s="124"/>
      <c r="AB73" s="125"/>
      <c r="AC73" s="124"/>
      <c r="AD73" s="125">
        <f>AD74/AD72</f>
        <v>10.540039887349629</v>
      </c>
      <c r="AE73" s="124"/>
      <c r="AF73" s="125">
        <f>Z73</f>
        <v>10.540039887349629</v>
      </c>
      <c r="AG73" s="124"/>
      <c r="AH73" s="125">
        <f>AF73</f>
        <v>10.540039887349629</v>
      </c>
      <c r="AI73" s="124"/>
      <c r="AJ73" s="125"/>
      <c r="AK73" s="124"/>
      <c r="AL73" s="125"/>
      <c r="AM73" s="124"/>
      <c r="AN73" s="125"/>
      <c r="AO73" s="124"/>
      <c r="AP73" s="125"/>
      <c r="AQ73" s="124"/>
      <c r="AR73" s="123">
        <f>Z73*1.04</f>
        <v>10.961641482843614</v>
      </c>
      <c r="AS73" s="124"/>
      <c r="AT73" s="125"/>
      <c r="AU73" s="124"/>
      <c r="AV73" s="125">
        <f>AR73</f>
        <v>10.961641482843614</v>
      </c>
      <c r="AW73" s="124"/>
      <c r="AX73" s="125">
        <f>AR73</f>
        <v>10.961641482843614</v>
      </c>
      <c r="AY73" s="124"/>
      <c r="AZ73" s="125">
        <f>AX73</f>
        <v>10.961641482843614</v>
      </c>
      <c r="BA73" s="124"/>
      <c r="BB73" s="125"/>
      <c r="BC73" s="124"/>
      <c r="BD73" s="125"/>
      <c r="BE73" s="124"/>
      <c r="BF73" s="125"/>
      <c r="BG73" s="124"/>
      <c r="BH73" s="125"/>
      <c r="BI73" s="124"/>
    </row>
    <row r="74" spans="1:61" x14ac:dyDescent="0.25">
      <c r="A74" s="418"/>
      <c r="B74" s="126" t="s">
        <v>646</v>
      </c>
      <c r="C74" s="95" t="s">
        <v>638</v>
      </c>
      <c r="D74" s="111">
        <f>144.61668+210.17768+197.62392</f>
        <v>552.41827999999998</v>
      </c>
      <c r="E74" s="111">
        <v>19539.828150769448</v>
      </c>
      <c r="F74" s="111"/>
      <c r="G74" s="111"/>
      <c r="H74" s="85"/>
      <c r="I74" s="85"/>
      <c r="J74" s="111">
        <f>L74+N74</f>
        <v>7340.6967650000079</v>
      </c>
      <c r="K74" s="85"/>
      <c r="L74" s="104">
        <v>3384.3439816666701</v>
      </c>
      <c r="M74" s="85"/>
      <c r="N74" s="104">
        <f>P74+R74+T74+V74+X74</f>
        <v>3956.3527833333374</v>
      </c>
      <c r="O74" s="85"/>
      <c r="P74" s="104">
        <v>2341.6145750000001</v>
      </c>
      <c r="Q74" s="85"/>
      <c r="R74" s="104"/>
      <c r="S74" s="85"/>
      <c r="T74" s="104">
        <v>59.628250000000001</v>
      </c>
      <c r="U74" s="85"/>
      <c r="V74" s="104">
        <v>384.47956666666698</v>
      </c>
      <c r="W74" s="85"/>
      <c r="X74" s="104">
        <v>1170.63039166667</v>
      </c>
      <c r="Y74" s="85"/>
      <c r="Z74" s="111">
        <f>AB74+AD74</f>
        <v>13872.716284810878</v>
      </c>
      <c r="AA74" s="85"/>
      <c r="AB74" s="104"/>
      <c r="AC74" s="85"/>
      <c r="AD74" s="104">
        <f>AF74+AH74+AJ74+AL74+AN74</f>
        <v>13872.716284810878</v>
      </c>
      <c r="AE74" s="85"/>
      <c r="AF74" s="104">
        <f>AF73*AF72</f>
        <v>6534.5174879940523</v>
      </c>
      <c r="AG74" s="85"/>
      <c r="AH74" s="104">
        <f>AH73*AH72</f>
        <v>7338.1987968168269</v>
      </c>
      <c r="AI74" s="85"/>
      <c r="AJ74" s="104"/>
      <c r="AK74" s="85"/>
      <c r="AL74" s="104"/>
      <c r="AM74" s="85"/>
      <c r="AN74" s="104"/>
      <c r="AO74" s="85"/>
      <c r="AP74" s="104"/>
      <c r="AQ74" s="85"/>
      <c r="AR74" s="111">
        <f>AT74+AV74</f>
        <v>14427.624936203316</v>
      </c>
      <c r="AS74" s="85"/>
      <c r="AT74" s="104"/>
      <c r="AU74" s="85"/>
      <c r="AV74" s="104">
        <f>AX74+AZ74+BB74+BD74+BF74</f>
        <v>14427.624936203316</v>
      </c>
      <c r="AW74" s="85"/>
      <c r="AX74" s="104">
        <f>AX73*AX72</f>
        <v>6795.8981875138152</v>
      </c>
      <c r="AY74" s="85"/>
      <c r="AZ74" s="104">
        <f>AZ73*AZ72</f>
        <v>7631.7267486895007</v>
      </c>
      <c r="BA74" s="85"/>
      <c r="BB74" s="104"/>
      <c r="BC74" s="85"/>
      <c r="BD74" s="104"/>
      <c r="BE74" s="85"/>
      <c r="BF74" s="104"/>
      <c r="BG74" s="85"/>
      <c r="BH74" s="104"/>
      <c r="BI74" s="85"/>
    </row>
    <row r="75" spans="1:61" ht="13.5" x14ac:dyDescent="0.25">
      <c r="A75" s="418"/>
      <c r="B75" s="121" t="s">
        <v>677</v>
      </c>
      <c r="C75" s="106" t="s">
        <v>673</v>
      </c>
      <c r="D75" s="111">
        <f>28.8</f>
        <v>28.8</v>
      </c>
      <c r="E75" s="111">
        <v>931.81429209067755</v>
      </c>
      <c r="F75" s="111">
        <f>'[48]Приложение №1'!AT74</f>
        <v>796.25196000000005</v>
      </c>
      <c r="G75" s="111">
        <f>'[48]Приложение №1'!AU74</f>
        <v>241.62</v>
      </c>
      <c r="H75" s="85"/>
      <c r="I75" s="85"/>
      <c r="J75" s="111">
        <f>N75</f>
        <v>63.845999999999997</v>
      </c>
      <c r="K75" s="85"/>
      <c r="L75" s="104"/>
      <c r="M75" s="85"/>
      <c r="N75" s="104">
        <f>P75+R75+T75+V75+X75</f>
        <v>63.845999999999997</v>
      </c>
      <c r="O75" s="85"/>
      <c r="P75" s="104"/>
      <c r="Q75" s="85"/>
      <c r="R75" s="104">
        <f>'[54]Табл.Т.11. факт'!$AO$17</f>
        <v>63.845999999999997</v>
      </c>
      <c r="S75" s="85"/>
      <c r="T75" s="104"/>
      <c r="U75" s="85"/>
      <c r="V75" s="104"/>
      <c r="W75" s="85"/>
      <c r="X75" s="104"/>
      <c r="Y75" s="85"/>
      <c r="Z75" s="111">
        <f>AB75+AD75</f>
        <v>3975.0671789999997</v>
      </c>
      <c r="AA75" s="85"/>
      <c r="AB75" s="104">
        <v>894.29939999999999</v>
      </c>
      <c r="AC75" s="85"/>
      <c r="AD75" s="104">
        <f>AF75+AH75+AJ75+AL75+AN75+AP75</f>
        <v>3080.7677789999998</v>
      </c>
      <c r="AE75" s="85"/>
      <c r="AF75" s="104"/>
      <c r="AG75" s="85"/>
      <c r="AH75" s="104"/>
      <c r="AI75" s="85"/>
      <c r="AJ75" s="104">
        <v>172.41540000000001</v>
      </c>
      <c r="AK75" s="85"/>
      <c r="AL75" s="104">
        <v>944.43861300000003</v>
      </c>
      <c r="AM75" s="85"/>
      <c r="AN75" s="104">
        <v>1809.0442500000001</v>
      </c>
      <c r="AO75" s="85"/>
      <c r="AP75" s="104">
        <f>'[51]Табл.Т.12.'!$AS$21</f>
        <v>154.86951599999998</v>
      </c>
      <c r="AQ75" s="85"/>
      <c r="AR75" s="111">
        <f>AT75+AV75</f>
        <v>3975.0671789999997</v>
      </c>
      <c r="AS75" s="85"/>
      <c r="AT75" s="104">
        <v>894.29939999999999</v>
      </c>
      <c r="AU75" s="85"/>
      <c r="AV75" s="104">
        <f>AX75+AZ75+BB75+BD75+BF75+BH75</f>
        <v>3080.7677789999998</v>
      </c>
      <c r="AW75" s="85"/>
      <c r="AX75" s="104"/>
      <c r="AY75" s="85"/>
      <c r="AZ75" s="104"/>
      <c r="BA75" s="85"/>
      <c r="BB75" s="104">
        <v>172.41540000000001</v>
      </c>
      <c r="BC75" s="85"/>
      <c r="BD75" s="104">
        <v>944.43861300000003</v>
      </c>
      <c r="BE75" s="85"/>
      <c r="BF75" s="104">
        <v>1809.0442500000001</v>
      </c>
      <c r="BG75" s="85"/>
      <c r="BH75" s="104">
        <f>'[51]Табл.Т.12.'!$AS$21</f>
        <v>154.86951599999998</v>
      </c>
      <c r="BI75" s="85"/>
    </row>
    <row r="76" spans="1:61" s="79" customFormat="1" x14ac:dyDescent="0.25">
      <c r="A76" s="418"/>
      <c r="B76" s="122" t="s">
        <v>678</v>
      </c>
      <c r="C76" s="106" t="s">
        <v>674</v>
      </c>
      <c r="D76" s="127">
        <f>D77/D75</f>
        <v>7.6031180555555551</v>
      </c>
      <c r="E76" s="127">
        <v>7.7959999999999994</v>
      </c>
      <c r="F76" s="127">
        <f>'[48]Приложение №1'!AT75</f>
        <v>7.7959999999999994</v>
      </c>
      <c r="G76" s="127">
        <f>'[48]Приложение №1'!AU75</f>
        <v>7.7960000000000003</v>
      </c>
      <c r="H76" s="128"/>
      <c r="I76" s="128"/>
      <c r="J76" s="127">
        <f>N76</f>
        <v>11.098029894851157</v>
      </c>
      <c r="K76" s="128"/>
      <c r="L76" s="129"/>
      <c r="M76" s="128"/>
      <c r="N76" s="129">
        <f>R76</f>
        <v>11.098029894851157</v>
      </c>
      <c r="O76" s="128"/>
      <c r="P76" s="129"/>
      <c r="Q76" s="128"/>
      <c r="R76" s="129">
        <f>R77/R75</f>
        <v>11.098029894851157</v>
      </c>
      <c r="S76" s="128"/>
      <c r="T76" s="129"/>
      <c r="U76" s="128"/>
      <c r="V76" s="129"/>
      <c r="W76" s="128"/>
      <c r="X76" s="129"/>
      <c r="Y76" s="128"/>
      <c r="Z76" s="127">
        <f>J76*1.09</f>
        <v>12.096852585387762</v>
      </c>
      <c r="AA76" s="128"/>
      <c r="AB76" s="129">
        <f>Z76</f>
        <v>12.096852585387762</v>
      </c>
      <c r="AC76" s="128"/>
      <c r="AD76" s="129">
        <f>AD77/AD75</f>
        <v>12.09685258538776</v>
      </c>
      <c r="AE76" s="128"/>
      <c r="AF76" s="129"/>
      <c r="AG76" s="128"/>
      <c r="AH76" s="129"/>
      <c r="AI76" s="128"/>
      <c r="AJ76" s="129">
        <v>12.096852585387762</v>
      </c>
      <c r="AK76" s="128"/>
      <c r="AL76" s="129">
        <v>12.096852585387762</v>
      </c>
      <c r="AM76" s="128"/>
      <c r="AN76" s="129">
        <v>12.096852585387762</v>
      </c>
      <c r="AO76" s="128"/>
      <c r="AP76" s="129">
        <v>12.096852585387762</v>
      </c>
      <c r="AQ76" s="128"/>
      <c r="AR76" s="127">
        <f>Z76*1.04</f>
        <v>12.580726688803272</v>
      </c>
      <c r="AS76" s="128"/>
      <c r="AT76" s="129">
        <f>AR76</f>
        <v>12.580726688803272</v>
      </c>
      <c r="AU76" s="128"/>
      <c r="AV76" s="129">
        <f>AT76</f>
        <v>12.580726688803272</v>
      </c>
      <c r="AW76" s="128"/>
      <c r="AX76" s="129"/>
      <c r="AY76" s="128"/>
      <c r="AZ76" s="129"/>
      <c r="BA76" s="128"/>
      <c r="BB76" s="129">
        <f>AV76</f>
        <v>12.580726688803272</v>
      </c>
      <c r="BC76" s="128"/>
      <c r="BD76" s="129">
        <f>AV76</f>
        <v>12.580726688803272</v>
      </c>
      <c r="BE76" s="128"/>
      <c r="BF76" s="129">
        <f>AV76</f>
        <v>12.580726688803272</v>
      </c>
      <c r="BG76" s="128"/>
      <c r="BH76" s="129">
        <f>BF76</f>
        <v>12.580726688803272</v>
      </c>
      <c r="BI76" s="128"/>
    </row>
    <row r="77" spans="1:61" x14ac:dyDescent="0.25">
      <c r="A77" s="418"/>
      <c r="B77" s="126" t="s">
        <v>646</v>
      </c>
      <c r="C77" s="95" t="s">
        <v>638</v>
      </c>
      <c r="D77" s="111">
        <v>218.96979999999999</v>
      </c>
      <c r="E77" s="111">
        <v>7264.4242211389219</v>
      </c>
      <c r="F77" s="111">
        <f>'[48]Приложение №1'!AT76</f>
        <v>6207.5802801600003</v>
      </c>
      <c r="G77" s="111">
        <f>'[48]Приложение №1'!AU76</f>
        <v>1883.6695200000001</v>
      </c>
      <c r="H77" s="85"/>
      <c r="I77" s="85"/>
      <c r="J77" s="111">
        <f>N77</f>
        <v>708.56481666666696</v>
      </c>
      <c r="K77" s="85"/>
      <c r="L77" s="104"/>
      <c r="M77" s="85"/>
      <c r="N77" s="104">
        <f>P77+R77+T77+V77+X77</f>
        <v>708.56481666666696</v>
      </c>
      <c r="O77" s="85"/>
      <c r="P77" s="104"/>
      <c r="Q77" s="85"/>
      <c r="R77" s="104">
        <v>708.56481666666696</v>
      </c>
      <c r="S77" s="85"/>
      <c r="T77" s="104"/>
      <c r="U77" s="85"/>
      <c r="V77" s="104"/>
      <c r="W77" s="85"/>
      <c r="X77" s="104"/>
      <c r="Y77" s="85"/>
      <c r="Z77" s="111">
        <f>AB77+AD77</f>
        <v>48085.801681376179</v>
      </c>
      <c r="AA77" s="85"/>
      <c r="AB77" s="104">
        <f>AB76*AB75</f>
        <v>10818.208009000724</v>
      </c>
      <c r="AC77" s="85"/>
      <c r="AD77" s="104">
        <f>AJ77+AL77+AN77+AP77</f>
        <v>37267.593672375457</v>
      </c>
      <c r="AE77" s="85"/>
      <c r="AF77" s="104"/>
      <c r="AG77" s="85"/>
      <c r="AH77" s="104"/>
      <c r="AI77" s="85"/>
      <c r="AJ77" s="104">
        <f>AJ76*AJ75</f>
        <v>2085.6836772506649</v>
      </c>
      <c r="AK77" s="85"/>
      <c r="AL77" s="104">
        <f>AL76*AL75</f>
        <v>11424.734677409082</v>
      </c>
      <c r="AM77" s="85"/>
      <c r="AN77" s="104">
        <f>AN76*AN75</f>
        <v>21883.741612693364</v>
      </c>
      <c r="AO77" s="85"/>
      <c r="AP77" s="104">
        <f>AP76*AP75</f>
        <v>1873.433705022351</v>
      </c>
      <c r="AQ77" s="85"/>
      <c r="AR77" s="111">
        <f>AT77+AV77</f>
        <v>50009.233748631232</v>
      </c>
      <c r="AS77" s="85"/>
      <c r="AT77" s="104">
        <f>AT76*AT75</f>
        <v>11250.936329360753</v>
      </c>
      <c r="AU77" s="85"/>
      <c r="AV77" s="104">
        <f>AX77+AZ77+BB77+BD77+BF77+BH77</f>
        <v>38758.297419270479</v>
      </c>
      <c r="AW77" s="85"/>
      <c r="AX77" s="104"/>
      <c r="AY77" s="85"/>
      <c r="AZ77" s="104"/>
      <c r="BA77" s="85"/>
      <c r="BB77" s="104">
        <f>BB76*BB75</f>
        <v>2169.111024340692</v>
      </c>
      <c r="BC77" s="85"/>
      <c r="BD77" s="104">
        <f>BD76*BD75</f>
        <v>11881.724064505446</v>
      </c>
      <c r="BE77" s="85"/>
      <c r="BF77" s="104">
        <f>BF76*BF75</f>
        <v>22759.0912772011</v>
      </c>
      <c r="BG77" s="85"/>
      <c r="BH77" s="104">
        <f>BH76*BH75</f>
        <v>1948.3710532232451</v>
      </c>
      <c r="BI77" s="85"/>
    </row>
    <row r="78" spans="1:61" ht="13.5" hidden="1" x14ac:dyDescent="0.25">
      <c r="A78" s="418"/>
      <c r="B78" s="121" t="s">
        <v>679</v>
      </c>
      <c r="C78" s="106" t="s">
        <v>673</v>
      </c>
      <c r="D78" s="111"/>
      <c r="E78" s="111">
        <v>0</v>
      </c>
      <c r="F78" s="111"/>
      <c r="G78" s="111"/>
      <c r="H78" s="85"/>
      <c r="I78" s="85"/>
      <c r="J78" s="111"/>
      <c r="K78" s="85"/>
      <c r="L78" s="104"/>
      <c r="M78" s="85"/>
      <c r="N78" s="104"/>
      <c r="O78" s="85"/>
      <c r="P78" s="104"/>
      <c r="Q78" s="85"/>
      <c r="R78" s="104"/>
      <c r="S78" s="85"/>
      <c r="T78" s="104"/>
      <c r="U78" s="85"/>
      <c r="V78" s="104"/>
      <c r="W78" s="85"/>
      <c r="X78" s="104"/>
      <c r="Y78" s="85"/>
      <c r="Z78" s="111"/>
      <c r="AA78" s="85"/>
      <c r="AB78" s="104"/>
      <c r="AC78" s="85"/>
      <c r="AD78" s="104"/>
      <c r="AE78" s="85"/>
      <c r="AF78" s="104"/>
      <c r="AG78" s="85"/>
      <c r="AH78" s="104"/>
      <c r="AI78" s="85"/>
      <c r="AJ78" s="104"/>
      <c r="AK78" s="85"/>
      <c r="AL78" s="104"/>
      <c r="AM78" s="85"/>
      <c r="AN78" s="104"/>
      <c r="AO78" s="85"/>
      <c r="AP78" s="104"/>
      <c r="AQ78" s="85"/>
      <c r="AR78" s="111"/>
      <c r="AS78" s="85"/>
      <c r="AT78" s="104"/>
      <c r="AU78" s="85"/>
      <c r="AV78" s="104"/>
      <c r="AW78" s="85"/>
      <c r="AX78" s="104"/>
      <c r="AY78" s="85"/>
      <c r="AZ78" s="104"/>
      <c r="BA78" s="85"/>
      <c r="BB78" s="104"/>
      <c r="BC78" s="85"/>
      <c r="BD78" s="104"/>
      <c r="BE78" s="85"/>
      <c r="BF78" s="104"/>
      <c r="BG78" s="85"/>
      <c r="BH78" s="104"/>
      <c r="BI78" s="85"/>
    </row>
    <row r="79" spans="1:61" s="79" customFormat="1" hidden="1" x14ac:dyDescent="0.25">
      <c r="A79" s="418"/>
      <c r="B79" s="122" t="s">
        <v>680</v>
      </c>
      <c r="C79" s="106" t="s">
        <v>674</v>
      </c>
      <c r="D79" s="127"/>
      <c r="E79" s="127">
        <v>0</v>
      </c>
      <c r="F79" s="127"/>
      <c r="G79" s="127"/>
      <c r="H79" s="128"/>
      <c r="I79" s="128"/>
      <c r="J79" s="127"/>
      <c r="K79" s="128"/>
      <c r="L79" s="129"/>
      <c r="M79" s="128"/>
      <c r="N79" s="129"/>
      <c r="O79" s="128"/>
      <c r="P79" s="129"/>
      <c r="Q79" s="128"/>
      <c r="R79" s="129"/>
      <c r="S79" s="128"/>
      <c r="T79" s="129"/>
      <c r="U79" s="128"/>
      <c r="V79" s="129"/>
      <c r="W79" s="128"/>
      <c r="X79" s="129"/>
      <c r="Y79" s="128"/>
      <c r="Z79" s="127"/>
      <c r="AA79" s="128"/>
      <c r="AB79" s="129"/>
      <c r="AC79" s="128"/>
      <c r="AD79" s="129"/>
      <c r="AE79" s="128"/>
      <c r="AF79" s="129"/>
      <c r="AG79" s="128"/>
      <c r="AH79" s="129"/>
      <c r="AI79" s="128"/>
      <c r="AJ79" s="129"/>
      <c r="AK79" s="128"/>
      <c r="AL79" s="129"/>
      <c r="AM79" s="128"/>
      <c r="AN79" s="129"/>
      <c r="AO79" s="128"/>
      <c r="AP79" s="129"/>
      <c r="AQ79" s="128"/>
      <c r="AR79" s="127"/>
      <c r="AS79" s="128"/>
      <c r="AT79" s="129"/>
      <c r="AU79" s="128"/>
      <c r="AV79" s="129"/>
      <c r="AW79" s="128"/>
      <c r="AX79" s="129"/>
      <c r="AY79" s="128"/>
      <c r="AZ79" s="129"/>
      <c r="BA79" s="128"/>
      <c r="BB79" s="129"/>
      <c r="BC79" s="128"/>
      <c r="BD79" s="129"/>
      <c r="BE79" s="128"/>
      <c r="BF79" s="129"/>
      <c r="BG79" s="128"/>
      <c r="BH79" s="129"/>
      <c r="BI79" s="128"/>
    </row>
    <row r="80" spans="1:61" hidden="1" x14ac:dyDescent="0.25">
      <c r="A80" s="418"/>
      <c r="B80" s="126" t="s">
        <v>646</v>
      </c>
      <c r="C80" s="95" t="s">
        <v>638</v>
      </c>
      <c r="D80" s="111"/>
      <c r="E80" s="111">
        <v>0</v>
      </c>
      <c r="F80" s="111"/>
      <c r="G80" s="111"/>
      <c r="H80" s="85"/>
      <c r="I80" s="85"/>
      <c r="J80" s="111"/>
      <c r="K80" s="85"/>
      <c r="L80" s="104"/>
      <c r="M80" s="85"/>
      <c r="N80" s="104"/>
      <c r="O80" s="85"/>
      <c r="P80" s="104"/>
      <c r="Q80" s="85"/>
      <c r="R80" s="104"/>
      <c r="S80" s="85"/>
      <c r="T80" s="104"/>
      <c r="U80" s="85"/>
      <c r="V80" s="104"/>
      <c r="W80" s="85"/>
      <c r="X80" s="104"/>
      <c r="Y80" s="85"/>
      <c r="Z80" s="111"/>
      <c r="AA80" s="85"/>
      <c r="AB80" s="104"/>
      <c r="AC80" s="85"/>
      <c r="AD80" s="104"/>
      <c r="AE80" s="85"/>
      <c r="AF80" s="104"/>
      <c r="AG80" s="85"/>
      <c r="AH80" s="104"/>
      <c r="AI80" s="85"/>
      <c r="AJ80" s="104"/>
      <c r="AK80" s="85"/>
      <c r="AL80" s="104"/>
      <c r="AM80" s="85"/>
      <c r="AN80" s="104"/>
      <c r="AO80" s="85"/>
      <c r="AP80" s="104"/>
      <c r="AQ80" s="85"/>
      <c r="AR80" s="111"/>
      <c r="AS80" s="85"/>
      <c r="AT80" s="104"/>
      <c r="AU80" s="85"/>
      <c r="AV80" s="104"/>
      <c r="AW80" s="85"/>
      <c r="AX80" s="104"/>
      <c r="AY80" s="85"/>
      <c r="AZ80" s="104"/>
      <c r="BA80" s="85"/>
      <c r="BB80" s="104"/>
      <c r="BC80" s="85"/>
      <c r="BD80" s="104"/>
      <c r="BE80" s="85"/>
      <c r="BF80" s="104"/>
      <c r="BG80" s="85"/>
      <c r="BH80" s="104"/>
      <c r="BI80" s="85"/>
    </row>
    <row r="81" spans="1:61" ht="13.5" hidden="1" x14ac:dyDescent="0.25">
      <c r="A81" s="418"/>
      <c r="B81" s="121" t="s">
        <v>681</v>
      </c>
      <c r="C81" s="106" t="s">
        <v>673</v>
      </c>
      <c r="D81" s="111"/>
      <c r="E81" s="111">
        <v>0</v>
      </c>
      <c r="F81" s="111"/>
      <c r="G81" s="111"/>
      <c r="H81" s="85"/>
      <c r="I81" s="85"/>
      <c r="J81" s="111"/>
      <c r="K81" s="85"/>
      <c r="L81" s="104"/>
      <c r="M81" s="85"/>
      <c r="N81" s="104"/>
      <c r="O81" s="85"/>
      <c r="P81" s="104"/>
      <c r="Q81" s="85"/>
      <c r="R81" s="104"/>
      <c r="S81" s="85"/>
      <c r="T81" s="104"/>
      <c r="U81" s="85"/>
      <c r="V81" s="104"/>
      <c r="W81" s="85"/>
      <c r="X81" s="104"/>
      <c r="Y81" s="85"/>
      <c r="Z81" s="111"/>
      <c r="AA81" s="85"/>
      <c r="AB81" s="104"/>
      <c r="AC81" s="85"/>
      <c r="AD81" s="104"/>
      <c r="AE81" s="85"/>
      <c r="AF81" s="104"/>
      <c r="AG81" s="85"/>
      <c r="AH81" s="104"/>
      <c r="AI81" s="85"/>
      <c r="AJ81" s="104"/>
      <c r="AK81" s="85"/>
      <c r="AL81" s="104"/>
      <c r="AM81" s="85"/>
      <c r="AN81" s="104"/>
      <c r="AO81" s="85"/>
      <c r="AP81" s="104"/>
      <c r="AQ81" s="85"/>
      <c r="AR81" s="111"/>
      <c r="AS81" s="85"/>
      <c r="AT81" s="104"/>
      <c r="AU81" s="85"/>
      <c r="AV81" s="104"/>
      <c r="AW81" s="85"/>
      <c r="AX81" s="104"/>
      <c r="AY81" s="85"/>
      <c r="AZ81" s="104"/>
      <c r="BA81" s="85"/>
      <c r="BB81" s="104"/>
      <c r="BC81" s="85"/>
      <c r="BD81" s="104"/>
      <c r="BE81" s="85"/>
      <c r="BF81" s="104"/>
      <c r="BG81" s="85"/>
      <c r="BH81" s="104"/>
      <c r="BI81" s="85"/>
    </row>
    <row r="82" spans="1:61" s="79" customFormat="1" hidden="1" x14ac:dyDescent="0.25">
      <c r="A82" s="418"/>
      <c r="B82" s="122" t="s">
        <v>682</v>
      </c>
      <c r="C82" s="106" t="s">
        <v>674</v>
      </c>
      <c r="D82" s="127"/>
      <c r="E82" s="127">
        <v>0</v>
      </c>
      <c r="F82" s="127"/>
      <c r="G82" s="127"/>
      <c r="H82" s="128"/>
      <c r="I82" s="128"/>
      <c r="J82" s="127"/>
      <c r="K82" s="128"/>
      <c r="L82" s="129"/>
      <c r="M82" s="128"/>
      <c r="N82" s="129"/>
      <c r="O82" s="128"/>
      <c r="P82" s="129"/>
      <c r="Q82" s="128"/>
      <c r="R82" s="129"/>
      <c r="S82" s="128"/>
      <c r="T82" s="129"/>
      <c r="U82" s="128"/>
      <c r="V82" s="129"/>
      <c r="W82" s="128"/>
      <c r="X82" s="129"/>
      <c r="Y82" s="128"/>
      <c r="Z82" s="127"/>
      <c r="AA82" s="128"/>
      <c r="AB82" s="129"/>
      <c r="AC82" s="128"/>
      <c r="AD82" s="129"/>
      <c r="AE82" s="128"/>
      <c r="AF82" s="129"/>
      <c r="AG82" s="128"/>
      <c r="AH82" s="129"/>
      <c r="AI82" s="128"/>
      <c r="AJ82" s="129"/>
      <c r="AK82" s="128"/>
      <c r="AL82" s="129"/>
      <c r="AM82" s="128"/>
      <c r="AN82" s="129"/>
      <c r="AO82" s="128"/>
      <c r="AP82" s="129"/>
      <c r="AQ82" s="128"/>
      <c r="AR82" s="127"/>
      <c r="AS82" s="128"/>
      <c r="AT82" s="129"/>
      <c r="AU82" s="128"/>
      <c r="AV82" s="129"/>
      <c r="AW82" s="128"/>
      <c r="AX82" s="129"/>
      <c r="AY82" s="128"/>
      <c r="AZ82" s="129"/>
      <c r="BA82" s="128"/>
      <c r="BB82" s="129"/>
      <c r="BC82" s="128"/>
      <c r="BD82" s="129"/>
      <c r="BE82" s="128"/>
      <c r="BF82" s="129"/>
      <c r="BG82" s="128"/>
      <c r="BH82" s="129"/>
      <c r="BI82" s="128"/>
    </row>
    <row r="83" spans="1:61" hidden="1" x14ac:dyDescent="0.25">
      <c r="A83" s="418"/>
      <c r="B83" s="126" t="s">
        <v>646</v>
      </c>
      <c r="C83" s="95" t="s">
        <v>638</v>
      </c>
      <c r="D83" s="111"/>
      <c r="E83" s="111">
        <v>0</v>
      </c>
      <c r="F83" s="111"/>
      <c r="G83" s="111"/>
      <c r="H83" s="85"/>
      <c r="I83" s="85"/>
      <c r="J83" s="111"/>
      <c r="K83" s="85"/>
      <c r="L83" s="104"/>
      <c r="M83" s="85"/>
      <c r="N83" s="104"/>
      <c r="O83" s="85"/>
      <c r="P83" s="104"/>
      <c r="Q83" s="85"/>
      <c r="R83" s="104"/>
      <c r="S83" s="85"/>
      <c r="T83" s="104"/>
      <c r="U83" s="85"/>
      <c r="V83" s="104"/>
      <c r="W83" s="85"/>
      <c r="X83" s="104"/>
      <c r="Y83" s="85"/>
      <c r="Z83" s="111"/>
      <c r="AA83" s="85"/>
      <c r="AB83" s="104"/>
      <c r="AC83" s="85"/>
      <c r="AD83" s="104"/>
      <c r="AE83" s="85"/>
      <c r="AF83" s="104"/>
      <c r="AG83" s="85"/>
      <c r="AH83" s="104"/>
      <c r="AI83" s="85"/>
      <c r="AJ83" s="104"/>
      <c r="AK83" s="85"/>
      <c r="AL83" s="104"/>
      <c r="AM83" s="85"/>
      <c r="AN83" s="104"/>
      <c r="AO83" s="85"/>
      <c r="AP83" s="104"/>
      <c r="AQ83" s="85"/>
      <c r="AR83" s="111"/>
      <c r="AS83" s="85"/>
      <c r="AT83" s="104"/>
      <c r="AU83" s="85"/>
      <c r="AV83" s="104"/>
      <c r="AW83" s="85"/>
      <c r="AX83" s="104"/>
      <c r="AY83" s="85"/>
      <c r="AZ83" s="104"/>
      <c r="BA83" s="85"/>
      <c r="BB83" s="104"/>
      <c r="BC83" s="85"/>
      <c r="BD83" s="104"/>
      <c r="BE83" s="85"/>
      <c r="BF83" s="104"/>
      <c r="BG83" s="85"/>
      <c r="BH83" s="104"/>
      <c r="BI83" s="85"/>
    </row>
    <row r="84" spans="1:61" x14ac:dyDescent="0.25">
      <c r="A84" s="416" t="s">
        <v>683</v>
      </c>
      <c r="B84" s="417" t="s">
        <v>684</v>
      </c>
      <c r="C84" s="53" t="s">
        <v>685</v>
      </c>
      <c r="D84" s="111">
        <v>0</v>
      </c>
      <c r="E84" s="111">
        <v>51.730000000000004</v>
      </c>
      <c r="F84" s="111">
        <f>'[48]Приложение №1'!AT83</f>
        <v>15.47</v>
      </c>
      <c r="G84" s="111">
        <f>'[48]Приложение №1'!AU83</f>
        <v>4.38</v>
      </c>
      <c r="H84" s="75">
        <f>IF(ISERR(G84/G11*1000),0,G84/G11*1000)</f>
        <v>0.63683947614186731</v>
      </c>
      <c r="I84" s="76"/>
      <c r="J84" s="111">
        <v>24.87</v>
      </c>
      <c r="K84" s="75">
        <f>IF(ISERR(J84/J11*1000),0,J84/J11*1000)</f>
        <v>0.41670916761158949</v>
      </c>
      <c r="L84" s="111">
        <f>L87</f>
        <v>15.576000000000001</v>
      </c>
      <c r="M84" s="75">
        <f>IF(ISERR(L84/L11*1000),0,L84/L11*1000)</f>
        <v>0.52469814837466344</v>
      </c>
      <c r="N84" s="111">
        <f>N87</f>
        <v>9.2940000000000005</v>
      </c>
      <c r="O84" s="75">
        <f>IF(ISERR(N84/N11*1000),0,N84/N11*1000)</f>
        <v>0.30983849268084424</v>
      </c>
      <c r="P84" s="111">
        <f>P87</f>
        <v>4.8259999999999996</v>
      </c>
      <c r="Q84" s="75">
        <f>IF(ISERR(P84/P11*1000),0,P84/P11*1000)</f>
        <v>0.37412001025057517</v>
      </c>
      <c r="R84" s="111">
        <f>R87</f>
        <v>0</v>
      </c>
      <c r="S84" s="75">
        <f>IF(ISERR(R84/R11*1000),0,R84/R11*1000)</f>
        <v>0</v>
      </c>
      <c r="T84" s="111">
        <f>T87</f>
        <v>0.13600000000000001</v>
      </c>
      <c r="U84" s="75">
        <f>IF(ISERR(T84/T11*1000),0,T84/T11*1000)</f>
        <v>0.20375738099564103</v>
      </c>
      <c r="V84" s="111">
        <f>V87</f>
        <v>1.62</v>
      </c>
      <c r="W84" s="75">
        <f>IF(ISERR(V84/V11*1000),0,V84/V11*1000)</f>
        <v>0.75218009895181381</v>
      </c>
      <c r="X84" s="111">
        <f>X87</f>
        <v>2.7120000000000002</v>
      </c>
      <c r="Y84" s="75">
        <f>IF(ISERR(X84/X11*1000),0,X84/X11*1000)</f>
        <v>0.31944852270389373</v>
      </c>
      <c r="Z84" s="111">
        <f>Z87</f>
        <v>54.457706239999993</v>
      </c>
      <c r="AA84" s="75">
        <f>IF(ISERR(Z84/Z11*1000),0,Z84/Z11*1000)</f>
        <v>0.29197906712862204</v>
      </c>
      <c r="AB84" s="111">
        <f>AB87</f>
        <v>15.699</v>
      </c>
      <c r="AC84" s="75">
        <f>IF(ISERR(AB84/AB11*1000),0,AB84/AB11*1000)</f>
        <v>0.38946221317950536</v>
      </c>
      <c r="AD84" s="111">
        <f>AD87</f>
        <v>38.758706239999995</v>
      </c>
      <c r="AE84" s="75">
        <f>IF(ISERR(AD84/AD11*1000),0,AD84/AD11*1000)</f>
        <v>0.26510210929790706</v>
      </c>
      <c r="AF84" s="111">
        <f>AF87</f>
        <v>4.5960000000000001</v>
      </c>
      <c r="AG84" s="75">
        <f>IF(ISERR(AF84/AF11*1000),0,AF84/AF11*1000)</f>
        <v>0.40978764028700898</v>
      </c>
      <c r="AH84" s="111">
        <f>AH87</f>
        <v>0</v>
      </c>
      <c r="AI84" s="75">
        <f>IF(ISERR(AH84/AH11*1000),0,AH84/AH11*1000)</f>
        <v>0</v>
      </c>
      <c r="AJ84" s="111">
        <f>AJ87</f>
        <v>0.71187599999999995</v>
      </c>
      <c r="AK84" s="75">
        <f>IF(ISERR(AJ84/AJ11*1000),0,AJ84/AJ11*1000)</f>
        <v>0.21448155689092646</v>
      </c>
      <c r="AL84" s="111">
        <f>AL87</f>
        <v>3.41709</v>
      </c>
      <c r="AM84" s="75">
        <f>IF(ISERR(AL84/AL11*1000),0,AL84/AL11*1000)</f>
        <v>0.23455905971201824</v>
      </c>
      <c r="AN84" s="111">
        <f>AN87</f>
        <v>29.940999999999999</v>
      </c>
      <c r="AO84" s="75">
        <f>IF(ISERR(AN84/AN11*1000),0,AN84/AN11*1000)</f>
        <v>0.46445251303698637</v>
      </c>
      <c r="AP84" s="111">
        <f>AP87</f>
        <v>9.2740240000000002E-2</v>
      </c>
      <c r="AQ84" s="76"/>
      <c r="AR84" s="111">
        <f>AR87</f>
        <v>51.820740239999999</v>
      </c>
      <c r="AS84" s="75">
        <f>IF(ISERR(AR84/AR11*1000),0,AR84/AR11*1000)</f>
        <v>0.27784077659290424</v>
      </c>
      <c r="AT84" s="111">
        <f>AT87</f>
        <v>15.47</v>
      </c>
      <c r="AU84" s="75">
        <f>IF(ISERR(AT84/AT11*1000),0,AT84/AT11*1000)</f>
        <v>0.38378116044887878</v>
      </c>
      <c r="AV84" s="111">
        <f>AV87</f>
        <v>36.35074024</v>
      </c>
      <c r="AW84" s="75">
        <f>IF(ISERR(AV84/AV11*1000),0,AV84/AV11*1000)</f>
        <v>0.24863208416949237</v>
      </c>
      <c r="AX84" s="111">
        <f>AX87</f>
        <v>4.7549999999999999</v>
      </c>
      <c r="AY84" s="75">
        <f>IF(ISERR(AX84/AX11*1000),0,AX84/AX11*1000)</f>
        <v>0.42396436674602428</v>
      </c>
      <c r="AZ84" s="111">
        <f>AZ87</f>
        <v>0</v>
      </c>
      <c r="BA84" s="75">
        <f>IF(ISERR(AZ84/AZ11*1000),0,AZ84/AZ11*1000)</f>
        <v>0</v>
      </c>
      <c r="BB84" s="111">
        <f>BB87</f>
        <v>0.69</v>
      </c>
      <c r="BC84" s="75">
        <f>IF(ISERR(BB84/BB11*1000),0,BB84/BB11*1000)</f>
        <v>0.20789052342646647</v>
      </c>
      <c r="BD84" s="111">
        <f>BD87</f>
        <v>3.0529999999999999</v>
      </c>
      <c r="BE84" s="75">
        <f>IF(ISERR(BD84/BD11*1000),0,BD84/BD11*1000)</f>
        <v>0.20956685638973269</v>
      </c>
      <c r="BF84" s="111">
        <f>BF87</f>
        <v>27.76</v>
      </c>
      <c r="BG84" s="75">
        <f>IF(ISERR(BF84/BF11*1000),0,BF84/BF11*1000)</f>
        <v>0.43062027861149399</v>
      </c>
      <c r="BH84" s="111">
        <f>BH87</f>
        <v>9.2740240000000002E-2</v>
      </c>
      <c r="BI84" s="76"/>
    </row>
    <row r="85" spans="1:61" ht="15" x14ac:dyDescent="0.25">
      <c r="A85" s="416"/>
      <c r="B85" s="417"/>
      <c r="C85" s="130" t="s">
        <v>686</v>
      </c>
      <c r="D85" s="111">
        <v>0</v>
      </c>
      <c r="E85" s="111">
        <v>24.046943355657554</v>
      </c>
      <c r="F85" s="111">
        <f>'[48]Приложение №1'!AT84</f>
        <v>23.839822139792425</v>
      </c>
      <c r="G85" s="111">
        <f>'[48]Приложение №1'!AU84</f>
        <v>23.839951652551854</v>
      </c>
      <c r="H85" s="85"/>
      <c r="I85" s="85"/>
      <c r="J85" s="111">
        <f>J86/J84</f>
        <v>26.647743063932449</v>
      </c>
      <c r="K85" s="85"/>
      <c r="L85" s="111">
        <f>L88</f>
        <v>27.116666666666664</v>
      </c>
      <c r="M85" s="85"/>
      <c r="N85" s="111">
        <f>AVERAGE(P85,T85,V85,X85)</f>
        <v>25.953645492624069</v>
      </c>
      <c r="O85" s="85"/>
      <c r="P85" s="111">
        <f>P86/P84</f>
        <v>25.480377123912145</v>
      </c>
      <c r="Q85" s="85"/>
      <c r="R85" s="111">
        <v>0</v>
      </c>
      <c r="S85" s="85"/>
      <c r="T85" s="111">
        <f>T86/T84</f>
        <v>26.180637254901985</v>
      </c>
      <c r="U85" s="85"/>
      <c r="V85" s="111">
        <f>V86/V84</f>
        <v>25.283127572016479</v>
      </c>
      <c r="W85" s="85"/>
      <c r="X85" s="111">
        <f>X86/X84</f>
        <v>26.870440019665669</v>
      </c>
      <c r="Y85" s="85"/>
      <c r="Z85" s="111">
        <f>Z86/Z84</f>
        <v>35.932000000000002</v>
      </c>
      <c r="AA85" s="85"/>
      <c r="AB85" s="111">
        <f>AB86/AB84</f>
        <v>35.931999999999995</v>
      </c>
      <c r="AC85" s="85"/>
      <c r="AD85" s="111">
        <f>AD86/AD84</f>
        <v>35.932000000000002</v>
      </c>
      <c r="AE85" s="85"/>
      <c r="AF85" s="111">
        <f>AF86/AF84</f>
        <v>35.931999999999995</v>
      </c>
      <c r="AG85" s="85"/>
      <c r="AH85" s="111">
        <v>0</v>
      </c>
      <c r="AI85" s="85"/>
      <c r="AJ85" s="111">
        <f>AJ86/AJ84</f>
        <v>35.931999999999995</v>
      </c>
      <c r="AK85" s="85"/>
      <c r="AL85" s="111">
        <f>AL86/AL84</f>
        <v>35.931999999999995</v>
      </c>
      <c r="AM85" s="85"/>
      <c r="AN85" s="111">
        <f>AN86/AN84</f>
        <v>35.931999999999995</v>
      </c>
      <c r="AO85" s="85"/>
      <c r="AP85" s="111">
        <f>AP86/AP84</f>
        <v>35.931999999999995</v>
      </c>
      <c r="AQ85" s="85"/>
      <c r="AR85" s="111">
        <f>AR86/AR84</f>
        <v>37.369280000000003</v>
      </c>
      <c r="AS85" s="85"/>
      <c r="AT85" s="111">
        <f>AT86/AT84</f>
        <v>37.369279999999996</v>
      </c>
      <c r="AU85" s="85"/>
      <c r="AV85" s="111">
        <f>AV86/AV84</f>
        <v>37.369279999999996</v>
      </c>
      <c r="AW85" s="85"/>
      <c r="AX85" s="111">
        <f>AX86/AX84</f>
        <v>37.369279999999996</v>
      </c>
      <c r="AY85" s="85"/>
      <c r="AZ85" s="111">
        <v>0</v>
      </c>
      <c r="BA85" s="85"/>
      <c r="BB85" s="111">
        <f>BB86/BB84</f>
        <v>37.369279999999996</v>
      </c>
      <c r="BC85" s="85"/>
      <c r="BD85" s="111">
        <f>BD86/BD84</f>
        <v>37.369279999999996</v>
      </c>
      <c r="BE85" s="85"/>
      <c r="BF85" s="111">
        <f>BF86/BF84</f>
        <v>37.369279999999996</v>
      </c>
      <c r="BG85" s="85"/>
      <c r="BH85" s="111">
        <f>BH86/BH84</f>
        <v>37.369279999999996</v>
      </c>
      <c r="BI85" s="85"/>
    </row>
    <row r="86" spans="1:61" ht="14.25" thickBot="1" x14ac:dyDescent="0.3">
      <c r="A86" s="416"/>
      <c r="B86" s="417"/>
      <c r="C86" s="68" t="s">
        <v>638</v>
      </c>
      <c r="D86" s="101">
        <v>0</v>
      </c>
      <c r="E86" s="101">
        <v>1243.9483797881653</v>
      </c>
      <c r="F86" s="101">
        <f>'[48]Приложение №1'!AT85</f>
        <v>368.80204850258883</v>
      </c>
      <c r="G86" s="101">
        <f>'[48]Приложение №1'!AU85</f>
        <v>104.41898823817712</v>
      </c>
      <c r="H86" s="119">
        <f>IF(ISERR(G86/G16*1000),0,G86/G16*1000)</f>
        <v>18.136420173997575</v>
      </c>
      <c r="I86" s="120"/>
      <c r="J86" s="101">
        <v>662.72937000000002</v>
      </c>
      <c r="K86" s="119">
        <f>IF(ISERR(J86/J16*1000),0,J86/J16*1000)</f>
        <v>13.054196808393636</v>
      </c>
      <c r="L86" s="101">
        <f>L89</f>
        <v>422.36919999999998</v>
      </c>
      <c r="M86" s="119">
        <f>IF(ISERR(L86/L16*1000),0,L86/L16*1000)</f>
        <v>17.635058694358413</v>
      </c>
      <c r="N86" s="101">
        <f>P86+R86+T86+V86+X86</f>
        <v>240.36016666666666</v>
      </c>
      <c r="O86" s="119">
        <f>IF(ISERR(N86/N16*1000),0,N86/N16*1000)</f>
        <v>8.9629801383640118</v>
      </c>
      <c r="P86" s="101">
        <f>P89</f>
        <v>122.9683</v>
      </c>
      <c r="Q86" s="119">
        <f>IF(ISERR(P86/P16*1000),0,P86/P16*1000)</f>
        <v>10.641747711196439</v>
      </c>
      <c r="R86" s="101">
        <f>R89</f>
        <v>0</v>
      </c>
      <c r="S86" s="119">
        <f>IF(ISERR(R86/R16*1000),0,R86/R16*1000)</f>
        <v>0</v>
      </c>
      <c r="T86" s="101">
        <f>T89</f>
        <v>3.56056666666667</v>
      </c>
      <c r="U86" s="119">
        <f>IF(ISERR(T86/T16*1000),0,T86/T16*1000)</f>
        <v>5.8567153442356226</v>
      </c>
      <c r="V86" s="101">
        <f>V89</f>
        <v>40.958666666666701</v>
      </c>
      <c r="W86" s="119">
        <f>IF(ISERR(V86/V16*1000),0,V86/V16*1000)</f>
        <v>21.233824191414801</v>
      </c>
      <c r="X86" s="101">
        <f>X89</f>
        <v>72.872633333333297</v>
      </c>
      <c r="Y86" s="119">
        <f>IF(ISERR(X86/X16*1000),0,X86/X16*1000)</f>
        <v>9.7269508937317024</v>
      </c>
      <c r="Z86" s="101">
        <f>Z89</f>
        <v>1956.7743006156797</v>
      </c>
      <c r="AA86" s="119">
        <f>IF(ISERR(Z86/Z16*1000),0,Z86/Z16*1000)</f>
        <v>12.127361071027297</v>
      </c>
      <c r="AB86" s="101">
        <f>AB89</f>
        <v>564.09646799999996</v>
      </c>
      <c r="AC86" s="119">
        <f>IF(ISERR(AB86/AB16*1000),0,AB86/AB16*1000)</f>
        <v>16.759076575669926</v>
      </c>
      <c r="AD86" s="101">
        <f>AD89</f>
        <v>1392.6778326156798</v>
      </c>
      <c r="AE86" s="119">
        <f>IF(ISERR(AD86/AD16*1000),0,AD86/AD16*1000)</f>
        <v>10.906465450577697</v>
      </c>
      <c r="AF86" s="101">
        <f>AF89</f>
        <v>165.14347199999997</v>
      </c>
      <c r="AG86" s="119">
        <f>IF(ISERR(AF86/AF16*1000),0,AF86/AF16*1000)</f>
        <v>16.676839498879492</v>
      </c>
      <c r="AH86" s="101">
        <f>AH89</f>
        <v>0</v>
      </c>
      <c r="AI86" s="119">
        <f>IF(ISERR(AH86/AH16*1000),0,AH86/AH16*1000)</f>
        <v>0</v>
      </c>
      <c r="AJ86" s="101">
        <f>AJ89</f>
        <v>25.579128431999994</v>
      </c>
      <c r="AK86" s="119">
        <f>IF(ISERR(AJ86/AJ16*1000),0,AJ86/AJ16*1000)</f>
        <v>9.0856185517227122</v>
      </c>
      <c r="AL86" s="101">
        <f>AL89</f>
        <v>122.78287787999999</v>
      </c>
      <c r="AM86" s="119">
        <f>IF(ISERR(AL86/AL16*1000),0,AL86/AL16*1000)</f>
        <v>9.7886421856237558</v>
      </c>
      <c r="AN86" s="101">
        <f>AN89</f>
        <v>1075.8400119999999</v>
      </c>
      <c r="AO86" s="119">
        <f>IF(ISERR(AN86/AN16*1000),0,AN86/AN16*1000)</f>
        <v>19.488935008421866</v>
      </c>
      <c r="AP86" s="101">
        <f>AP89</f>
        <v>3.3323423036799995</v>
      </c>
      <c r="AQ86" s="120"/>
      <c r="AR86" s="101">
        <f>AR89</f>
        <v>1936.5037518358272</v>
      </c>
      <c r="AS86" s="119">
        <f>IF(ISERR(AR86/AR16*1000),0,AR86/AR16*1000)</f>
        <v>12.001731730901664</v>
      </c>
      <c r="AT86" s="101">
        <f>AT89</f>
        <v>578.10276160000001</v>
      </c>
      <c r="AU86" s="119">
        <f>IF(ISERR(AT86/AT16*1000),0,AT86/AT16*1000)</f>
        <v>17.175197860413931</v>
      </c>
      <c r="AV86" s="101">
        <f>AV89</f>
        <v>1358.4009902358271</v>
      </c>
      <c r="AW86" s="119">
        <f>IF(ISERR(AV86/AV16*1000),0,AV86/AV16*1000)</f>
        <v>10.638033521515807</v>
      </c>
      <c r="AX86" s="101">
        <f>AX89</f>
        <v>177.69092639999997</v>
      </c>
      <c r="AY86" s="119">
        <f>IF(ISERR(AX86/AX16*1000),0,AX86/AX16*1000)</f>
        <v>17.943930959499315</v>
      </c>
      <c r="AZ86" s="101">
        <f>AZ89</f>
        <v>0</v>
      </c>
      <c r="BA86" s="119">
        <f>IF(ISERR(AZ86/AZ16*1000),0,AZ86/AZ16*1000)</f>
        <v>0</v>
      </c>
      <c r="BB86" s="101">
        <f>BB89</f>
        <v>25.784803199999995</v>
      </c>
      <c r="BC86" s="119">
        <f>IF(ISERR(BB86/BB16*1000),0,BB86/BB16*1000)</f>
        <v>9.1586735227992229</v>
      </c>
      <c r="BD86" s="101">
        <f>BD89</f>
        <v>114.08841183999999</v>
      </c>
      <c r="BE86" s="119">
        <f>IF(ISERR(BD86/BD16*1000),0,BD86/BD16*1000)</f>
        <v>9.0954916541319388</v>
      </c>
      <c r="BF86" s="101">
        <f>BF89</f>
        <v>1037.3712128</v>
      </c>
      <c r="BG86" s="119">
        <f>IF(ISERR(BF86/BF16*1000),0,BF86/BF16*1000)</f>
        <v>18.792069378682832</v>
      </c>
      <c r="BH86" s="101">
        <f>BH89</f>
        <v>3.4656359958271996</v>
      </c>
      <c r="BI86" s="120"/>
    </row>
    <row r="87" spans="1:61" ht="15.75" thickTop="1" x14ac:dyDescent="0.25">
      <c r="A87" s="66"/>
      <c r="B87" s="131" t="s">
        <v>687</v>
      </c>
      <c r="C87" s="53" t="s">
        <v>685</v>
      </c>
      <c r="D87" s="111">
        <v>0</v>
      </c>
      <c r="E87" s="111">
        <v>51.730000000000004</v>
      </c>
      <c r="F87" s="111"/>
      <c r="G87" s="111"/>
      <c r="H87" s="85"/>
      <c r="I87" s="85"/>
      <c r="J87" s="111">
        <f>J84</f>
        <v>24.87</v>
      </c>
      <c r="K87" s="85"/>
      <c r="L87" s="104">
        <f>'[54]Табл.Т.11. факт'!$AP$16</f>
        <v>15.576000000000001</v>
      </c>
      <c r="M87" s="85"/>
      <c r="N87" s="104">
        <f>P87+R87+T87+V87+X87</f>
        <v>9.2940000000000005</v>
      </c>
      <c r="O87" s="85"/>
      <c r="P87" s="104">
        <f>'[54]Табл.Т.11. факт'!$AP$15</f>
        <v>4.8259999999999996</v>
      </c>
      <c r="Q87" s="85"/>
      <c r="R87" s="104"/>
      <c r="S87" s="85"/>
      <c r="T87" s="104">
        <f>'[54]Табл.Т.11. факт'!$AP$18</f>
        <v>0.13600000000000001</v>
      </c>
      <c r="U87" s="85"/>
      <c r="V87" s="104">
        <f>'[54]Табл.Т.11. факт'!$AP$19</f>
        <v>1.62</v>
      </c>
      <c r="W87" s="85"/>
      <c r="X87" s="104">
        <f>'[54]Табл.Т.11. факт'!$AP$20</f>
        <v>2.7120000000000002</v>
      </c>
      <c r="Y87" s="85"/>
      <c r="Z87" s="111">
        <f>AB87+AD87</f>
        <v>54.457706239999993</v>
      </c>
      <c r="AA87" s="85"/>
      <c r="AB87" s="104">
        <f>'[54]Табл.Т.12.'!$AT$16</f>
        <v>15.699</v>
      </c>
      <c r="AC87" s="85"/>
      <c r="AD87" s="104">
        <f>AF87+AH87+AJ87+AL87+AN87+AP87</f>
        <v>38.758706239999995</v>
      </c>
      <c r="AE87" s="85"/>
      <c r="AF87" s="104">
        <f>'[54]Табл.Т.12.'!$AT$15</f>
        <v>4.5960000000000001</v>
      </c>
      <c r="AG87" s="85"/>
      <c r="AH87" s="104"/>
      <c r="AI87" s="85"/>
      <c r="AJ87" s="104">
        <f>'[54]Табл.Т.12.'!$AT$18</f>
        <v>0.71187599999999995</v>
      </c>
      <c r="AK87" s="85"/>
      <c r="AL87" s="104">
        <f>'[54]Табл.Т.12.'!$AT$19</f>
        <v>3.41709</v>
      </c>
      <c r="AM87" s="85"/>
      <c r="AN87" s="104">
        <f>'[54]Табл.Т.12.'!$AT$20</f>
        <v>29.940999999999999</v>
      </c>
      <c r="AO87" s="85"/>
      <c r="AP87" s="104">
        <f>'[51]Табл.Т.12.'!$AT$21</f>
        <v>9.2740240000000002E-2</v>
      </c>
      <c r="AQ87" s="85"/>
      <c r="AR87" s="111">
        <f>AT87+AV87</f>
        <v>51.820740239999999</v>
      </c>
      <c r="AS87" s="85"/>
      <c r="AT87" s="104">
        <v>15.47</v>
      </c>
      <c r="AU87" s="85"/>
      <c r="AV87" s="104">
        <f>AX87+AZ87+BB87+BD87+BF87+BH87</f>
        <v>36.35074024</v>
      </c>
      <c r="AW87" s="85"/>
      <c r="AX87" s="104">
        <v>4.7549999999999999</v>
      </c>
      <c r="AY87" s="85"/>
      <c r="AZ87" s="104"/>
      <c r="BA87" s="85"/>
      <c r="BB87" s="104">
        <v>0.69</v>
      </c>
      <c r="BC87" s="85"/>
      <c r="BD87" s="104">
        <v>3.0529999999999999</v>
      </c>
      <c r="BE87" s="85"/>
      <c r="BF87" s="104">
        <v>27.76</v>
      </c>
      <c r="BG87" s="85"/>
      <c r="BH87" s="104">
        <f>'[51]Табл.Т.12.'!$AT$21</f>
        <v>9.2740240000000002E-2</v>
      </c>
      <c r="BI87" s="85"/>
    </row>
    <row r="88" spans="1:61" ht="15" x14ac:dyDescent="0.25">
      <c r="A88" s="66"/>
      <c r="B88" s="131" t="s">
        <v>688</v>
      </c>
      <c r="C88" s="130" t="s">
        <v>686</v>
      </c>
      <c r="D88" s="127">
        <v>0</v>
      </c>
      <c r="E88" s="127">
        <v>24.046943355657554</v>
      </c>
      <c r="F88" s="127"/>
      <c r="G88" s="127"/>
      <c r="H88" s="128"/>
      <c r="I88" s="128"/>
      <c r="J88" s="127">
        <f>J85</f>
        <v>26.647743063932449</v>
      </c>
      <c r="K88" s="128"/>
      <c r="L88" s="129">
        <f>L89/L87</f>
        <v>27.116666666666664</v>
      </c>
      <c r="M88" s="128"/>
      <c r="N88" s="129">
        <f>AVERAGE(P88,T88,V88,X88)</f>
        <v>25.953645492624069</v>
      </c>
      <c r="O88" s="128"/>
      <c r="P88" s="129">
        <f>P89/P87</f>
        <v>25.480377123912145</v>
      </c>
      <c r="Q88" s="128"/>
      <c r="R88" s="129"/>
      <c r="S88" s="128"/>
      <c r="T88" s="129">
        <f>T89/T87</f>
        <v>26.180637254901985</v>
      </c>
      <c r="U88" s="128"/>
      <c r="V88" s="129">
        <f>V89/V87</f>
        <v>25.283127572016479</v>
      </c>
      <c r="W88" s="128"/>
      <c r="X88" s="129">
        <f>X89/X87</f>
        <v>26.870440019665669</v>
      </c>
      <c r="Y88" s="128"/>
      <c r="Z88" s="127">
        <f>AVERAGE(AB88,AD88)</f>
        <v>35.931999999999995</v>
      </c>
      <c r="AA88" s="128"/>
      <c r="AB88" s="129">
        <v>35.931999999999995</v>
      </c>
      <c r="AC88" s="128"/>
      <c r="AD88" s="129">
        <f>AB88</f>
        <v>35.931999999999995</v>
      </c>
      <c r="AE88" s="128"/>
      <c r="AF88" s="129">
        <f>AD88</f>
        <v>35.931999999999995</v>
      </c>
      <c r="AG88" s="128"/>
      <c r="AH88" s="129"/>
      <c r="AI88" s="128"/>
      <c r="AJ88" s="129">
        <f>AF88</f>
        <v>35.931999999999995</v>
      </c>
      <c r="AK88" s="128"/>
      <c r="AL88" s="129">
        <f>AF88</f>
        <v>35.931999999999995</v>
      </c>
      <c r="AM88" s="128"/>
      <c r="AN88" s="129">
        <f>AF88</f>
        <v>35.931999999999995</v>
      </c>
      <c r="AO88" s="128"/>
      <c r="AP88" s="129">
        <f>AD88</f>
        <v>35.931999999999995</v>
      </c>
      <c r="AQ88" s="128"/>
      <c r="AR88" s="127">
        <f>Z88*1.04</f>
        <v>37.369279999999996</v>
      </c>
      <c r="AS88" s="128"/>
      <c r="AT88" s="129">
        <f>AR88</f>
        <v>37.369279999999996</v>
      </c>
      <c r="AU88" s="128"/>
      <c r="AV88" s="129">
        <f>AVERAGE(AX88,AZ88,BB88,BD88,BF88,BH88)</f>
        <v>37.369279999999996</v>
      </c>
      <c r="AW88" s="128"/>
      <c r="AX88" s="129">
        <f>AT88</f>
        <v>37.369279999999996</v>
      </c>
      <c r="AY88" s="128"/>
      <c r="AZ88" s="129"/>
      <c r="BA88" s="128"/>
      <c r="BB88" s="129">
        <f>AR88</f>
        <v>37.369279999999996</v>
      </c>
      <c r="BC88" s="128"/>
      <c r="BD88" s="129">
        <f>BB88</f>
        <v>37.369279999999996</v>
      </c>
      <c r="BE88" s="128"/>
      <c r="BF88" s="129">
        <f>BD88</f>
        <v>37.369279999999996</v>
      </c>
      <c r="BG88" s="128"/>
      <c r="BH88" s="129">
        <f>BF88</f>
        <v>37.369279999999996</v>
      </c>
      <c r="BI88" s="128"/>
    </row>
    <row r="89" spans="1:61" ht="15" x14ac:dyDescent="0.25">
      <c r="A89" s="66"/>
      <c r="B89" s="131" t="s">
        <v>646</v>
      </c>
      <c r="C89" s="68" t="s">
        <v>638</v>
      </c>
      <c r="D89" s="111">
        <v>0</v>
      </c>
      <c r="E89" s="111">
        <v>1243.9483797881653</v>
      </c>
      <c r="F89" s="111"/>
      <c r="G89" s="111"/>
      <c r="H89" s="85"/>
      <c r="I89" s="85"/>
      <c r="J89" s="111">
        <f>J86</f>
        <v>662.72937000000002</v>
      </c>
      <c r="K89" s="85"/>
      <c r="L89" s="104">
        <v>422.36919999999998</v>
      </c>
      <c r="M89" s="85"/>
      <c r="N89" s="104">
        <f>P89+T89+V89+X89</f>
        <v>240.36016666666666</v>
      </c>
      <c r="O89" s="85"/>
      <c r="P89" s="104">
        <v>122.9683</v>
      </c>
      <c r="Q89" s="85"/>
      <c r="R89" s="104"/>
      <c r="S89" s="85"/>
      <c r="T89" s="104">
        <v>3.56056666666667</v>
      </c>
      <c r="U89" s="85"/>
      <c r="V89" s="104">
        <v>40.958666666666701</v>
      </c>
      <c r="W89" s="85"/>
      <c r="X89" s="104">
        <v>72.872633333333297</v>
      </c>
      <c r="Y89" s="85"/>
      <c r="Z89" s="111">
        <f>AB89+AD89</f>
        <v>1956.7743006156797</v>
      </c>
      <c r="AA89" s="85"/>
      <c r="AB89" s="104">
        <f>AB87*AB88</f>
        <v>564.09646799999996</v>
      </c>
      <c r="AC89" s="85"/>
      <c r="AD89" s="104">
        <f>AF89+AH89+AJ89+AL89+AN89+AP89</f>
        <v>1392.6778326156798</v>
      </c>
      <c r="AE89" s="85"/>
      <c r="AF89" s="104">
        <f>AF87*AF88</f>
        <v>165.14347199999997</v>
      </c>
      <c r="AG89" s="85"/>
      <c r="AH89" s="104"/>
      <c r="AI89" s="85"/>
      <c r="AJ89" s="104">
        <f>AJ87*AJ88</f>
        <v>25.579128431999994</v>
      </c>
      <c r="AK89" s="85"/>
      <c r="AL89" s="104">
        <f>AL87*AL88</f>
        <v>122.78287787999999</v>
      </c>
      <c r="AM89" s="85"/>
      <c r="AN89" s="104">
        <f>AN87*AN88</f>
        <v>1075.8400119999999</v>
      </c>
      <c r="AO89" s="85"/>
      <c r="AP89" s="104">
        <f>AP87*AP88</f>
        <v>3.3323423036799995</v>
      </c>
      <c r="AQ89" s="85"/>
      <c r="AR89" s="111">
        <f>AT89+AV89</f>
        <v>1936.5037518358272</v>
      </c>
      <c r="AS89" s="85"/>
      <c r="AT89" s="104">
        <f>AT87*AT88</f>
        <v>578.10276160000001</v>
      </c>
      <c r="AU89" s="85"/>
      <c r="AV89" s="104">
        <f>AX89+AZ89+BB89+BD89+BF89+BH89</f>
        <v>1358.4009902358271</v>
      </c>
      <c r="AW89" s="85"/>
      <c r="AX89" s="104">
        <f>AX87*AX88</f>
        <v>177.69092639999997</v>
      </c>
      <c r="AY89" s="85"/>
      <c r="AZ89" s="104"/>
      <c r="BA89" s="85"/>
      <c r="BB89" s="104">
        <f>BB87*BB88</f>
        <v>25.784803199999995</v>
      </c>
      <c r="BC89" s="85"/>
      <c r="BD89" s="104">
        <f>BD87*BD88</f>
        <v>114.08841183999999</v>
      </c>
      <c r="BE89" s="85"/>
      <c r="BF89" s="104">
        <f>BF87*BF88</f>
        <v>1037.3712128</v>
      </c>
      <c r="BG89" s="85"/>
      <c r="BH89" s="104">
        <f>BH87*BH88</f>
        <v>3.4656359958271996</v>
      </c>
      <c r="BI89" s="85"/>
    </row>
    <row r="90" spans="1:61" ht="15" x14ac:dyDescent="0.25">
      <c r="A90" s="66"/>
      <c r="B90" s="131" t="s">
        <v>689</v>
      </c>
      <c r="C90" s="53" t="s">
        <v>685</v>
      </c>
      <c r="D90" s="111">
        <v>0</v>
      </c>
      <c r="E90" s="111">
        <v>0</v>
      </c>
      <c r="F90" s="111"/>
      <c r="G90" s="111"/>
      <c r="H90" s="85"/>
      <c r="I90" s="85"/>
      <c r="J90" s="111"/>
      <c r="K90" s="85"/>
      <c r="L90" s="104"/>
      <c r="M90" s="85"/>
      <c r="N90" s="104"/>
      <c r="O90" s="85"/>
      <c r="P90" s="104"/>
      <c r="Q90" s="85"/>
      <c r="R90" s="104"/>
      <c r="S90" s="85"/>
      <c r="T90" s="104"/>
      <c r="U90" s="85"/>
      <c r="V90" s="104"/>
      <c r="W90" s="85"/>
      <c r="X90" s="104"/>
      <c r="Y90" s="85"/>
      <c r="Z90" s="111"/>
      <c r="AA90" s="85"/>
      <c r="AB90" s="104"/>
      <c r="AC90" s="85"/>
      <c r="AD90" s="104"/>
      <c r="AE90" s="85"/>
      <c r="AF90" s="104"/>
      <c r="AG90" s="85"/>
      <c r="AH90" s="104"/>
      <c r="AI90" s="85"/>
      <c r="AJ90" s="104"/>
      <c r="AK90" s="85"/>
      <c r="AL90" s="104"/>
      <c r="AM90" s="85"/>
      <c r="AN90" s="104"/>
      <c r="AO90" s="85"/>
      <c r="AP90" s="104"/>
      <c r="AQ90" s="85"/>
      <c r="AR90" s="111"/>
      <c r="AS90" s="85"/>
      <c r="AT90" s="104"/>
      <c r="AU90" s="85"/>
      <c r="AV90" s="104"/>
      <c r="AW90" s="85"/>
      <c r="AX90" s="104"/>
      <c r="AY90" s="85"/>
      <c r="AZ90" s="104"/>
      <c r="BA90" s="85"/>
      <c r="BB90" s="104"/>
      <c r="BC90" s="85"/>
      <c r="BD90" s="104"/>
      <c r="BE90" s="85"/>
      <c r="BF90" s="104"/>
      <c r="BG90" s="85"/>
      <c r="BH90" s="104"/>
      <c r="BI90" s="85"/>
    </row>
    <row r="91" spans="1:61" hidden="1" x14ac:dyDescent="0.25">
      <c r="A91" s="418" t="s">
        <v>690</v>
      </c>
      <c r="B91" s="419" t="s">
        <v>691</v>
      </c>
      <c r="C91" s="95" t="s">
        <v>641</v>
      </c>
      <c r="D91" s="111"/>
      <c r="E91" s="111">
        <v>0</v>
      </c>
      <c r="F91" s="111"/>
      <c r="G91" s="111"/>
      <c r="H91" s="85"/>
      <c r="I91" s="85"/>
      <c r="J91" s="111"/>
      <c r="K91" s="85"/>
      <c r="L91" s="104"/>
      <c r="M91" s="85"/>
      <c r="N91" s="104"/>
      <c r="O91" s="85"/>
      <c r="P91" s="104"/>
      <c r="Q91" s="85"/>
      <c r="R91" s="104"/>
      <c r="S91" s="85"/>
      <c r="T91" s="104"/>
      <c r="U91" s="85"/>
      <c r="V91" s="104"/>
      <c r="W91" s="85"/>
      <c r="X91" s="104"/>
      <c r="Y91" s="85"/>
      <c r="Z91" s="111"/>
      <c r="AA91" s="85"/>
      <c r="AB91" s="104"/>
      <c r="AC91" s="85"/>
      <c r="AD91" s="104"/>
      <c r="AE91" s="85"/>
      <c r="AF91" s="104"/>
      <c r="AG91" s="85"/>
      <c r="AH91" s="104"/>
      <c r="AI91" s="85"/>
      <c r="AJ91" s="104"/>
      <c r="AK91" s="85"/>
      <c r="AL91" s="104"/>
      <c r="AM91" s="85"/>
      <c r="AN91" s="104"/>
      <c r="AO91" s="85"/>
      <c r="AP91" s="104"/>
      <c r="AQ91" s="85"/>
      <c r="AR91" s="111"/>
      <c r="AS91" s="85"/>
      <c r="AT91" s="104"/>
      <c r="AU91" s="85"/>
      <c r="AV91" s="104"/>
      <c r="AW91" s="85"/>
      <c r="AX91" s="104"/>
      <c r="AY91" s="85"/>
      <c r="AZ91" s="104"/>
      <c r="BA91" s="85"/>
      <c r="BB91" s="104"/>
      <c r="BC91" s="85"/>
      <c r="BD91" s="104"/>
      <c r="BE91" s="85"/>
      <c r="BF91" s="104"/>
      <c r="BG91" s="85"/>
      <c r="BH91" s="104"/>
      <c r="BI91" s="85"/>
    </row>
    <row r="92" spans="1:61" hidden="1" x14ac:dyDescent="0.25">
      <c r="A92" s="418"/>
      <c r="B92" s="419"/>
      <c r="C92" s="132" t="s">
        <v>686</v>
      </c>
      <c r="D92" s="127"/>
      <c r="E92" s="127">
        <v>0</v>
      </c>
      <c r="F92" s="127"/>
      <c r="G92" s="127"/>
      <c r="H92" s="128"/>
      <c r="I92" s="128"/>
      <c r="J92" s="127"/>
      <c r="K92" s="128"/>
      <c r="L92" s="129"/>
      <c r="M92" s="128"/>
      <c r="N92" s="129"/>
      <c r="O92" s="128"/>
      <c r="P92" s="129"/>
      <c r="Q92" s="128"/>
      <c r="R92" s="129"/>
      <c r="S92" s="128"/>
      <c r="T92" s="129"/>
      <c r="U92" s="128"/>
      <c r="V92" s="129"/>
      <c r="W92" s="128"/>
      <c r="X92" s="129"/>
      <c r="Y92" s="128"/>
      <c r="Z92" s="127"/>
      <c r="AA92" s="128"/>
      <c r="AB92" s="129"/>
      <c r="AC92" s="128"/>
      <c r="AD92" s="129"/>
      <c r="AE92" s="128"/>
      <c r="AF92" s="129"/>
      <c r="AG92" s="128"/>
      <c r="AH92" s="129"/>
      <c r="AI92" s="128"/>
      <c r="AJ92" s="129"/>
      <c r="AK92" s="128"/>
      <c r="AL92" s="129"/>
      <c r="AM92" s="128"/>
      <c r="AN92" s="129"/>
      <c r="AO92" s="128"/>
      <c r="AP92" s="129"/>
      <c r="AQ92" s="128"/>
      <c r="AR92" s="127"/>
      <c r="AS92" s="128"/>
      <c r="AT92" s="129"/>
      <c r="AU92" s="128"/>
      <c r="AV92" s="129"/>
      <c r="AW92" s="128"/>
      <c r="AX92" s="129"/>
      <c r="AY92" s="128"/>
      <c r="AZ92" s="129"/>
      <c r="BA92" s="128"/>
      <c r="BB92" s="129"/>
      <c r="BC92" s="128"/>
      <c r="BD92" s="129"/>
      <c r="BE92" s="128"/>
      <c r="BF92" s="129"/>
      <c r="BG92" s="128"/>
      <c r="BH92" s="129"/>
      <c r="BI92" s="128"/>
    </row>
    <row r="93" spans="1:61" ht="13.5" hidden="1" x14ac:dyDescent="0.25">
      <c r="A93" s="418"/>
      <c r="B93" s="419"/>
      <c r="C93" s="95" t="s">
        <v>638</v>
      </c>
      <c r="D93" s="101"/>
      <c r="E93" s="101">
        <v>0</v>
      </c>
      <c r="F93" s="101"/>
      <c r="G93" s="101"/>
      <c r="H93" s="103"/>
      <c r="I93" s="103"/>
      <c r="J93" s="101"/>
      <c r="K93" s="103"/>
      <c r="L93" s="133"/>
      <c r="M93" s="103"/>
      <c r="N93" s="133"/>
      <c r="O93" s="103"/>
      <c r="P93" s="133"/>
      <c r="Q93" s="103"/>
      <c r="R93" s="133"/>
      <c r="S93" s="103"/>
      <c r="T93" s="133"/>
      <c r="U93" s="103"/>
      <c r="V93" s="133"/>
      <c r="W93" s="103"/>
      <c r="X93" s="133"/>
      <c r="Y93" s="103"/>
      <c r="Z93" s="101"/>
      <c r="AA93" s="103"/>
      <c r="AB93" s="133"/>
      <c r="AC93" s="103"/>
      <c r="AD93" s="133"/>
      <c r="AE93" s="103"/>
      <c r="AF93" s="133"/>
      <c r="AG93" s="103"/>
      <c r="AH93" s="133"/>
      <c r="AI93" s="103"/>
      <c r="AJ93" s="133"/>
      <c r="AK93" s="103"/>
      <c r="AL93" s="133"/>
      <c r="AM93" s="103"/>
      <c r="AN93" s="133"/>
      <c r="AO93" s="103"/>
      <c r="AP93" s="133"/>
      <c r="AQ93" s="103"/>
      <c r="AR93" s="101"/>
      <c r="AS93" s="103"/>
      <c r="AT93" s="133"/>
      <c r="AU93" s="103"/>
      <c r="AV93" s="133"/>
      <c r="AW93" s="103"/>
      <c r="AX93" s="133"/>
      <c r="AY93" s="103"/>
      <c r="AZ93" s="133"/>
      <c r="BA93" s="103"/>
      <c r="BB93" s="133"/>
      <c r="BC93" s="103"/>
      <c r="BD93" s="133"/>
      <c r="BE93" s="103"/>
      <c r="BF93" s="133"/>
      <c r="BG93" s="103"/>
      <c r="BH93" s="133"/>
      <c r="BI93" s="103"/>
    </row>
    <row r="94" spans="1:61" s="83" customFormat="1" x14ac:dyDescent="0.25">
      <c r="A94" s="134" t="s">
        <v>692</v>
      </c>
      <c r="B94" s="135" t="s">
        <v>587</v>
      </c>
      <c r="C94" s="136" t="s">
        <v>638</v>
      </c>
      <c r="D94" s="137">
        <f>D95+D96+D97+D98</f>
        <v>1166.4441900000002</v>
      </c>
      <c r="E94" s="137">
        <v>10712.102823544359</v>
      </c>
      <c r="F94" s="137">
        <f>'[48]Приложение №1'!AT90</f>
        <v>2492.193108935297</v>
      </c>
      <c r="G94" s="137">
        <f>'[48]Приложение №1'!AU90</f>
        <v>2312.8678019930235</v>
      </c>
      <c r="H94" s="138">
        <f>IF(ISERR(G94/G16*1000),0,G94/G16*1000)</f>
        <v>401.71948581014129</v>
      </c>
      <c r="I94" s="138"/>
      <c r="J94" s="139">
        <f>J95+J96+J97+J98</f>
        <v>7110.0660000000007</v>
      </c>
      <c r="K94" s="140">
        <f>IF(ISERR(J94/J16*1000),0,J94/J16*1000)</f>
        <v>140.05143741353746</v>
      </c>
      <c r="L94" s="139">
        <f>L95+L96+L97+L98</f>
        <v>3536.5296931545022</v>
      </c>
      <c r="M94" s="140">
        <f>IF(ISERR(L94/L16*1000),0,L94/L16*1000)</f>
        <v>147.6596984655155</v>
      </c>
      <c r="N94" s="139">
        <f>N95+N96+N97+N98</f>
        <v>3573.5363068454976</v>
      </c>
      <c r="O94" s="140">
        <f>IF(ISERR(N94/N16*1000),0,N94/N16*1000)</f>
        <v>133.25641842476207</v>
      </c>
      <c r="P94" s="139">
        <f>P95+P96+P97+P98</f>
        <v>1536.7643668104963</v>
      </c>
      <c r="Q94" s="140">
        <f>IF(ISERR(P94/P16*1000),0,P94/P16*1000)</f>
        <v>132.99247597270065</v>
      </c>
      <c r="R94" s="139">
        <f>R95+R96+R97+R98</f>
        <v>689.28239122419313</v>
      </c>
      <c r="S94" s="140">
        <f>IF(ISERR(R94/R16*1000),0,R94/R16*1000)</f>
        <v>131.71812389161673</v>
      </c>
      <c r="T94" s="139">
        <f>T95+T96+T97+T98</f>
        <v>79.516354372177929</v>
      </c>
      <c r="U94" s="140">
        <f>IF(ISERR(T94/T16*1000),0,T94/T16*1000)</f>
        <v>130.79509425537452</v>
      </c>
      <c r="V94" s="139">
        <f>V95+V96+V97+V98</f>
        <v>256.58075439600782</v>
      </c>
      <c r="W94" s="140">
        <f>IF(ISERR(V94/V16*1000),0,V94/V16*1000)</f>
        <v>133.01679652036376</v>
      </c>
      <c r="X94" s="139">
        <f>X95+X96+X97+X98</f>
        <v>1011.3924400426218</v>
      </c>
      <c r="Y94" s="140">
        <f>IF(ISERR(X94/X16*1000),0,X94/X16*1000)</f>
        <v>134.99943872737876</v>
      </c>
      <c r="Z94" s="139">
        <f>Z95+Z96+Z97+Z98</f>
        <v>60469.559799999995</v>
      </c>
      <c r="AA94" s="140">
        <f>IF(ISERR(Z94/Z16*1000),0,Z94/Z16*1000)</f>
        <v>374.76789493297213</v>
      </c>
      <c r="AB94" s="139">
        <f>AB95+AB96+AB97+AB98</f>
        <v>13557.27530716</v>
      </c>
      <c r="AC94" s="140">
        <f>IF(ISERR(AB94/AB16*1000),0,AB94/AB16*1000)</f>
        <v>402.78113393564706</v>
      </c>
      <c r="AD94" s="139">
        <f>AD95+AD96+AD97+AD98</f>
        <v>46913.86990396391</v>
      </c>
      <c r="AE94" s="140">
        <f>IF(ISERR(AD94/AD16*1000),0,AD94/AD16*1000)</f>
        <v>367.3961696507285</v>
      </c>
      <c r="AF94" s="139">
        <f>AF95+AF96+AF97+AF98</f>
        <v>3785.3944434799996</v>
      </c>
      <c r="AG94" s="140">
        <f>IF(ISERR(AF94/AF16*1000),0,AF94/AF16*1000)</f>
        <v>382.26406899006111</v>
      </c>
      <c r="AH94" s="139">
        <f>AH95+AH96+AH97+AH98</f>
        <v>16193.748114439997</v>
      </c>
      <c r="AI94" s="140">
        <f>IF(ISERR(AH94/AH16*1000),0,AH94/AH16*1000)</f>
        <v>375.0857402991378</v>
      </c>
      <c r="AJ94" s="139">
        <f>AJ95+AJ96+AJ97+AJ98</f>
        <v>1106.59294434</v>
      </c>
      <c r="AK94" s="140">
        <f>IF(ISERR(AJ94/AJ16*1000),0,AJ94/AJ16*1000)</f>
        <v>393.05801255226157</v>
      </c>
      <c r="AL94" s="139">
        <f>AL95+AL96+AL97+AL98</f>
        <v>4873.8465198800004</v>
      </c>
      <c r="AM94" s="140">
        <f>IF(ISERR(AL94/AL16*1000),0,AL94/AL16*1000)</f>
        <v>388.55857163879102</v>
      </c>
      <c r="AN94" s="139">
        <f>AN95+AN96+AN97+AN98</f>
        <v>20952.702470699998</v>
      </c>
      <c r="AO94" s="140">
        <f>IF(ISERR(AN94/AN16*1000),0,AN94/AN16*1000)</f>
        <v>379.56002021448575</v>
      </c>
      <c r="AP94" s="139">
        <f>AP95+AP96+AP97+AP98</f>
        <v>1936.9933000000001</v>
      </c>
      <c r="AQ94" s="140"/>
      <c r="AR94" s="139">
        <f>AR95+AR96+AR97+AR98</f>
        <v>62888.342192000004</v>
      </c>
      <c r="AS94" s="138">
        <f>IF(ISERR(AR94/AR16*1000),0,AR94/AR16*1000)</f>
        <v>389.75861073029108</v>
      </c>
      <c r="AT94" s="137">
        <f>AT95+AT96+AT97+AT98</f>
        <v>14099.5663194464</v>
      </c>
      <c r="AU94" s="138">
        <f>IF(ISERR(AT94/AT16*1000),0,AT94/AT16*1000)</f>
        <v>418.89237929307296</v>
      </c>
      <c r="AV94" s="137">
        <f>AV95+AV96+AV97+AV98</f>
        <v>48788.775872553597</v>
      </c>
      <c r="AW94" s="138">
        <f>IF(ISERR(AV94/AV16*1000),0,AV94/AV16*1000)</f>
        <v>382.07910398816932</v>
      </c>
      <c r="AX94" s="137">
        <f>AX95+AX96+AX97+AX98</f>
        <v>3936.8102212191998</v>
      </c>
      <c r="AY94" s="138">
        <f>IF(ISERR(AX94/AX16*1000),0,AX94/AX16*1000)</f>
        <v>397.55463174966354</v>
      </c>
      <c r="AZ94" s="137">
        <f>AZ95+AZ96+AZ97+AZ98</f>
        <v>16841.498039017599</v>
      </c>
      <c r="BA94" s="138">
        <f>IF(ISERR(AZ94/AZ16*1000),0,AZ94/AZ16*1000)</f>
        <v>390.08916991110334</v>
      </c>
      <c r="BB94" s="137">
        <f>BB95+BB96+BB97+BB98</f>
        <v>1150.8566621135999</v>
      </c>
      <c r="BC94" s="138">
        <f>IF(ISERR(BB94/BB16*1000),0,BB94/BB16*1000)</f>
        <v>408.78033305435196</v>
      </c>
      <c r="BD94" s="137">
        <f>BD95+BD96+BD97+BD98</f>
        <v>5068.8003806752004</v>
      </c>
      <c r="BE94" s="138">
        <f>IF(ISERR(BD94/BD16*1000),0,BD94/BD16*1000)</f>
        <v>404.10091450434271</v>
      </c>
      <c r="BF94" s="137">
        <f>BF95+BF96+BF97+BF98</f>
        <v>21790.810569527999</v>
      </c>
      <c r="BG94" s="138">
        <f>IF(ISERR(BF94/BF16*1000),0,BF94/BF16*1000)</f>
        <v>394.74242102306516</v>
      </c>
      <c r="BH94" s="139">
        <f>BH95+BH96+BH97+BH98</f>
        <v>2014.4730320000001</v>
      </c>
      <c r="BI94" s="140"/>
    </row>
    <row r="95" spans="1:61" x14ac:dyDescent="0.25">
      <c r="A95" s="66"/>
      <c r="B95" s="141" t="s">
        <v>693</v>
      </c>
      <c r="C95" s="142" t="s">
        <v>638</v>
      </c>
      <c r="D95" s="143"/>
      <c r="E95" s="143">
        <v>3100.5806743689141</v>
      </c>
      <c r="F95" s="143">
        <f>'[48]Приложение №1'!AT91</f>
        <v>15.741132653542536</v>
      </c>
      <c r="G95" s="143">
        <f>'[48]Приложение №1'!AU91</f>
        <v>1607.7138015160572</v>
      </c>
      <c r="H95" s="144"/>
      <c r="I95" s="144"/>
      <c r="J95" s="145">
        <v>5.12</v>
      </c>
      <c r="K95" s="146"/>
      <c r="L95" s="147">
        <f>$J$95*M11</f>
        <v>2.546675660809766</v>
      </c>
      <c r="M95" s="146"/>
      <c r="N95" s="147">
        <f>$J$95*O11</f>
        <v>2.5733243391902336</v>
      </c>
      <c r="O95" s="146"/>
      <c r="P95" s="147">
        <f>$J$95*Q11</f>
        <v>1.1066329845700082</v>
      </c>
      <c r="Q95" s="146"/>
      <c r="R95" s="147">
        <f>$J$95*S11</f>
        <v>0.49635627054205528</v>
      </c>
      <c r="S95" s="146"/>
      <c r="T95" s="147">
        <f>$J$95*U11</f>
        <v>5.7260190606606323E-2</v>
      </c>
      <c r="U95" s="146"/>
      <c r="V95" s="147">
        <f>$J$95*W11</f>
        <v>0.1847652978899999</v>
      </c>
      <c r="W95" s="146"/>
      <c r="X95" s="147">
        <f>$J$95*Y11</f>
        <v>0.72830959558156338</v>
      </c>
      <c r="Y95" s="146"/>
      <c r="Z95" s="145">
        <f>'[55]2.1'!G16</f>
        <v>6584.7670799999996</v>
      </c>
      <c r="AA95" s="146"/>
      <c r="AB95" s="147">
        <f>$Z$95*BK11</f>
        <v>1476.3047793359999</v>
      </c>
      <c r="AC95" s="146"/>
      <c r="AD95" s="147">
        <f>AF95+AH95+AJ95+AL95+AN95</f>
        <v>5108.4623006639995</v>
      </c>
      <c r="AE95" s="146"/>
      <c r="AF95" s="147">
        <f>$Z$95*BK12</f>
        <v>412.206419208</v>
      </c>
      <c r="AG95" s="146"/>
      <c r="AH95" s="147">
        <f>$Z$95*BK13</f>
        <v>1763.4006240239999</v>
      </c>
      <c r="AI95" s="146"/>
      <c r="AJ95" s="147">
        <f>$Z$95*BK14</f>
        <v>120.50123756399999</v>
      </c>
      <c r="AK95" s="146"/>
      <c r="AL95" s="147">
        <f>$Z$95*BK15</f>
        <v>530.73222664800005</v>
      </c>
      <c r="AM95" s="146"/>
      <c r="AN95" s="147">
        <f>$Z$95*BK16</f>
        <v>2281.6217932199997</v>
      </c>
      <c r="AO95" s="146"/>
      <c r="AP95" s="147"/>
      <c r="AQ95" s="146"/>
      <c r="AR95" s="145">
        <f>Z95*1.04</f>
        <v>6848.1577631999999</v>
      </c>
      <c r="AS95" s="144"/>
      <c r="AT95" s="148">
        <f>AB95*1.04</f>
        <v>1535.3569705094399</v>
      </c>
      <c r="AU95" s="144"/>
      <c r="AV95" s="147">
        <f>AX95+AZ95+BB95+BD95+BF95</f>
        <v>5312.8007926905602</v>
      </c>
      <c r="AW95" s="144"/>
      <c r="AX95" s="148">
        <f>AF95*1.04</f>
        <v>428.69467597632001</v>
      </c>
      <c r="AY95" s="144"/>
      <c r="AZ95" s="148">
        <f>AH95*1.04</f>
        <v>1833.9366489849599</v>
      </c>
      <c r="BA95" s="144"/>
      <c r="BB95" s="148">
        <f>AJ95*1.04</f>
        <v>125.32128706656</v>
      </c>
      <c r="BC95" s="144"/>
      <c r="BD95" s="148">
        <f>AL95*1.04</f>
        <v>551.96151571392011</v>
      </c>
      <c r="BE95" s="144"/>
      <c r="BF95" s="148">
        <f>AN95*1.04</f>
        <v>2372.8866649488</v>
      </c>
      <c r="BG95" s="144"/>
      <c r="BH95" s="147"/>
      <c r="BI95" s="146"/>
    </row>
    <row r="96" spans="1:61" x14ac:dyDescent="0.25">
      <c r="A96" s="66"/>
      <c r="B96" s="141" t="s">
        <v>694</v>
      </c>
      <c r="C96" s="142" t="s">
        <v>638</v>
      </c>
      <c r="D96" s="143">
        <v>17.884450000000001</v>
      </c>
      <c r="E96" s="143">
        <v>3193.60556851909</v>
      </c>
      <c r="F96" s="143">
        <f>'[48]Приложение №1'!AT92</f>
        <v>1011.532338050606</v>
      </c>
      <c r="G96" s="143">
        <f>'[48]Приложение №1'!AU92</f>
        <v>288.02742052731446</v>
      </c>
      <c r="H96" s="144"/>
      <c r="I96" s="144"/>
      <c r="J96" s="145">
        <v>221.38200000000001</v>
      </c>
      <c r="K96" s="146"/>
      <c r="L96" s="147">
        <f>$J$96*M11</f>
        <v>110.11487326980227</v>
      </c>
      <c r="M96" s="146"/>
      <c r="N96" s="147">
        <f>$J$96*O11</f>
        <v>111.26712673019772</v>
      </c>
      <c r="O96" s="146"/>
      <c r="P96" s="147">
        <f>$J$96*Q11</f>
        <v>47.849340505874522</v>
      </c>
      <c r="Q96" s="146"/>
      <c r="R96" s="147">
        <f>$J$96*S11</f>
        <v>21.461785915066656</v>
      </c>
      <c r="S96" s="146"/>
      <c r="T96" s="147">
        <f>$J$96*U11</f>
        <v>2.4758545931390081</v>
      </c>
      <c r="U96" s="146"/>
      <c r="V96" s="147">
        <f>$J$96*W11</f>
        <v>7.989006089352336</v>
      </c>
      <c r="W96" s="146"/>
      <c r="X96" s="147">
        <f>$J$96*Y11</f>
        <v>31.491139626765168</v>
      </c>
      <c r="Y96" s="146"/>
      <c r="Z96" s="145">
        <f>'[55]2.1'!G17</f>
        <v>16933.990409999999</v>
      </c>
      <c r="AA96" s="146"/>
      <c r="AB96" s="147">
        <f>$Z$96*BK11</f>
        <v>3796.6006499219998</v>
      </c>
      <c r="AC96" s="146"/>
      <c r="AD96" s="147">
        <f>AF96+AH96+AJ96+AL96+AN96</f>
        <v>13137.389760077998</v>
      </c>
      <c r="AE96" s="146"/>
      <c r="AF96" s="147">
        <f>$Z$96*BK12</f>
        <v>1060.0677996659999</v>
      </c>
      <c r="AG96" s="146"/>
      <c r="AH96" s="147">
        <f>$Z$96*BK13</f>
        <v>4534.9226317979992</v>
      </c>
      <c r="AI96" s="146"/>
      <c r="AJ96" s="147">
        <f>$Z$96*BK14</f>
        <v>309.89202450299996</v>
      </c>
      <c r="AK96" s="146"/>
      <c r="AL96" s="147">
        <f>$Z$96*BK15</f>
        <v>1364.879627046</v>
      </c>
      <c r="AM96" s="146"/>
      <c r="AN96" s="147">
        <f>$Z$96*BK16</f>
        <v>5867.6276770649993</v>
      </c>
      <c r="AO96" s="146"/>
      <c r="AP96" s="147"/>
      <c r="AQ96" s="146"/>
      <c r="AR96" s="145">
        <f>Z96*1.04</f>
        <v>17611.350026399999</v>
      </c>
      <c r="AS96" s="144"/>
      <c r="AT96" s="148">
        <f>AB96*1.04</f>
        <v>3948.4646759188799</v>
      </c>
      <c r="AU96" s="144"/>
      <c r="AV96" s="147">
        <f>AX96+AZ96+BB96+BD96+BF96</f>
        <v>13662.88535048112</v>
      </c>
      <c r="AW96" s="144"/>
      <c r="AX96" s="148">
        <f>AF96*1.04</f>
        <v>1102.47051165264</v>
      </c>
      <c r="AY96" s="144"/>
      <c r="AZ96" s="148">
        <f>AH96*1.04</f>
        <v>4716.3195370699195</v>
      </c>
      <c r="BA96" s="144"/>
      <c r="BB96" s="148">
        <f>AJ96*1.04</f>
        <v>322.28770548311996</v>
      </c>
      <c r="BC96" s="144"/>
      <c r="BD96" s="148">
        <f>AL96*1.04</f>
        <v>1419.4748121278401</v>
      </c>
      <c r="BE96" s="144"/>
      <c r="BF96" s="148">
        <f>AN96*1.04</f>
        <v>6102.3327841475993</v>
      </c>
      <c r="BG96" s="144"/>
      <c r="BH96" s="147"/>
      <c r="BI96" s="146"/>
    </row>
    <row r="97" spans="1:61" x14ac:dyDescent="0.25">
      <c r="A97" s="66"/>
      <c r="B97" s="141" t="s">
        <v>695</v>
      </c>
      <c r="C97" s="142" t="s">
        <v>638</v>
      </c>
      <c r="D97" s="143">
        <v>10.73728</v>
      </c>
      <c r="E97" s="143">
        <v>1430.202258016875</v>
      </c>
      <c r="F97" s="143">
        <f>'[48]Приложение №1'!AT93</f>
        <v>232.28697291425419</v>
      </c>
      <c r="G97" s="143">
        <f>'[48]Приложение №1'!AU93</f>
        <v>66.142242925745791</v>
      </c>
      <c r="H97" s="144"/>
      <c r="I97" s="144"/>
      <c r="J97" s="145">
        <v>917.71</v>
      </c>
      <c r="K97" s="146"/>
      <c r="L97" s="147">
        <f>$J$97*M11</f>
        <v>456.4667423206505</v>
      </c>
      <c r="M97" s="146"/>
      <c r="N97" s="147">
        <f>$J$97*O11</f>
        <v>461.24325767934948</v>
      </c>
      <c r="O97" s="146"/>
      <c r="P97" s="147">
        <f>$J$97*Q11</f>
        <v>198.35315552143405</v>
      </c>
      <c r="Q97" s="146"/>
      <c r="R97" s="147">
        <f>$J$97*S11</f>
        <v>88.9670142654589</v>
      </c>
      <c r="S97" s="146"/>
      <c r="T97" s="147">
        <f>$J$97*U11</f>
        <v>10.26332998468529</v>
      </c>
      <c r="U97" s="146"/>
      <c r="V97" s="147">
        <f>$J$97*W11</f>
        <v>33.117375298170273</v>
      </c>
      <c r="W97" s="146"/>
      <c r="X97" s="147">
        <f>$J$97*Y11</f>
        <v>130.54238260960088</v>
      </c>
      <c r="Y97" s="146"/>
      <c r="Z97" s="145">
        <f>'[55]2.1'!G18</f>
        <v>34641.96</v>
      </c>
      <c r="AA97" s="146"/>
      <c r="AB97" s="147">
        <f>$Z$97*BK11</f>
        <v>7766.7274320000006</v>
      </c>
      <c r="AC97" s="146"/>
      <c r="AD97" s="147">
        <f>Z97*BK23</f>
        <v>26876.718915935762</v>
      </c>
      <c r="AE97" s="146"/>
      <c r="AF97" s="147">
        <f>$Z$97*BK12</f>
        <v>2168.5866959999998</v>
      </c>
      <c r="AG97" s="146"/>
      <c r="AH97" s="147">
        <f>$Z$97*BK13</f>
        <v>9277.1168879999987</v>
      </c>
      <c r="AI97" s="146"/>
      <c r="AJ97" s="147">
        <f>$Z$97*BK14</f>
        <v>633.94786799999997</v>
      </c>
      <c r="AK97" s="146"/>
      <c r="AL97" s="147">
        <f>$Z$97*BK15</f>
        <v>2792.1419759999999</v>
      </c>
      <c r="AM97" s="146"/>
      <c r="AN97" s="147">
        <f>$Z$97*BK16</f>
        <v>12003.439139999999</v>
      </c>
      <c r="AO97" s="146"/>
      <c r="AP97" s="147">
        <v>1936.9933000000001</v>
      </c>
      <c r="AQ97" s="146"/>
      <c r="AR97" s="145">
        <f>Z97*1.04</f>
        <v>36027.638400000003</v>
      </c>
      <c r="AS97" s="144"/>
      <c r="AT97" s="148">
        <f>AB97*1.04</f>
        <v>8077.3965292800012</v>
      </c>
      <c r="AU97" s="149"/>
      <c r="AV97" s="147">
        <f>AX97+AZ97+BB97+BD97+BF97</f>
        <v>27950.241870719998</v>
      </c>
      <c r="AW97" s="149"/>
      <c r="AX97" s="148">
        <f>AF97*1.04</f>
        <v>2255.3301638399998</v>
      </c>
      <c r="AY97" s="149"/>
      <c r="AZ97" s="148">
        <f>AH97*1.04</f>
        <v>9648.2015635199987</v>
      </c>
      <c r="BA97" s="149"/>
      <c r="BB97" s="148">
        <f>AJ97*1.04</f>
        <v>659.30578272000002</v>
      </c>
      <c r="BC97" s="149"/>
      <c r="BD97" s="148">
        <f>AL97*1.04</f>
        <v>2903.8276550400001</v>
      </c>
      <c r="BE97" s="149"/>
      <c r="BF97" s="148">
        <f>AN97*1.04</f>
        <v>12483.576705599999</v>
      </c>
      <c r="BG97" s="149"/>
      <c r="BH97" s="147">
        <f>AP97*1.04</f>
        <v>2014.4730320000001</v>
      </c>
      <c r="BI97" s="149"/>
    </row>
    <row r="98" spans="1:61" x14ac:dyDescent="0.25">
      <c r="A98" s="66"/>
      <c r="B98" s="141" t="s">
        <v>696</v>
      </c>
      <c r="C98" s="142" t="s">
        <v>638</v>
      </c>
      <c r="D98" s="143">
        <v>1137.8224600000001</v>
      </c>
      <c r="E98" s="143">
        <v>2987.7143226394801</v>
      </c>
      <c r="F98" s="143">
        <f>'[48]Приложение №1'!AT94</f>
        <v>1232.6326653168942</v>
      </c>
      <c r="G98" s="143">
        <f>'[48]Приложение №1'!AU94</f>
        <v>350.98433702390599</v>
      </c>
      <c r="H98" s="144"/>
      <c r="I98" s="144"/>
      <c r="J98" s="145">
        <v>5965.8540000000003</v>
      </c>
      <c r="K98" s="146"/>
      <c r="L98" s="147">
        <f>$J$98*M11</f>
        <v>2967.4014019032397</v>
      </c>
      <c r="M98" s="146"/>
      <c r="N98" s="147">
        <f>$J$98*O11</f>
        <v>2998.4525980967601</v>
      </c>
      <c r="O98" s="146"/>
      <c r="P98" s="147">
        <f>$J$98*Q11</f>
        <v>1289.4552377986176</v>
      </c>
      <c r="Q98" s="146"/>
      <c r="R98" s="147">
        <f>$J$98*S11</f>
        <v>578.35723477312558</v>
      </c>
      <c r="S98" s="146"/>
      <c r="T98" s="147">
        <f>$J$98*U11</f>
        <v>66.719909603747027</v>
      </c>
      <c r="U98" s="146"/>
      <c r="V98" s="147">
        <f>$J$98*W11</f>
        <v>215.28960771059522</v>
      </c>
      <c r="W98" s="146"/>
      <c r="X98" s="147">
        <f>$J$98*Y11</f>
        <v>848.63060821067427</v>
      </c>
      <c r="Y98" s="146"/>
      <c r="Z98" s="145">
        <f>'[55]2.1'!G19</f>
        <v>2308.84231</v>
      </c>
      <c r="AA98" s="146"/>
      <c r="AB98" s="147">
        <f>$Z$98*BK11</f>
        <v>517.64244590200008</v>
      </c>
      <c r="AC98" s="146"/>
      <c r="AD98" s="147">
        <f>Z98*BK23</f>
        <v>1791.298927286153</v>
      </c>
      <c r="AE98" s="146"/>
      <c r="AF98" s="147">
        <f>$Z$98*BK12</f>
        <v>144.533528606</v>
      </c>
      <c r="AG98" s="146"/>
      <c r="AH98" s="147">
        <f>$Z$98*BK13</f>
        <v>618.30797061800001</v>
      </c>
      <c r="AI98" s="146"/>
      <c r="AJ98" s="147">
        <f>$Z$98*BK14</f>
        <v>42.251814273000001</v>
      </c>
      <c r="AK98" s="146"/>
      <c r="AL98" s="147">
        <f>$Z$98*BK15</f>
        <v>186.092690186</v>
      </c>
      <c r="AM98" s="146"/>
      <c r="AN98" s="147">
        <f>$Z$98*BK16</f>
        <v>800.01386041499995</v>
      </c>
      <c r="AO98" s="146"/>
      <c r="AP98" s="147"/>
      <c r="AQ98" s="146"/>
      <c r="AR98" s="145">
        <f>Z98*1.04</f>
        <v>2401.1960024</v>
      </c>
      <c r="AS98" s="144"/>
      <c r="AT98" s="148">
        <f>AB98*1.04</f>
        <v>538.34814373808013</v>
      </c>
      <c r="AU98" s="144"/>
      <c r="AV98" s="147">
        <f>AX98+AZ98+BB98+BD98+BF98</f>
        <v>1862.8478586619199</v>
      </c>
      <c r="AW98" s="144"/>
      <c r="AX98" s="148">
        <f>AF98*1.04</f>
        <v>150.31486975024001</v>
      </c>
      <c r="AY98" s="144"/>
      <c r="AZ98" s="148">
        <f>AH98*1.04</f>
        <v>643.04028944272</v>
      </c>
      <c r="BA98" s="144"/>
      <c r="BB98" s="148">
        <f>AJ98*1.04</f>
        <v>43.941886843920003</v>
      </c>
      <c r="BC98" s="144"/>
      <c r="BD98" s="148">
        <f>AL98*1.04</f>
        <v>193.53639779344002</v>
      </c>
      <c r="BE98" s="144"/>
      <c r="BF98" s="148">
        <f>AN98*1.04</f>
        <v>832.01441483159999</v>
      </c>
      <c r="BG98" s="144"/>
      <c r="BH98" s="147"/>
      <c r="BI98" s="146"/>
    </row>
    <row r="99" spans="1:61" x14ac:dyDescent="0.25">
      <c r="A99" s="66" t="s">
        <v>697</v>
      </c>
      <c r="B99" s="73" t="s">
        <v>588</v>
      </c>
      <c r="C99" s="68" t="s">
        <v>638</v>
      </c>
      <c r="D99" s="148">
        <f>8.30636+341.34676+55.37/1000+2.27564</f>
        <v>351.98412999999999</v>
      </c>
      <c r="E99" s="148">
        <v>3235.0550527104001</v>
      </c>
      <c r="F99" s="148">
        <f>'[48]Приложение №1'!AT95</f>
        <v>752.64231889845962</v>
      </c>
      <c r="G99" s="148">
        <f>'[48]Приложение №1'!AU95</f>
        <v>698.48607620189307</v>
      </c>
      <c r="H99" s="150">
        <f>IF(ISERR(G99/G16*1000),0,G99/G16*1000)</f>
        <v>121.31928471466264</v>
      </c>
      <c r="I99" s="150"/>
      <c r="J99" s="147">
        <v>2104.3113899999998</v>
      </c>
      <c r="K99" s="151">
        <f>IF(ISERR(J99/J16*1000),0,J99/J16*1000)</f>
        <v>41.449943634163027</v>
      </c>
      <c r="L99" s="147">
        <f>L94*0.302</f>
        <v>1068.0319673326596</v>
      </c>
      <c r="M99" s="151">
        <f>IF(ISERR(L99/L16*1000),0,L99/L16*1000)</f>
        <v>44.593228936585675</v>
      </c>
      <c r="N99" s="147">
        <f>N94*0.302</f>
        <v>1079.2079646673403</v>
      </c>
      <c r="O99" s="151">
        <f>IF(ISERR(N99/N16*1000),0,N99/N16*1000)</f>
        <v>40.243438364278141</v>
      </c>
      <c r="P99" s="147">
        <f>P94*0.302</f>
        <v>464.10283877676989</v>
      </c>
      <c r="Q99" s="151">
        <f>IF(ISERR(P99/P16*1000),0,P99/P16*1000)</f>
        <v>40.163727743755594</v>
      </c>
      <c r="R99" s="147">
        <f>R94*0.302</f>
        <v>208.16328214970633</v>
      </c>
      <c r="S99" s="151">
        <f>IF(ISERR(R99/R16*1000),0,R99/R16*1000)</f>
        <v>39.778873415268251</v>
      </c>
      <c r="T99" s="147">
        <f>T94*0.302</f>
        <v>24.013939020397732</v>
      </c>
      <c r="U99" s="151">
        <f>IF(ISERR(T99/T16*1000),0,T99/T16*1000)</f>
        <v>39.500118465123109</v>
      </c>
      <c r="V99" s="147">
        <f>V94*0.302</f>
        <v>77.487387827594361</v>
      </c>
      <c r="W99" s="151">
        <f>IF(ISERR(V99/V16*1000),0,V99/V16*1000)</f>
        <v>40.171072549149848</v>
      </c>
      <c r="X99" s="147">
        <f>X94*0.302</f>
        <v>305.44051689287181</v>
      </c>
      <c r="Y99" s="151">
        <f>IF(ISERR(X99/X16*1000),0,X99/X16*1000)</f>
        <v>40.769830495668394</v>
      </c>
      <c r="Z99" s="147">
        <f>Z94*0.302</f>
        <v>18261.8070596</v>
      </c>
      <c r="AA99" s="151">
        <f>IF(ISERR(Z99/Z16*1000),0,Z99/Z16*1000)</f>
        <v>113.17990426975759</v>
      </c>
      <c r="AB99" s="147">
        <f>AB94*0.302</f>
        <v>4094.2971427623197</v>
      </c>
      <c r="AC99" s="151">
        <f>IF(ISERR(AB99/AB16*1000),0,AB99/AB16*1000)</f>
        <v>121.63990244856541</v>
      </c>
      <c r="AD99" s="147">
        <f>AD94*0.302</f>
        <v>14167.9887109971</v>
      </c>
      <c r="AE99" s="151">
        <f>IF(ISERR(AD99/AD16*1000),0,AD99/AD16*1000)</f>
        <v>110.95364323452002</v>
      </c>
      <c r="AF99" s="147">
        <f>AF94*0.302</f>
        <v>1143.1891219309598</v>
      </c>
      <c r="AG99" s="151">
        <f>IF(ISERR(AF99/AF16*1000),0,AF99/AF16*1000)</f>
        <v>115.44374883499844</v>
      </c>
      <c r="AH99" s="147">
        <f>AH94*0.302</f>
        <v>4890.5119305608787</v>
      </c>
      <c r="AI99" s="151">
        <f>IF(ISERR(AH99/AH16*1000),0,AH99/AH16*1000)</f>
        <v>113.27589357033959</v>
      </c>
      <c r="AJ99" s="147">
        <f>AJ94*0.302</f>
        <v>334.19106919068003</v>
      </c>
      <c r="AK99" s="151">
        <f>IF(ISERR(AJ99/AJ16*1000),0,AJ99/AJ16*1000)</f>
        <v>118.70351979078301</v>
      </c>
      <c r="AL99" s="147">
        <f>AL94*0.302</f>
        <v>1471.90164900376</v>
      </c>
      <c r="AM99" s="151">
        <f>IF(ISERR(AL99/AL16*1000),0,AL99/AL16*1000)</f>
        <v>117.34468863491489</v>
      </c>
      <c r="AN99" s="147">
        <f>AN94*0.302</f>
        <v>6327.7161461513997</v>
      </c>
      <c r="AO99" s="151">
        <f>IF(ISERR(AN99/AN16*1000),0,AN99/AN16*1000)</f>
        <v>114.6271261047747</v>
      </c>
      <c r="AP99" s="147">
        <f>AP94*0.302</f>
        <v>584.97197660000006</v>
      </c>
      <c r="AQ99" s="151"/>
      <c r="AR99" s="147">
        <f>AR94*0.302</f>
        <v>18992.279341984002</v>
      </c>
      <c r="AS99" s="150">
        <f>IF(ISERR(AR99/AR16*1000),0,AR99/AR16*1000)</f>
        <v>117.7071004405479</v>
      </c>
      <c r="AT99" s="148">
        <f>AT94*0.302</f>
        <v>4258.0690284728125</v>
      </c>
      <c r="AU99" s="150">
        <f>IF(ISERR(AT99/AT16*1000),0,AT99/AT16*1000)</f>
        <v>126.50549854650802</v>
      </c>
      <c r="AV99" s="148">
        <f>AV94*0.302</f>
        <v>14734.210313511187</v>
      </c>
      <c r="AW99" s="150">
        <f>IF(ISERR(AV99/AV16*1000),0,AV99/AV16*1000)</f>
        <v>115.38788940442713</v>
      </c>
      <c r="AX99" s="148">
        <f>AX94*0.302</f>
        <v>1188.9166868081984</v>
      </c>
      <c r="AY99" s="150">
        <f>IF(ISERR(AX99/AX16*1000),0,AX99/AX16*1000)</f>
        <v>120.0614987883984</v>
      </c>
      <c r="AZ99" s="148">
        <f>AZ94*0.302</f>
        <v>5086.1324077833151</v>
      </c>
      <c r="BA99" s="150">
        <f>IF(ISERR(AZ99/AZ16*1000),0,AZ99/AZ16*1000)</f>
        <v>117.80692931315322</v>
      </c>
      <c r="BB99" s="148">
        <f>BB94*0.302</f>
        <v>347.55871195830719</v>
      </c>
      <c r="BC99" s="150">
        <f>IF(ISERR(BB99/BB16*1000),0,BB99/BB16*1000)</f>
        <v>123.45166058241431</v>
      </c>
      <c r="BD99" s="148">
        <f>BD94*0.302</f>
        <v>1530.7777149639105</v>
      </c>
      <c r="BE99" s="150">
        <f>IF(ISERR(BD99/BD16*1000),0,BD99/BD16*1000)</f>
        <v>122.03847618031149</v>
      </c>
      <c r="BF99" s="148">
        <f>BF94*0.302</f>
        <v>6580.8247919974556</v>
      </c>
      <c r="BG99" s="150">
        <f>IF(ISERR(BF99/BF16*1000),0,BF99/BF16*1000)</f>
        <v>119.21221114896568</v>
      </c>
      <c r="BH99" s="147">
        <f>BH94*0.302</f>
        <v>608.37085566400003</v>
      </c>
      <c r="BI99" s="151"/>
    </row>
    <row r="100" spans="1:61" ht="33.75" customHeight="1" x14ac:dyDescent="0.25">
      <c r="A100" s="416" t="s">
        <v>698</v>
      </c>
      <c r="B100" s="73" t="s">
        <v>589</v>
      </c>
      <c r="C100" s="53" t="s">
        <v>638</v>
      </c>
      <c r="D100" s="152">
        <f>D101+D102+D103</f>
        <v>4182.5244199999997</v>
      </c>
      <c r="E100" s="152">
        <v>62862.580690398892</v>
      </c>
      <c r="F100" s="152">
        <f>'[48]Приложение №1'!AT96</f>
        <v>5196.3565350504987</v>
      </c>
      <c r="G100" s="152">
        <f>'[48]Приложение №1'!AU96</f>
        <v>754.52025850239011</v>
      </c>
      <c r="H100" s="150">
        <f>IF(ISERR(G100/G16*1000),0,G100/G16*1000)</f>
        <v>131.05180072018197</v>
      </c>
      <c r="I100" s="153"/>
      <c r="J100" s="154">
        <f>J101+J102+J103</f>
        <v>38755.931536187585</v>
      </c>
      <c r="K100" s="151">
        <f>IF(ISERR(J100/J16*1000),0,J100/J16*1000)</f>
        <v>763.39993467623481</v>
      </c>
      <c r="L100" s="154">
        <f>L101+L102+L103</f>
        <v>34822.451665816865</v>
      </c>
      <c r="M100" s="151">
        <f>IF(ISERR(L100/L16*1000),0,L100/L16*1000)</f>
        <v>1453.9317237339735</v>
      </c>
      <c r="N100" s="154">
        <f>N101+N102+N103</f>
        <v>17689.039977037388</v>
      </c>
      <c r="O100" s="151">
        <f>IF(ISERR(N100/N16*1000),0,N100/N16*1000)</f>
        <v>659.62058597166242</v>
      </c>
      <c r="P100" s="154">
        <f>P101+P102+P103</f>
        <v>7002.7713632524928</v>
      </c>
      <c r="Q100" s="151">
        <f>IF(ISERR(P100/P16*1000),0,P100/P16*1000)</f>
        <v>606.02387873073121</v>
      </c>
      <c r="R100" s="154">
        <f>R101+R102+R103</f>
        <v>2523.8916925675476</v>
      </c>
      <c r="S100" s="151">
        <f>IF(ISERR(R100/R16*1000),0,R100/R16*1000)</f>
        <v>482.30200405990882</v>
      </c>
      <c r="T100" s="154">
        <f>T101+T102+T103</f>
        <v>2300.8620741004152</v>
      </c>
      <c r="U100" s="151">
        <f>IF(ISERR(T100/T16*1000),0,T100/T16*1000)</f>
        <v>3784.6487584430442</v>
      </c>
      <c r="V100" s="154">
        <f>V101+V102+V103</f>
        <v>2760.9121231663939</v>
      </c>
      <c r="W100" s="151">
        <f>IF(ISERR(V100/V16*1000),0,V100/V16*1000)</f>
        <v>1431.3142346250104</v>
      </c>
      <c r="X100" s="154">
        <f>X101+X102+X103</f>
        <v>3100.6027239505383</v>
      </c>
      <c r="Y100" s="151">
        <f>IF(ISERR(X100/X16*1000),0,X100/X16*1000)</f>
        <v>413.86469868438479</v>
      </c>
      <c r="Z100" s="154">
        <f>Z101+Z102+Z103</f>
        <v>179608.11883346067</v>
      </c>
      <c r="AA100" s="150">
        <f>IF(ISERR(Z100/Z16*1000),0,Z100/Z16*1000)</f>
        <v>1113.1444784899386</v>
      </c>
      <c r="AB100" s="152">
        <f>AB101+AB102+AB103</f>
        <v>44937.372525181854</v>
      </c>
      <c r="AC100" s="150">
        <f>IF(ISERR(AB100/AB16*1000),0,AB100/AB16*1000)</f>
        <v>1335.0710560714388</v>
      </c>
      <c r="AD100" s="152">
        <f>AD101+AD102+AD103</f>
        <v>134670.74630827885</v>
      </c>
      <c r="AE100" s="150">
        <f>IF(ISERR(AD100/AD16*1000),0,AD100/AD16*1000)</f>
        <v>1054.6458106941657</v>
      </c>
      <c r="AF100" s="152">
        <f>AF101+AF102+AF103</f>
        <v>12857.883665231435</v>
      </c>
      <c r="AG100" s="150">
        <f>IF(ISERR(AF100/AF16*1000),0,AF100/AF16*1000)</f>
        <v>1298.4398328523034</v>
      </c>
      <c r="AH100" s="152">
        <f>AH101+AH102+AH103</f>
        <v>28900.802317909343</v>
      </c>
      <c r="AI100" s="150">
        <f>IF(ISERR(AH100/AH16*1000),0,AH100/AH16*1000)</f>
        <v>669.41135282855021</v>
      </c>
      <c r="AJ100" s="152">
        <f>AJ101+AJ102+AJ103</f>
        <v>4236.5260288150357</v>
      </c>
      <c r="AK100" s="150">
        <f>IF(ISERR(AJ100/AJ16*1000),0,AJ100/AJ16*1000)</f>
        <v>1504.7994924684169</v>
      </c>
      <c r="AL100" s="152">
        <f>AL101+AL102+AL103</f>
        <v>14728.348061907407</v>
      </c>
      <c r="AM100" s="150">
        <f>IF(ISERR(AL100/AL16*1000),0,AL100/AL16*1000)</f>
        <v>1174.1908289870812</v>
      </c>
      <c r="AN100" s="152">
        <f>AN101+AN102+AN103</f>
        <v>72252.607273562564</v>
      </c>
      <c r="AO100" s="150">
        <f>IF(ISERR(AN100/AN16*1000),0,AN100/AN16*1000)</f>
        <v>1308.8622394009733</v>
      </c>
      <c r="AP100" s="152">
        <f>AP101+AP102+AP103</f>
        <v>1694.5789608530488</v>
      </c>
      <c r="AQ100" s="153"/>
      <c r="AR100" s="154">
        <f>AR101+AR102+AR103</f>
        <v>181931.61108443397</v>
      </c>
      <c r="AS100" s="150">
        <f>IF(ISERR(AR100/AR16*1000),0,AR100/AR16*1000)</f>
        <v>1127.5446213497573</v>
      </c>
      <c r="AT100" s="152">
        <f>AT101+AT102+AT103</f>
        <v>45127.10227281064</v>
      </c>
      <c r="AU100" s="150">
        <f>IF(ISERR(AT100/AT16*1000),0,AT100/AT16*1000)</f>
        <v>1340.7078496866638</v>
      </c>
      <c r="AV100" s="152">
        <f>AV101+AV102+AV103</f>
        <v>135091.20688493043</v>
      </c>
      <c r="AW100" s="150">
        <f>IF(ISERR(AV100/AV16*1000),0,AV100/AV16*1000)</f>
        <v>1057.938559846328</v>
      </c>
      <c r="AX100" s="152">
        <f>AX101+AX102+AX103</f>
        <v>12995.545446515102</v>
      </c>
      <c r="AY100" s="150">
        <f>IF(ISERR(AX100/AX16*1000),0,AX100/AX16*1000)</f>
        <v>1312.3414627732097</v>
      </c>
      <c r="AZ100" s="152">
        <f>AZ101+AZ102+AZ103</f>
        <v>29280.784888912494</v>
      </c>
      <c r="BA100" s="150">
        <f>IF(ISERR(AZ100/AZ16*1000),0,AZ100/AZ16*1000)</f>
        <v>678.21265336368674</v>
      </c>
      <c r="BB100" s="152">
        <f>BB101+BB102+BB103</f>
        <v>3714.1211594157139</v>
      </c>
      <c r="BC100" s="150">
        <f>IF(ISERR(BB100/BB16*1000),0,BB100/BB16*1000)</f>
        <v>1319.2430773801311</v>
      </c>
      <c r="BD100" s="152">
        <f>BD101+BD102+BD103</f>
        <v>14037.231773765285</v>
      </c>
      <c r="BE100" s="150">
        <f>IF(ISERR(BD100/BD16*1000),0,BD100/BD16*1000)</f>
        <v>1119.0928367418478</v>
      </c>
      <c r="BF100" s="152">
        <f>BF101+BF102+BF103</f>
        <v>36870.320587927024</v>
      </c>
      <c r="BG100" s="150">
        <f>IF(ISERR(BF100/BF16*1000),0,BF100/BF16*1000)</f>
        <v>667.90905121847106</v>
      </c>
      <c r="BH100" s="152">
        <f>BH101+BH102+BH103</f>
        <v>0</v>
      </c>
      <c r="BI100" s="153"/>
    </row>
    <row r="101" spans="1:61" x14ac:dyDescent="0.25">
      <c r="A101" s="416"/>
      <c r="B101" s="84" t="s">
        <v>590</v>
      </c>
      <c r="C101" s="68" t="s">
        <v>638</v>
      </c>
      <c r="D101" s="143">
        <v>36.5</v>
      </c>
      <c r="E101" s="143">
        <v>13206.225532773977</v>
      </c>
      <c r="F101" s="143">
        <f>'[48]Приложение №1'!AT97</f>
        <v>2546.6046362481611</v>
      </c>
      <c r="G101" s="143">
        <f>'[48]Приложение №1'!AU97</f>
        <v>2.0203743677484454E-2</v>
      </c>
      <c r="H101" s="150"/>
      <c r="I101" s="153"/>
      <c r="J101" s="145">
        <f>'[55]2.2 Амортизация'!O103/1000</f>
        <v>15332.131324161097</v>
      </c>
      <c r="K101" s="151"/>
      <c r="L101" s="147">
        <f>'[55]2.2 Амортизация'!O117/1000+('[55]2.2 Амортизация'!O123/1000*'Приложение №1 (2.7) ОБЩАЯ'!M11)</f>
        <v>14796.916248118332</v>
      </c>
      <c r="M101" s="151"/>
      <c r="N101" s="147">
        <f>P101+R101+T101+V101+X101</f>
        <v>535.2150760427669</v>
      </c>
      <c r="O101" s="151"/>
      <c r="P101" s="147">
        <f>'[55]2.2 Амортизация'!O123/1000*'Приложение №1 (2.7) ОБЩАЯ'!Q11</f>
        <v>21.465655692212753</v>
      </c>
      <c r="Q101" s="151"/>
      <c r="R101" s="147">
        <f>'[55]2.2 Амортизация'!O119/1000+('[55]2.2 Амортизация'!O123/1000*'Приложение №1 (2.7) ОБЩАЯ'!S11)</f>
        <v>494.92757145275584</v>
      </c>
      <c r="S101" s="151"/>
      <c r="T101" s="147">
        <f>'[55]2.2 Амортизация'!O123/1000*'Приложение №1 (2.7) ОБЩАЯ'!U11</f>
        <v>1.1106912170248333</v>
      </c>
      <c r="U101" s="151"/>
      <c r="V101" s="147">
        <f>'[55]2.2 Амортизация'!O123/1000*'Приложение №1 (2.7) ОБЩАЯ'!W11</f>
        <v>3.5839418521551902</v>
      </c>
      <c r="W101" s="151"/>
      <c r="X101" s="147">
        <f>'[55]2.2 Амортизация'!O123/1000*'Приложение №1 (2.7) ОБЩАЯ'!Y11</f>
        <v>14.12721582861832</v>
      </c>
      <c r="Y101" s="151"/>
      <c r="Z101" s="145">
        <f>AB101+AD101</f>
        <v>89813.187052918962</v>
      </c>
      <c r="AA101" s="151"/>
      <c r="AB101" s="147">
        <f>'[55]2.2 Амортизация'!U117/1000+('[55]2.2 Амортизация'!U123/1000*'Приложение №1 (2.7) ОБЩАЯ'!AC11)</f>
        <v>20639.357335049983</v>
      </c>
      <c r="AC101" s="151"/>
      <c r="AD101" s="147">
        <f>AF101+AH101+AJ101+AL101+AN101+AP101</f>
        <v>69173.829717868983</v>
      </c>
      <c r="AE101" s="151"/>
      <c r="AF101" s="147">
        <f>'[55]2.2 Амортизация'!U118/1000+('[55]2.2 Амортизация'!U123/1000*'Приложение №1 (2.7) ОБЩАЯ'!AG11)</f>
        <v>4092.2697221414719</v>
      </c>
      <c r="AG101" s="151"/>
      <c r="AH101" s="147">
        <f>'[55]2.2 Амортизация'!U119/1000+('[55]2.2 Амортизация'!U123/1000*'Приложение №1 (2.7) ОБЩАЯ'!AI11)</f>
        <v>14195.82199203798</v>
      </c>
      <c r="AI101" s="151"/>
      <c r="AJ101" s="147">
        <f>'[55]2.2 Амортизация'!U120/1000+('[55]2.2 Амортизация'!U123/1000*'Приложение №1 (2.7) ОБЩАЯ'!AK11)</f>
        <v>2101.1150300497434</v>
      </c>
      <c r="AK101" s="151"/>
      <c r="AL101" s="147">
        <f>'[55]2.2 Амортизация'!U121/1000+('[55]2.2 Амортизация'!U123/1000*'Приложение №1 (2.7) ОБЩАЯ'!AM11)</f>
        <v>7725.7376179374933</v>
      </c>
      <c r="AM101" s="151"/>
      <c r="AN101" s="147">
        <f>'[55]2.2 Амортизация'!U122/1000+'[55]2.2 Амортизация'!U123/1000*'Приложение №1 (2.7) ОБЩАЯ'!AO11</f>
        <v>40670.554824361658</v>
      </c>
      <c r="AO101" s="151"/>
      <c r="AP101" s="147">
        <f>'[55]2.2 Амортизация'!U102/1000+('[55]2.2 Амортизация'!U123/1000*'Приложение №1 (2.7) ОБЩАЯ'!AQ11)</f>
        <v>388.33053134062442</v>
      </c>
      <c r="AQ101" s="155"/>
      <c r="AR101" s="145">
        <f>AT101+AV101+('[55]2.2 Амортизация'!X18+'[55]2.2 Амортизация'!X26)/1000</f>
        <v>89867.24578684158</v>
      </c>
      <c r="AS101" s="150"/>
      <c r="AT101" s="148">
        <f>'[55]2.2 Амортизация'!X117/1000</f>
        <v>20338.612508972597</v>
      </c>
      <c r="AU101" s="150"/>
      <c r="AV101" s="148">
        <f>AD101</f>
        <v>69173.829717868983</v>
      </c>
      <c r="AW101" s="150"/>
      <c r="AX101" s="148">
        <f>'[55]2.2 Амортизация'!X118/1000</f>
        <v>4093.4634486834952</v>
      </c>
      <c r="AY101" s="150"/>
      <c r="AZ101" s="148">
        <f>'[55]2.2 Амортизация'!X119/1000</f>
        <v>13987.605350006277</v>
      </c>
      <c r="BA101" s="150"/>
      <c r="BB101" s="148">
        <f>'[55]2.2 Амортизация'!X120/1000</f>
        <v>1538.324775</v>
      </c>
      <c r="BC101" s="150"/>
      <c r="BD101" s="148">
        <f>'[55]2.2 Амортизация'!X121/1000</f>
        <v>6857.3599841282303</v>
      </c>
      <c r="BE101" s="150"/>
      <c r="BF101" s="148">
        <f>'[55]2.2 Амортизация'!X122/1000</f>
        <v>4503.8731316561789</v>
      </c>
      <c r="BG101" s="150"/>
      <c r="BH101" s="147">
        <f>'[55]2.2 Амортизация'!AM102/1000</f>
        <v>0</v>
      </c>
      <c r="BI101" s="155"/>
    </row>
    <row r="102" spans="1:61" x14ac:dyDescent="0.25">
      <c r="A102" s="416"/>
      <c r="B102" s="84" t="s">
        <v>591</v>
      </c>
      <c r="C102" s="68" t="s">
        <v>638</v>
      </c>
      <c r="D102" s="143">
        <f>1132.24629+4.74042+3009.03771</f>
        <v>4146.0244199999997</v>
      </c>
      <c r="E102" s="143">
        <v>48081.93770114825</v>
      </c>
      <c r="F102" s="143">
        <f>'[48]Приложение №1'!AT98</f>
        <v>2212.2123901806353</v>
      </c>
      <c r="G102" s="143">
        <f>'[48]Приложение №1'!AU98</f>
        <v>629.9134535137481</v>
      </c>
      <c r="H102" s="144"/>
      <c r="I102" s="144"/>
      <c r="J102" s="145">
        <f>'[55]2.9 Аренда'!O49/1000</f>
        <v>21711.643712026493</v>
      </c>
      <c r="K102" s="146"/>
      <c r="L102" s="147">
        <f>'[55]2.9 Аренда'!O34/1000</f>
        <v>15614.8311674776</v>
      </c>
      <c r="M102" s="146"/>
      <c r="N102" s="147">
        <f>P102+R102+T102+V102+X102</f>
        <v>6096.8125445488904</v>
      </c>
      <c r="O102" s="146"/>
      <c r="P102" s="147">
        <f>'[55]2.9 Аренда'!O7/1000</f>
        <v>5353.9125445488899</v>
      </c>
      <c r="Q102" s="146"/>
      <c r="R102" s="147">
        <v>0</v>
      </c>
      <c r="S102" s="146"/>
      <c r="T102" s="147">
        <f>'[55]2.9 Аренда'!O37/1000</f>
        <v>105.12035</v>
      </c>
      <c r="U102" s="146"/>
      <c r="V102" s="147">
        <f>'[55]2.9 Аренда'!O40/1000</f>
        <v>309.93788000000001</v>
      </c>
      <c r="W102" s="146"/>
      <c r="X102" s="147">
        <f>'[55]2.9 Аренда'!O42/1000</f>
        <v>327.84177</v>
      </c>
      <c r="Y102" s="146"/>
      <c r="Z102" s="145">
        <f>AB102+AD102</f>
        <v>33059.093854275059</v>
      </c>
      <c r="AA102" s="146"/>
      <c r="AB102" s="147">
        <f>'[55]2.9 Аренда'!R34/1000</f>
        <v>12036.1508474776</v>
      </c>
      <c r="AC102" s="146"/>
      <c r="AD102" s="147">
        <f>AF102+AH102+AJ102+AL102+AN102+AP102</f>
        <v>21022.943006797457</v>
      </c>
      <c r="AE102" s="146"/>
      <c r="AF102" s="147">
        <f>'[55]2.9 Аренда'!R7/1000</f>
        <v>5353.91257454889</v>
      </c>
      <c r="AG102" s="146"/>
      <c r="AH102" s="147">
        <f>R102</f>
        <v>0</v>
      </c>
      <c r="AI102" s="146"/>
      <c r="AJ102" s="147">
        <f>'[55]2.9 Аренда'!R37/1000</f>
        <v>1125.776357504762</v>
      </c>
      <c r="AK102" s="146"/>
      <c r="AL102" s="147">
        <f>'[55]2.9 Аренда'!R40/1000</f>
        <v>2571.0768022914299</v>
      </c>
      <c r="AM102" s="146"/>
      <c r="AN102" s="147">
        <f>'[55]2.9 Аренда'!R42/1000</f>
        <v>11972.177272452376</v>
      </c>
      <c r="AO102" s="146"/>
      <c r="AP102" s="147">
        <v>0</v>
      </c>
      <c r="AQ102" s="146"/>
      <c r="AR102" s="145">
        <f>AT102+AV102</f>
        <v>33059.093854275059</v>
      </c>
      <c r="AS102" s="144"/>
      <c r="AT102" s="148">
        <f>AB102</f>
        <v>12036.1508474776</v>
      </c>
      <c r="AU102" s="144"/>
      <c r="AV102" s="148">
        <f>AD102</f>
        <v>21022.943006797457</v>
      </c>
      <c r="AW102" s="144"/>
      <c r="AX102" s="148">
        <f>AF102</f>
        <v>5353.91257454889</v>
      </c>
      <c r="AY102" s="144"/>
      <c r="AZ102" s="148">
        <f>AH102</f>
        <v>0</v>
      </c>
      <c r="BA102" s="144"/>
      <c r="BB102" s="148">
        <f>AJ102</f>
        <v>1125.776357504762</v>
      </c>
      <c r="BC102" s="144"/>
      <c r="BD102" s="148">
        <f>AL102</f>
        <v>2571.0768022914299</v>
      </c>
      <c r="BE102" s="144"/>
      <c r="BF102" s="148">
        <f>AN102</f>
        <v>11972.177272452376</v>
      </c>
      <c r="BG102" s="144"/>
      <c r="BH102" s="147">
        <v>0</v>
      </c>
      <c r="BI102" s="146"/>
    </row>
    <row r="103" spans="1:61" x14ac:dyDescent="0.25">
      <c r="A103" s="416"/>
      <c r="B103" s="84" t="s">
        <v>699</v>
      </c>
      <c r="C103" s="68" t="s">
        <v>700</v>
      </c>
      <c r="D103" s="143">
        <v>0</v>
      </c>
      <c r="E103" s="143">
        <v>1574.4174564766665</v>
      </c>
      <c r="F103" s="143">
        <f>'[48]Приложение №1'!AT99</f>
        <v>437.53950862170211</v>
      </c>
      <c r="G103" s="143">
        <f>'[48]Приложение №1'!AU99</f>
        <v>124.58660124496456</v>
      </c>
      <c r="H103" s="144"/>
      <c r="I103" s="144"/>
      <c r="J103" s="145">
        <f>'[55]2.4'!G51</f>
        <v>1712.1565000000001</v>
      </c>
      <c r="K103" s="146"/>
      <c r="L103" s="147">
        <f>'[55]Ремонтная программа'!L33+'[55]Ремонтная программа'!K94+'[55]2.4'!F50*'Приложение №1 (2.7) ОБЩАЯ'!M11+'[55]2.4'!F11+'[55]2.4'!F12+'[55]2.4'!F13+'[55]2.4'!F14+'[55]2.4'!F17</f>
        <v>4410.7042502209351</v>
      </c>
      <c r="M103" s="146"/>
      <c r="N103" s="147">
        <f>P103+R103+T103+V103+X103</f>
        <v>11057.012356445732</v>
      </c>
      <c r="O103" s="146"/>
      <c r="P103" s="147">
        <f>'[55]Ремонтная программа'!L52+'[55]Ремонтная программа'!K93+'[55]2.4'!F50*'Приложение №1 (2.7) ОБЩАЯ'!Q11+'[55]2.4'!F16+'[55]2.4'!F15+'[55]2.4'!F24</f>
        <v>1627.3931630113902</v>
      </c>
      <c r="Q103" s="146"/>
      <c r="R103" s="147">
        <f>'[55]Ремонтная программа'!L45+'[55]Ремонтная программа'!L95+'[55]2.4'!F50*'Приложение №1 (2.7) ОБЩАЯ'!S11</f>
        <v>2028.9641211147916</v>
      </c>
      <c r="S103" s="146"/>
      <c r="T103" s="147">
        <f>'[55]Ремонтная программа'!L65+'[55]Ремонтная программа'!L96+'[55]2.4'!F50*'Приложение №1 (2.7) ОБЩАЯ'!U11</f>
        <v>2194.6310328833902</v>
      </c>
      <c r="U103" s="146"/>
      <c r="V103" s="147">
        <f>'[55]Ремонтная программа'!L79+'[55]Ремонтная программа'!L97+'[55]2.4'!F50*'Приложение №1 (2.7) ОБЩАЯ'!W11</f>
        <v>2447.390301314239</v>
      </c>
      <c r="W103" s="146"/>
      <c r="X103" s="147">
        <f>'[55]Ремонтная программа'!L89+'[55]Ремонтная программа'!L98+'[55]2.4'!F50*'Приложение №1 (2.7) ОБЩАЯ'!Y11</f>
        <v>2758.63373812192</v>
      </c>
      <c r="Y103" s="146"/>
      <c r="Z103" s="145">
        <f>'[55]2.4'!H51</f>
        <v>56735.837926266671</v>
      </c>
      <c r="AA103" s="146"/>
      <c r="AB103" s="147">
        <f>Z103*AC11</f>
        <v>12261.864342654273</v>
      </c>
      <c r="AC103" s="146"/>
      <c r="AD103" s="147">
        <f>AF103+AH103+AJ103+AL103+AN103+AP103</f>
        <v>44473.973583612402</v>
      </c>
      <c r="AE103" s="146"/>
      <c r="AF103" s="147">
        <f>Z103*AG11</f>
        <v>3411.701368541073</v>
      </c>
      <c r="AG103" s="146"/>
      <c r="AH103" s="147">
        <f>Z103*AI11</f>
        <v>14704.980325871364</v>
      </c>
      <c r="AI103" s="146"/>
      <c r="AJ103" s="147">
        <f>Z103*AK11</f>
        <v>1009.6346412605305</v>
      </c>
      <c r="AK103" s="146"/>
      <c r="AL103" s="147">
        <f>Z103*AM11</f>
        <v>4431.5336416784849</v>
      </c>
      <c r="AM103" s="146"/>
      <c r="AN103" s="147">
        <f>Z103*AO11</f>
        <v>19609.875176748526</v>
      </c>
      <c r="AO103" s="146"/>
      <c r="AP103" s="147">
        <f>Z103*AQ11</f>
        <v>1306.2484295124243</v>
      </c>
      <c r="AQ103" s="146"/>
      <c r="AR103" s="145">
        <f>'[55]2.4'!I51</f>
        <v>59005.271443317339</v>
      </c>
      <c r="AS103" s="144"/>
      <c r="AT103" s="148">
        <f>AB103*1.04</f>
        <v>12752.338916360444</v>
      </c>
      <c r="AU103" s="144"/>
      <c r="AV103" s="148">
        <f>AX103+AZ103+BB103+BD103+BF103</f>
        <v>44894.434160263976</v>
      </c>
      <c r="AW103" s="144"/>
      <c r="AX103" s="148">
        <f>AF103*1.04</f>
        <v>3548.1694232827158</v>
      </c>
      <c r="AY103" s="144"/>
      <c r="AZ103" s="148">
        <f>AH103*1.04</f>
        <v>15293.179538906219</v>
      </c>
      <c r="BA103" s="144"/>
      <c r="BB103" s="148">
        <f>AJ103*1.04</f>
        <v>1050.0200269109519</v>
      </c>
      <c r="BC103" s="144"/>
      <c r="BD103" s="148">
        <f>AL103*1.04</f>
        <v>4608.7949873456246</v>
      </c>
      <c r="BE103" s="144"/>
      <c r="BF103" s="148">
        <f>AN103*1.04</f>
        <v>20394.270183818469</v>
      </c>
      <c r="BG103" s="144"/>
      <c r="BH103" s="147">
        <v>0</v>
      </c>
      <c r="BI103" s="146"/>
    </row>
    <row r="104" spans="1:61" x14ac:dyDescent="0.25">
      <c r="A104" s="156" t="s">
        <v>701</v>
      </c>
      <c r="B104" s="73" t="s">
        <v>702</v>
      </c>
      <c r="C104" s="68" t="s">
        <v>638</v>
      </c>
      <c r="D104" s="143">
        <f>0</f>
        <v>0</v>
      </c>
      <c r="E104" s="143">
        <v>1008.64627781733</v>
      </c>
      <c r="F104" s="143">
        <f>'[48]Приложение №1'!AT100</f>
        <v>318.14658052464648</v>
      </c>
      <c r="G104" s="143">
        <f>'[48]Приложение №1'!AU100</f>
        <v>90.590221875353492</v>
      </c>
      <c r="H104" s="144"/>
      <c r="I104" s="144"/>
      <c r="J104" s="145">
        <f>'[55]2.5'!F11</f>
        <v>326.75799999999998</v>
      </c>
      <c r="K104" s="146"/>
      <c r="L104" s="147">
        <f>$J$104*M11</f>
        <v>162.52864171384326</v>
      </c>
      <c r="M104" s="146"/>
      <c r="N104" s="147">
        <f>$J$104*O11</f>
        <v>164.2293582861567</v>
      </c>
      <c r="O104" s="146"/>
      <c r="P104" s="147">
        <f>$J$104*Q11</f>
        <v>70.625230619556007</v>
      </c>
      <c r="Q104" s="146"/>
      <c r="R104" s="147">
        <f>$J$104*S11</f>
        <v>31.677418408160332</v>
      </c>
      <c r="S104" s="146"/>
      <c r="T104" s="147">
        <f>$J$104*U11</f>
        <v>3.6543408910612238</v>
      </c>
      <c r="U104" s="146"/>
      <c r="V104" s="147">
        <f>$J$104*W11</f>
        <v>11.791706876550895</v>
      </c>
      <c r="W104" s="146"/>
      <c r="X104" s="147">
        <f>$J$104*Y11</f>
        <v>46.480661490828219</v>
      </c>
      <c r="Y104" s="146"/>
      <c r="Z104" s="145">
        <f>'[55]2.5'!G11</f>
        <v>1889.81916</v>
      </c>
      <c r="AA104" s="146"/>
      <c r="AB104" s="147">
        <f>$Z$104*AC11</f>
        <v>408.4315490710452</v>
      </c>
      <c r="AC104" s="146"/>
      <c r="AD104" s="147">
        <f>AF104+AH104+AJ104+AL104+AN104+AP104</f>
        <v>1481.3876109289549</v>
      </c>
      <c r="AE104" s="146"/>
      <c r="AF104" s="147">
        <f>$Z$104*AG11</f>
        <v>113.64066963893696</v>
      </c>
      <c r="AG104" s="146"/>
      <c r="AH104" s="147">
        <f>$Z$104*AI11</f>
        <v>489.80952045460288</v>
      </c>
      <c r="AI104" s="146"/>
      <c r="AJ104" s="147">
        <f>$Z$104*AK11</f>
        <v>33.630011636270005</v>
      </c>
      <c r="AK104" s="146"/>
      <c r="AL104" s="147">
        <f>$Z$104*AM11</f>
        <v>147.61035511826543</v>
      </c>
      <c r="AM104" s="146"/>
      <c r="AN104" s="147">
        <f>$Z$104*AO11</f>
        <v>653.1871069285944</v>
      </c>
      <c r="AO104" s="146"/>
      <c r="AP104" s="147">
        <f>$Z$104*AQ11</f>
        <v>43.509947152285342</v>
      </c>
      <c r="AQ104" s="146"/>
      <c r="AR104" s="145">
        <f>'[55]2.5'!H11</f>
        <v>1965.4119264000003</v>
      </c>
      <c r="AS104" s="144"/>
      <c r="AT104" s="148">
        <f>$AR$104*AU11</f>
        <v>424.76881103388706</v>
      </c>
      <c r="AU104" s="144"/>
      <c r="AV104" s="148">
        <f>$AR$104*AW11</f>
        <v>1540.6431153661131</v>
      </c>
      <c r="AW104" s="144"/>
      <c r="AX104" s="148">
        <f>$AR$104*AY11</f>
        <v>118.18629642449444</v>
      </c>
      <c r="AY104" s="144"/>
      <c r="AZ104" s="148">
        <f>$AR$104*BA11</f>
        <v>509.40190127278703</v>
      </c>
      <c r="BA104" s="144"/>
      <c r="BB104" s="148">
        <f>$AR$104*BC11</f>
        <v>34.975212101720814</v>
      </c>
      <c r="BC104" s="144"/>
      <c r="BD104" s="148">
        <f>$AR$104*BE11</f>
        <v>153.51476932299607</v>
      </c>
      <c r="BE104" s="144"/>
      <c r="BF104" s="148">
        <f>$AR$104*BG11</f>
        <v>679.31459120573834</v>
      </c>
      <c r="BG104" s="144"/>
      <c r="BH104" s="147">
        <v>0</v>
      </c>
      <c r="BI104" s="146"/>
    </row>
    <row r="105" spans="1:61" s="83" customFormat="1" x14ac:dyDescent="0.25">
      <c r="A105" s="157" t="s">
        <v>703</v>
      </c>
      <c r="B105" s="158" t="s">
        <v>704</v>
      </c>
      <c r="C105" s="159" t="s">
        <v>643</v>
      </c>
      <c r="D105" s="160">
        <f>D26+D68+D71+D86+D93+D94+D99+D100+D104</f>
        <v>8774.2048743333326</v>
      </c>
      <c r="E105" s="161">
        <v>230018.949117743</v>
      </c>
      <c r="F105" s="161">
        <f>'[48]Приложение №1'!AT101</f>
        <v>37171.955077740611</v>
      </c>
      <c r="G105" s="161">
        <f>'[48]Приложение №1'!AU101</f>
        <v>11659.793428132714</v>
      </c>
      <c r="H105" s="162"/>
      <c r="I105" s="162"/>
      <c r="J105" s="163">
        <f>J26+J68+J71+J86+J93+J94+J99+J100+J104</f>
        <v>129608.18560438816</v>
      </c>
      <c r="K105" s="162"/>
      <c r="L105" s="163">
        <f>L26+L68+L71+L86+L93+L94+L99+L100+L104</f>
        <v>69889.639889308135</v>
      </c>
      <c r="M105" s="162"/>
      <c r="N105" s="163">
        <f>N26+N68+N71+N86+N93+N94+N99+N100+N104</f>
        <v>72191.19529374667</v>
      </c>
      <c r="O105" s="162"/>
      <c r="P105" s="163">
        <f>P26+P68+P71+P86+P93+P94+P99+P100+P104</f>
        <v>23170.900836369616</v>
      </c>
      <c r="Q105" s="162"/>
      <c r="R105" s="163">
        <f>R26+R68+R71+R86+R93+R94+R99+R100+R104</f>
        <v>15809.714784349573</v>
      </c>
      <c r="S105" s="162"/>
      <c r="T105" s="163">
        <f>T26+T68+T71+T86+T93+T94+T99+T100+T104</f>
        <v>3797.0745917173886</v>
      </c>
      <c r="U105" s="162"/>
      <c r="V105" s="163">
        <f>V26+V68+V71+V86+V93+V94+V99+V100+V104</f>
        <v>7900.8666389332102</v>
      </c>
      <c r="W105" s="162"/>
      <c r="X105" s="163">
        <f>X26+X68+X71+X86+X93+X94+X99+X100+X104</f>
        <v>22838.477509043561</v>
      </c>
      <c r="Y105" s="162"/>
      <c r="Z105" s="163">
        <f>Z26+Z68+Z71+Z86+Z93+Z94+Z99+Z100+Z104</f>
        <v>531866.25796879141</v>
      </c>
      <c r="AA105" s="162"/>
      <c r="AB105" s="163">
        <f>AB26+AB68+AB71+AB86+AB93+AB94+AB99+AB100+AB104</f>
        <v>119174.02490336334</v>
      </c>
      <c r="AC105" s="162"/>
      <c r="AD105" s="163">
        <f>AD26+AD68+AD71+AD86+AD93+AD94+AD99+AD100+AD104</f>
        <v>408068.41109286144</v>
      </c>
      <c r="AE105" s="162"/>
      <c r="AF105" s="163">
        <f>AF26+AF68+AF71+AF86+AF93+AF94+AF99+AF100+AF104</f>
        <v>36992.838293934816</v>
      </c>
      <c r="AG105" s="162"/>
      <c r="AH105" s="163">
        <f>AH26+AH68+AH71+AH86+AH93+AH94+AH99+AH100+AH104</f>
        <v>110533.6167057237</v>
      </c>
      <c r="AI105" s="162"/>
      <c r="AJ105" s="163">
        <f>AJ26+AJ68+AJ71+AJ86+AJ93+AJ94+AJ99+AJ100+AJ104</f>
        <v>11476.468513192145</v>
      </c>
      <c r="AK105" s="162"/>
      <c r="AL105" s="163">
        <f>AL26+AL68+AL71+AL86+AL93+AL94+AL99+AL100+AL104</f>
        <v>48809.152827280363</v>
      </c>
      <c r="AM105" s="162"/>
      <c r="AN105" s="163">
        <f>AN26+AN68+AN71+AN86+AN93+AN94+AN99+AN100+AN104</f>
        <v>191287.81490116974</v>
      </c>
      <c r="AO105" s="162"/>
      <c r="AP105" s="163">
        <f>AP26+AP68+AP71+AP86+AP93+AP94+AP99+AP100+AP104</f>
        <v>11488.420922877307</v>
      </c>
      <c r="AQ105" s="162"/>
      <c r="AR105" s="163">
        <f>AR26+AR68+AR71+AR86+AR93+AR94+AR99+AR100+AR104</f>
        <v>548181.53426437359</v>
      </c>
      <c r="AS105" s="162"/>
      <c r="AT105" s="163">
        <f>AT26+AT68+AT71+AT86+AT93+AT94+AT99+AT100+AT104</f>
        <v>122324.6631809994</v>
      </c>
      <c r="AU105" s="162"/>
      <c r="AV105" s="163">
        <f>AV26+AV68+AV71+AV86+AV93+AV94+AV99+AV100+AV104</f>
        <v>339098.84544316563</v>
      </c>
      <c r="AW105" s="162"/>
      <c r="AX105" s="163">
        <f>AX26+AX68+AX71+AX86+AX93+AX94+AX99+AX100+AX104</f>
        <v>38101.839975886614</v>
      </c>
      <c r="AY105" s="162"/>
      <c r="AZ105" s="163">
        <f>AZ26+AZ68+AZ71+AZ86+AZ93+AZ94+AZ99+AZ100+AZ104</f>
        <v>114178.91185223944</v>
      </c>
      <c r="BA105" s="162"/>
      <c r="BB105" s="163">
        <f>BB26+BB68+BB71+BB86+BB93+BB94+BB99+BB100+BB104</f>
        <v>11206.75167604709</v>
      </c>
      <c r="BC105" s="162"/>
      <c r="BD105" s="163">
        <f>BD26+BD68+BD71+BD86+BD93+BD94+BD99+BD100+BD104</f>
        <v>49467.662948597965</v>
      </c>
      <c r="BE105" s="162"/>
      <c r="BF105" s="163">
        <f>BF26+BF68+BF71+BF86+BF93+BF94+BF99+BF100+BF104</f>
        <v>164360.50874158094</v>
      </c>
      <c r="BG105" s="162"/>
      <c r="BH105" s="163">
        <f>BH26+BH68+BH71+BH86+BH93+BH94+BH99+BH100+BH104</f>
        <v>9926.2812678290156</v>
      </c>
      <c r="BI105" s="162"/>
    </row>
    <row r="106" spans="1:61" s="83" customFormat="1" ht="15.75" x14ac:dyDescent="0.25">
      <c r="A106" s="164" t="s">
        <v>705</v>
      </c>
      <c r="B106" s="165" t="s">
        <v>706</v>
      </c>
      <c r="C106" s="166" t="s">
        <v>670</v>
      </c>
      <c r="D106" s="167">
        <f>IFERROR((D105/D16*1000),0)</f>
        <v>4231.1425237415533</v>
      </c>
      <c r="E106" s="167">
        <v>1832.8188010117415</v>
      </c>
      <c r="F106" s="167">
        <f>'[48]Приложение №1'!AT102</f>
        <v>1838.406534914069</v>
      </c>
      <c r="G106" s="167">
        <f>'[48]Приложение №1'!AU102</f>
        <v>2025.1768028270849</v>
      </c>
      <c r="H106" s="168"/>
      <c r="I106" s="168"/>
      <c r="J106" s="169">
        <f>IFERROR((J105/J16*1000),0)</f>
        <v>2552.9738675358449</v>
      </c>
      <c r="K106" s="168"/>
      <c r="L106" s="169">
        <f>IFERROR((L105/L16*1000),0)</f>
        <v>2918.0818619717588</v>
      </c>
      <c r="M106" s="168"/>
      <c r="N106" s="169">
        <f>IFERROR((N105/N16*1000),0)</f>
        <v>2691.9945120521593</v>
      </c>
      <c r="O106" s="168"/>
      <c r="P106" s="169">
        <f>IFERROR((P105/P16*1000),0)</f>
        <v>2005.2231424017086</v>
      </c>
      <c r="Q106" s="168"/>
      <c r="R106" s="169">
        <f>IFERROR((R105/R16*1000),0)</f>
        <v>3021.1506882652398</v>
      </c>
      <c r="S106" s="168"/>
      <c r="T106" s="169">
        <f>IFERROR((T105/T16*1000),0)</f>
        <v>6245.7431938319987</v>
      </c>
      <c r="U106" s="168"/>
      <c r="V106" s="169">
        <f>IFERROR((V105/V16*1000),0)</f>
        <v>4095.9734977763437</v>
      </c>
      <c r="W106" s="168"/>
      <c r="X106" s="169">
        <f>IFERROR((X105/X16*1000),0)</f>
        <v>3048.4523346633023</v>
      </c>
      <c r="Y106" s="168"/>
      <c r="Z106" s="169">
        <f>IFERROR((Z105/Z16*1000),0)</f>
        <v>3296.3097225133279</v>
      </c>
      <c r="AA106" s="168"/>
      <c r="AB106" s="169">
        <f>IFERROR((AB105/AB16*1000),0)</f>
        <v>3540.6117968926214</v>
      </c>
      <c r="AC106" s="168"/>
      <c r="AD106" s="169">
        <f>IFERROR((AD105/AD16*1000),0)</f>
        <v>3195.702496892261</v>
      </c>
      <c r="AE106" s="168"/>
      <c r="AF106" s="169">
        <f>IFERROR((AF105/AF16*1000),0)</f>
        <v>3735.6827936617083</v>
      </c>
      <c r="AG106" s="168"/>
      <c r="AH106" s="169">
        <f>IFERROR((AH105/AH16*1000),0)</f>
        <v>2560.2215840962676</v>
      </c>
      <c r="AI106" s="168"/>
      <c r="AJ106" s="169">
        <f>IFERROR((AJ105/AJ16*1000),0)</f>
        <v>4076.4021928626503</v>
      </c>
      <c r="AK106" s="168"/>
      <c r="AL106" s="169">
        <f>IFERROR((AL105/AL16*1000),0)</f>
        <v>3891.2211593266302</v>
      </c>
      <c r="AM106" s="168"/>
      <c r="AN106" s="169">
        <f>IFERROR((AN105/AN16*1000),0)</f>
        <v>3465.1953366017115</v>
      </c>
      <c r="AO106" s="168"/>
      <c r="AP106" s="169">
        <f>IFERROR((AP105/AP16*1000),0)</f>
        <v>2832.8047322173879</v>
      </c>
      <c r="AQ106" s="168"/>
      <c r="AR106" s="169">
        <f>IFERROR((AR105/AR16*1000),0)</f>
        <v>3397.4257513511161</v>
      </c>
      <c r="AS106" s="168"/>
      <c r="AT106" s="169">
        <f>IFERROR((AT105/AT16*1000),0)</f>
        <v>3634.2159783624111</v>
      </c>
      <c r="AU106" s="168"/>
      <c r="AV106" s="169">
        <f>IFERROR((AV105/AV16*1000),0)</f>
        <v>2655.5817544754918</v>
      </c>
      <c r="AW106" s="168"/>
      <c r="AX106" s="169">
        <f>IFERROR((AX105/AX16*1000),0)</f>
        <v>3847.6741598956551</v>
      </c>
      <c r="AY106" s="168"/>
      <c r="AZ106" s="169">
        <f>IFERROR((AZ105/AZ16*1000),0)</f>
        <v>2644.6552938821137</v>
      </c>
      <c r="BA106" s="168"/>
      <c r="BB106" s="169">
        <f>IFERROR((BB105/BB16*1000),0)</f>
        <v>3980.5996988178804</v>
      </c>
      <c r="BC106" s="168"/>
      <c r="BD106" s="169">
        <f>IFERROR((BD105/BD16*1000),0)</f>
        <v>3943.7196840760625</v>
      </c>
      <c r="BE106" s="168"/>
      <c r="BF106" s="169">
        <f>IFERROR((BF105/BF16*1000),0)</f>
        <v>2977.4048530329483</v>
      </c>
      <c r="BG106" s="168"/>
      <c r="BH106" s="169">
        <f>IFERROR((BH105/BH16*1000),0)</f>
        <v>2447.6137092811459</v>
      </c>
      <c r="BI106" s="168"/>
    </row>
    <row r="107" spans="1:61" ht="25.5" x14ac:dyDescent="0.25">
      <c r="A107" s="170" t="s">
        <v>707</v>
      </c>
      <c r="B107" s="84" t="s">
        <v>708</v>
      </c>
      <c r="C107" s="53" t="s">
        <v>638</v>
      </c>
      <c r="D107" s="171">
        <f>4.008+77.22+118.60022+50+3.359+0.8+12.68+1.756+55+2.49167+1.71133</f>
        <v>327.62621999999993</v>
      </c>
      <c r="E107" s="171">
        <v>1601.4912030542864</v>
      </c>
      <c r="F107" s="171">
        <f>'[48]Приложение №1'!AT103</f>
        <v>186.82659671085878</v>
      </c>
      <c r="G107" s="171">
        <f>'[48]Приложение №1'!AU103</f>
        <v>53.197689003426973</v>
      </c>
      <c r="H107" s="144"/>
      <c r="I107" s="144"/>
      <c r="J107" s="172">
        <f>'[55]2.6'!F12</f>
        <v>1113.7884999999997</v>
      </c>
      <c r="K107" s="144"/>
      <c r="L107" s="148">
        <f>$J$107*M11</f>
        <v>553.99571567183932</v>
      </c>
      <c r="M107" s="144"/>
      <c r="N107" s="148">
        <f>$J$107*O11</f>
        <v>559.79278432816022</v>
      </c>
      <c r="O107" s="144"/>
      <c r="P107" s="148">
        <f>$J$107*Q11</f>
        <v>240.7334163935063</v>
      </c>
      <c r="Q107" s="144"/>
      <c r="R107" s="148">
        <f>$J$107*S11</f>
        <v>107.97576289699801</v>
      </c>
      <c r="S107" s="144"/>
      <c r="T107" s="148">
        <f>$J$107*U11</f>
        <v>12.456199571376196</v>
      </c>
      <c r="U107" s="144"/>
      <c r="V107" s="148">
        <f>$J$107*W11</f>
        <v>40.193254685342986</v>
      </c>
      <c r="W107" s="144"/>
      <c r="X107" s="148">
        <f>$J$107*Y11</f>
        <v>158.43415078093668</v>
      </c>
      <c r="Y107" s="144"/>
      <c r="Z107" s="172">
        <f>'[55]2.6'!G12</f>
        <v>7633.3873845226663</v>
      </c>
      <c r="AA107" s="144"/>
      <c r="AB107" s="147">
        <f>$Z$107*AC11</f>
        <v>1649.7431606736204</v>
      </c>
      <c r="AC107" s="144"/>
      <c r="AD107" s="148">
        <f>AF107+AH107+AJ107+AL107+AN107+AP107</f>
        <v>5983.6442238490463</v>
      </c>
      <c r="AE107" s="144"/>
      <c r="AF107" s="148">
        <f>Z107*AG11</f>
        <v>459.01918678323131</v>
      </c>
      <c r="AG107" s="144"/>
      <c r="AH107" s="148">
        <f>Z107*AI11</f>
        <v>1978.4463473517023</v>
      </c>
      <c r="AI107" s="144"/>
      <c r="AJ107" s="148">
        <f>Z107*AK11</f>
        <v>135.83887389820617</v>
      </c>
      <c r="AK107" s="144"/>
      <c r="AL107" s="148">
        <f>Z107*AM11</f>
        <v>596.23007663054818</v>
      </c>
      <c r="AM107" s="144"/>
      <c r="AN107" s="148">
        <f>Z107*AO11</f>
        <v>2638.3636737821994</v>
      </c>
      <c r="AO107" s="144"/>
      <c r="AP107" s="148">
        <f>Z107*AQ11</f>
        <v>175.74606540315889</v>
      </c>
      <c r="AQ107" s="144"/>
      <c r="AR107" s="172">
        <f>'[55]2.6'!H12</f>
        <v>7447.5464525634652</v>
      </c>
      <c r="AS107" s="144"/>
      <c r="AT107" s="148">
        <f>AB107*1.04</f>
        <v>1715.7328871005652</v>
      </c>
      <c r="AU107" s="144"/>
      <c r="AV107" s="148">
        <f>AD107*1.04</f>
        <v>6222.9899928030081</v>
      </c>
      <c r="AW107" s="144"/>
      <c r="AX107" s="148">
        <f>AF107*1.04</f>
        <v>477.37995425456057</v>
      </c>
      <c r="AY107" s="144"/>
      <c r="AZ107" s="148">
        <f>AH107*1.04</f>
        <v>2057.5842012457706</v>
      </c>
      <c r="BA107" s="144"/>
      <c r="BB107" s="148">
        <f>AJ107*1.04</f>
        <v>141.27242885413443</v>
      </c>
      <c r="BC107" s="144"/>
      <c r="BD107" s="148">
        <f>AL107*1.04</f>
        <v>620.07927969577008</v>
      </c>
      <c r="BE107" s="144"/>
      <c r="BF107" s="148">
        <f>AN107*1.04</f>
        <v>2743.8982207334875</v>
      </c>
      <c r="BG107" s="144"/>
      <c r="BH107" s="148">
        <v>0</v>
      </c>
      <c r="BI107" s="144"/>
    </row>
    <row r="108" spans="1:61" ht="31.5" x14ac:dyDescent="0.25">
      <c r="A108" s="80" t="s">
        <v>703</v>
      </c>
      <c r="B108" s="173" t="s">
        <v>709</v>
      </c>
      <c r="C108" s="174" t="s">
        <v>643</v>
      </c>
      <c r="D108" s="167">
        <f>D105+D107</f>
        <v>9101.8310943333327</v>
      </c>
      <c r="E108" s="167">
        <v>231620.44032079779</v>
      </c>
      <c r="F108" s="167">
        <f>'[48]Приложение №1'!AT104</f>
        <v>37358.781674451471</v>
      </c>
      <c r="G108" s="167">
        <f>'[48]Приложение №1'!AU104</f>
        <v>11712.991117136142</v>
      </c>
      <c r="H108" s="168"/>
      <c r="I108" s="168"/>
      <c r="J108" s="169">
        <f>J105+J107</f>
        <v>130721.97410438815</v>
      </c>
      <c r="K108" s="168"/>
      <c r="L108" s="169">
        <f>L105+L107</f>
        <v>70443.63560497998</v>
      </c>
      <c r="M108" s="168"/>
      <c r="N108" s="169">
        <f>N105+N107</f>
        <v>72750.988078074835</v>
      </c>
      <c r="O108" s="168"/>
      <c r="P108" s="169">
        <f>P105+P107</f>
        <v>23411.63425276312</v>
      </c>
      <c r="Q108" s="168"/>
      <c r="R108" s="169">
        <f>R105+R107</f>
        <v>15917.690547246571</v>
      </c>
      <c r="S108" s="168"/>
      <c r="T108" s="169">
        <f>T105+T107</f>
        <v>3809.5307912887647</v>
      </c>
      <c r="U108" s="168"/>
      <c r="V108" s="169">
        <f>V105+V107</f>
        <v>7941.0598936185534</v>
      </c>
      <c r="W108" s="168"/>
      <c r="X108" s="169">
        <f>X105+X107</f>
        <v>22996.911659824498</v>
      </c>
      <c r="Y108" s="168"/>
      <c r="Z108" s="169">
        <f>Z105+Z107</f>
        <v>539499.64535331412</v>
      </c>
      <c r="AA108" s="168"/>
      <c r="AB108" s="169">
        <f>AB105+AB107</f>
        <v>120823.76806403697</v>
      </c>
      <c r="AC108" s="168"/>
      <c r="AD108" s="169">
        <f>AD105+AD107</f>
        <v>414052.0553167105</v>
      </c>
      <c r="AE108" s="168"/>
      <c r="AF108" s="169">
        <f>AF105+AF107</f>
        <v>37451.857480718048</v>
      </c>
      <c r="AG108" s="168"/>
      <c r="AH108" s="169">
        <f>AH105+AH107</f>
        <v>112512.0630530754</v>
      </c>
      <c r="AI108" s="168"/>
      <c r="AJ108" s="169">
        <f>AJ105+AJ107</f>
        <v>11612.307387090352</v>
      </c>
      <c r="AK108" s="168"/>
      <c r="AL108" s="169">
        <f>AL105+AL107</f>
        <v>49405.382903910911</v>
      </c>
      <c r="AM108" s="168"/>
      <c r="AN108" s="169">
        <f>AN105+AN107</f>
        <v>193926.17857495195</v>
      </c>
      <c r="AO108" s="168"/>
      <c r="AP108" s="169">
        <f>AP105+AP107</f>
        <v>11664.166988280465</v>
      </c>
      <c r="AQ108" s="168"/>
      <c r="AR108" s="169">
        <f>AR105+AR107</f>
        <v>555629.08071693708</v>
      </c>
      <c r="AS108" s="168"/>
      <c r="AT108" s="169">
        <f>AT105+AT107</f>
        <v>124040.39606809996</v>
      </c>
      <c r="AU108" s="168"/>
      <c r="AV108" s="169">
        <f>AV105+AV107</f>
        <v>345321.83543596865</v>
      </c>
      <c r="AW108" s="168"/>
      <c r="AX108" s="169">
        <f>AX105+AX107</f>
        <v>38579.219930141175</v>
      </c>
      <c r="AY108" s="168"/>
      <c r="AZ108" s="169">
        <f>AZ105+AZ107</f>
        <v>116236.49605348521</v>
      </c>
      <c r="BA108" s="168"/>
      <c r="BB108" s="169">
        <f>BB105+BB107</f>
        <v>11348.024104901224</v>
      </c>
      <c r="BC108" s="168"/>
      <c r="BD108" s="169">
        <f>BD105+BD107</f>
        <v>50087.742228293733</v>
      </c>
      <c r="BE108" s="168"/>
      <c r="BF108" s="169">
        <f>BF105+BF107</f>
        <v>167104.40696231442</v>
      </c>
      <c r="BG108" s="168"/>
      <c r="BH108" s="169">
        <f>BH105+BH107</f>
        <v>9926.2812678290156</v>
      </c>
      <c r="BI108" s="168"/>
    </row>
    <row r="109" spans="1:61" ht="30" outlineLevel="1" x14ac:dyDescent="0.25">
      <c r="A109" s="80" t="s">
        <v>705</v>
      </c>
      <c r="B109" s="175" t="s">
        <v>710</v>
      </c>
      <c r="C109" s="176" t="s">
        <v>638</v>
      </c>
      <c r="D109" s="69"/>
      <c r="E109" s="69">
        <v>0</v>
      </c>
      <c r="F109" s="69">
        <f>'[48]Приложение №1'!AT105</f>
        <v>0</v>
      </c>
      <c r="G109" s="69">
        <f>'[48]Приложение №1'!AU105</f>
        <v>0</v>
      </c>
      <c r="H109" s="177"/>
      <c r="I109" s="177"/>
      <c r="J109" s="169">
        <v>0</v>
      </c>
      <c r="K109" s="177"/>
      <c r="L109" s="169"/>
      <c r="M109" s="177"/>
      <c r="N109" s="169"/>
      <c r="O109" s="177"/>
      <c r="P109" s="169"/>
      <c r="Q109" s="177"/>
      <c r="R109" s="169"/>
      <c r="S109" s="177"/>
      <c r="T109" s="169"/>
      <c r="U109" s="177"/>
      <c r="V109" s="169"/>
      <c r="W109" s="177"/>
      <c r="X109" s="169"/>
      <c r="Y109" s="177"/>
      <c r="Z109" s="169">
        <v>0</v>
      </c>
      <c r="AA109" s="177"/>
      <c r="AB109" s="169"/>
      <c r="AC109" s="177"/>
      <c r="AD109" s="169"/>
      <c r="AE109" s="177"/>
      <c r="AF109" s="169"/>
      <c r="AG109" s="177"/>
      <c r="AH109" s="169"/>
      <c r="AI109" s="177"/>
      <c r="AJ109" s="169"/>
      <c r="AK109" s="177"/>
      <c r="AL109" s="169"/>
      <c r="AM109" s="177"/>
      <c r="AN109" s="169"/>
      <c r="AO109" s="177"/>
      <c r="AP109" s="169"/>
      <c r="AQ109" s="177"/>
      <c r="AR109" s="169">
        <v>0</v>
      </c>
      <c r="AS109" s="177"/>
      <c r="AT109" s="169"/>
      <c r="AU109" s="177"/>
      <c r="AV109" s="169"/>
      <c r="AW109" s="177"/>
      <c r="AX109" s="169"/>
      <c r="AY109" s="177"/>
      <c r="AZ109" s="169"/>
      <c r="BA109" s="177"/>
      <c r="BB109" s="169"/>
      <c r="BC109" s="177"/>
      <c r="BD109" s="169"/>
      <c r="BE109" s="177"/>
      <c r="BF109" s="169"/>
      <c r="BG109" s="177"/>
      <c r="BH109" s="169"/>
      <c r="BI109" s="177"/>
    </row>
    <row r="110" spans="1:61" ht="30" outlineLevel="1" x14ac:dyDescent="0.25">
      <c r="A110" s="80" t="s">
        <v>711</v>
      </c>
      <c r="B110" s="175" t="s">
        <v>712</v>
      </c>
      <c r="C110" s="176" t="s">
        <v>638</v>
      </c>
      <c r="D110" s="167">
        <f>D108+D109</f>
        <v>9101.8310943333327</v>
      </c>
      <c r="E110" s="167">
        <v>231620.44032079776</v>
      </c>
      <c r="F110" s="167">
        <f>'[48]Приложение №1'!AT106</f>
        <v>37358.781674451471</v>
      </c>
      <c r="G110" s="167">
        <f>'[48]Приложение №1'!AU106</f>
        <v>11712.991117136142</v>
      </c>
      <c r="H110" s="168"/>
      <c r="I110" s="168"/>
      <c r="J110" s="169">
        <f>J108+J109</f>
        <v>130721.97410438815</v>
      </c>
      <c r="K110" s="168"/>
      <c r="L110" s="169">
        <f>L108+L109</f>
        <v>70443.63560497998</v>
      </c>
      <c r="M110" s="168"/>
      <c r="N110" s="169">
        <f>N108+N109</f>
        <v>72750.988078074835</v>
      </c>
      <c r="O110" s="168"/>
      <c r="P110" s="169">
        <f>P108+P109</f>
        <v>23411.63425276312</v>
      </c>
      <c r="Q110" s="168"/>
      <c r="R110" s="169">
        <f>R108+R109</f>
        <v>15917.690547246571</v>
      </c>
      <c r="S110" s="168"/>
      <c r="T110" s="169">
        <f>T108+T109</f>
        <v>3809.5307912887647</v>
      </c>
      <c r="U110" s="168"/>
      <c r="V110" s="169">
        <f>V108+V109</f>
        <v>7941.0598936185534</v>
      </c>
      <c r="W110" s="168"/>
      <c r="X110" s="169">
        <f>X108+X109</f>
        <v>22996.911659824498</v>
      </c>
      <c r="Y110" s="168"/>
      <c r="Z110" s="169">
        <f>Z108+Z109</f>
        <v>539499.64535331412</v>
      </c>
      <c r="AA110" s="168"/>
      <c r="AB110" s="169">
        <f>AB108+AB109</f>
        <v>120823.76806403697</v>
      </c>
      <c r="AC110" s="168"/>
      <c r="AD110" s="169">
        <f>AD108+AD109</f>
        <v>414052.0553167105</v>
      </c>
      <c r="AE110" s="168"/>
      <c r="AF110" s="169">
        <f>AF108+AF109</f>
        <v>37451.857480718048</v>
      </c>
      <c r="AG110" s="168"/>
      <c r="AH110" s="169">
        <f>AH108+AH109</f>
        <v>112512.0630530754</v>
      </c>
      <c r="AI110" s="168"/>
      <c r="AJ110" s="169">
        <f>AJ108+AJ109</f>
        <v>11612.307387090352</v>
      </c>
      <c r="AK110" s="168"/>
      <c r="AL110" s="169">
        <f>AL108+AL109</f>
        <v>49405.382903910911</v>
      </c>
      <c r="AM110" s="168"/>
      <c r="AN110" s="169">
        <f>AN108+AN109</f>
        <v>193926.17857495195</v>
      </c>
      <c r="AO110" s="168"/>
      <c r="AP110" s="169">
        <f>AP108+AP109</f>
        <v>11664.166988280465</v>
      </c>
      <c r="AQ110" s="168"/>
      <c r="AR110" s="169">
        <f>AR108+AR109</f>
        <v>555629.08071693708</v>
      </c>
      <c r="AS110" s="168"/>
      <c r="AT110" s="169">
        <f>AT108+AT109</f>
        <v>124040.39606809996</v>
      </c>
      <c r="AU110" s="168"/>
      <c r="AV110" s="169">
        <f>AV108+AV109</f>
        <v>345321.83543596865</v>
      </c>
      <c r="AW110" s="168"/>
      <c r="AX110" s="169">
        <f>AX108+AX109</f>
        <v>38579.219930141175</v>
      </c>
      <c r="AY110" s="168"/>
      <c r="AZ110" s="169">
        <f>AZ108+AZ109</f>
        <v>116236.49605348521</v>
      </c>
      <c r="BA110" s="168"/>
      <c r="BB110" s="169">
        <f>BB108+BB109</f>
        <v>11348.024104901224</v>
      </c>
      <c r="BC110" s="168"/>
      <c r="BD110" s="169">
        <f>BD108+BD109</f>
        <v>50087.742228293733</v>
      </c>
      <c r="BE110" s="168"/>
      <c r="BF110" s="169">
        <f>BF108+BF109</f>
        <v>167104.40696231442</v>
      </c>
      <c r="BG110" s="168"/>
      <c r="BH110" s="169">
        <f>BH108+BH109</f>
        <v>9926.2812678290156</v>
      </c>
      <c r="BI110" s="168"/>
    </row>
    <row r="111" spans="1:61" ht="30" x14ac:dyDescent="0.25">
      <c r="A111" s="66" t="s">
        <v>707</v>
      </c>
      <c r="B111" s="178" t="s">
        <v>713</v>
      </c>
      <c r="C111" s="179" t="s">
        <v>638</v>
      </c>
      <c r="D111" s="180">
        <f>D113+D114</f>
        <v>0</v>
      </c>
      <c r="E111" s="107">
        <v>0</v>
      </c>
      <c r="F111" s="107">
        <f>'[48]Приложение №1'!AT107</f>
        <v>0</v>
      </c>
      <c r="G111" s="107">
        <f>'[48]Приложение №1'!AU107</f>
        <v>0</v>
      </c>
      <c r="H111" s="108"/>
      <c r="I111" s="108"/>
      <c r="J111" s="181">
        <f>J113+J114</f>
        <v>0</v>
      </c>
      <c r="K111" s="108"/>
      <c r="L111" s="181">
        <f>L113+L114</f>
        <v>1749.2000770342831</v>
      </c>
      <c r="M111" s="108"/>
      <c r="N111" s="181">
        <f>N113+N114</f>
        <v>1646.1521449073066</v>
      </c>
      <c r="O111" s="108"/>
      <c r="P111" s="181">
        <f>P113+P114</f>
        <v>705.48686610963648</v>
      </c>
      <c r="Q111" s="108"/>
      <c r="R111" s="181">
        <f>R113+R114</f>
        <v>226.47766754763103</v>
      </c>
      <c r="S111" s="108"/>
      <c r="T111" s="181">
        <f>T113+T114</f>
        <v>148.95486200430418</v>
      </c>
      <c r="U111" s="108"/>
      <c r="V111" s="181">
        <f>V113+V114</f>
        <v>214.12917110598411</v>
      </c>
      <c r="W111" s="108"/>
      <c r="X111" s="181">
        <f>X113+X114</f>
        <v>351.10357813975071</v>
      </c>
      <c r="Y111" s="108"/>
      <c r="Z111" s="181">
        <f>Z113+Z114</f>
        <v>14669.205763684031</v>
      </c>
      <c r="AA111" s="108"/>
      <c r="AB111" s="181">
        <f>AB113+AB114</f>
        <v>3323.4040096079757</v>
      </c>
      <c r="AC111" s="108"/>
      <c r="AD111" s="181">
        <f>AD113+AD114</f>
        <v>11345.801754076056</v>
      </c>
      <c r="AE111" s="108"/>
      <c r="AF111" s="181">
        <f>AF113+AF114</f>
        <v>1257.9910994950287</v>
      </c>
      <c r="AG111" s="108"/>
      <c r="AH111" s="181">
        <f>AH113+AH114</f>
        <v>2735.7417021297219</v>
      </c>
      <c r="AI111" s="108"/>
      <c r="AJ111" s="181">
        <f>AJ113+AJ114</f>
        <v>351.41560221078703</v>
      </c>
      <c r="AK111" s="108"/>
      <c r="AL111" s="181">
        <f>AL113+AL114</f>
        <v>1538.382995993494</v>
      </c>
      <c r="AM111" s="108"/>
      <c r="AN111" s="181">
        <f>AN113+AN114</f>
        <v>5106.8162082873887</v>
      </c>
      <c r="AO111" s="108"/>
      <c r="AP111" s="181">
        <f>AP113+AP114</f>
        <v>355.45414595963388</v>
      </c>
      <c r="AQ111" s="108"/>
      <c r="AR111" s="181">
        <f>AR113+AR114</f>
        <v>13388.463162508891</v>
      </c>
      <c r="AS111" s="108"/>
      <c r="AT111" s="181">
        <f>AT113+AT114</f>
        <v>3323.4040096079757</v>
      </c>
      <c r="AU111" s="108"/>
      <c r="AV111" s="181">
        <f>AV113+AV114</f>
        <v>10065.059152900914</v>
      </c>
      <c r="AW111" s="108"/>
      <c r="AX111" s="181">
        <f>AX113+AX114</f>
        <v>1257.9910994950287</v>
      </c>
      <c r="AY111" s="108"/>
      <c r="AZ111" s="181">
        <f>AZ113+AZ114</f>
        <v>1810.4532469142159</v>
      </c>
      <c r="BA111" s="108"/>
      <c r="BB111" s="181">
        <f>BB113+BB114</f>
        <v>351.41560221078703</v>
      </c>
      <c r="BC111" s="108"/>
      <c r="BD111" s="181">
        <f>BD113+BD114</f>
        <v>1538.382995993494</v>
      </c>
      <c r="BE111" s="108"/>
      <c r="BF111" s="181">
        <f>BF113+BF114</f>
        <v>5106.8162082873887</v>
      </c>
      <c r="BG111" s="108"/>
      <c r="BH111" s="181">
        <f>BH113+BH114</f>
        <v>0</v>
      </c>
      <c r="BI111" s="108"/>
    </row>
    <row r="112" spans="1:61" ht="15" x14ac:dyDescent="0.25">
      <c r="A112" s="66"/>
      <c r="B112" s="182" t="s">
        <v>714</v>
      </c>
      <c r="C112" s="183" t="s">
        <v>638</v>
      </c>
      <c r="D112" s="107"/>
      <c r="E112" s="107">
        <v>0</v>
      </c>
      <c r="F112" s="107">
        <f>'[48]Приложение №1'!AT108</f>
        <v>0</v>
      </c>
      <c r="G112" s="107">
        <f>'[48]Приложение №1'!AU108</f>
        <v>0</v>
      </c>
      <c r="H112" s="108"/>
      <c r="I112" s="108"/>
      <c r="J112" s="181"/>
      <c r="K112" s="108"/>
      <c r="L112" s="181"/>
      <c r="M112" s="108"/>
      <c r="N112" s="181"/>
      <c r="O112" s="108"/>
      <c r="P112" s="181"/>
      <c r="Q112" s="108"/>
      <c r="R112" s="181"/>
      <c r="S112" s="108"/>
      <c r="T112" s="181"/>
      <c r="U112" s="108"/>
      <c r="V112" s="181"/>
      <c r="W112" s="108"/>
      <c r="X112" s="181"/>
      <c r="Y112" s="108"/>
      <c r="Z112" s="181"/>
      <c r="AA112" s="108"/>
      <c r="AB112" s="181"/>
      <c r="AC112" s="108"/>
      <c r="AD112" s="181"/>
      <c r="AE112" s="108"/>
      <c r="AF112" s="181"/>
      <c r="AG112" s="108"/>
      <c r="AH112" s="181"/>
      <c r="AI112" s="108"/>
      <c r="AJ112" s="181"/>
      <c r="AK112" s="108"/>
      <c r="AL112" s="181"/>
      <c r="AM112" s="108"/>
      <c r="AN112" s="181"/>
      <c r="AO112" s="108"/>
      <c r="AP112" s="181"/>
      <c r="AQ112" s="108"/>
      <c r="AR112" s="181"/>
      <c r="AS112" s="108"/>
      <c r="AT112" s="181"/>
      <c r="AU112" s="108"/>
      <c r="AV112" s="181"/>
      <c r="AW112" s="108"/>
      <c r="AX112" s="181"/>
      <c r="AY112" s="108"/>
      <c r="AZ112" s="181"/>
      <c r="BA112" s="108"/>
      <c r="BB112" s="181"/>
      <c r="BC112" s="108"/>
      <c r="BD112" s="181"/>
      <c r="BE112" s="108"/>
      <c r="BF112" s="181"/>
      <c r="BG112" s="108"/>
      <c r="BH112" s="181"/>
      <c r="BI112" s="108"/>
    </row>
    <row r="113" spans="1:61" ht="15" x14ac:dyDescent="0.25">
      <c r="A113" s="66"/>
      <c r="B113" s="182" t="s">
        <v>715</v>
      </c>
      <c r="C113" s="183" t="s">
        <v>638</v>
      </c>
      <c r="D113" s="127">
        <v>0</v>
      </c>
      <c r="E113" s="107"/>
      <c r="F113" s="107">
        <f>'[48]Приложение №1'!AT109</f>
        <v>0</v>
      </c>
      <c r="G113" s="107">
        <f>'[48]Приложение №1'!AU109</f>
        <v>0</v>
      </c>
      <c r="H113" s="108"/>
      <c r="I113" s="108"/>
      <c r="J113" s="127"/>
      <c r="K113" s="108"/>
      <c r="L113" s="127">
        <f>'[55]Прибыль предприн.'!F18</f>
        <v>1457.6667308619026</v>
      </c>
      <c r="M113" s="108"/>
      <c r="N113" s="127">
        <f>P113+R113+T113+V113+X113</f>
        <v>1371.7934540894221</v>
      </c>
      <c r="O113" s="108"/>
      <c r="P113" s="127">
        <f>'[55]Прибыль предприн.'!G18</f>
        <v>587.90572175803038</v>
      </c>
      <c r="Q113" s="108"/>
      <c r="R113" s="127">
        <f>'[55]Прибыль предприн.'!H18</f>
        <v>188.73138962302585</v>
      </c>
      <c r="S113" s="108"/>
      <c r="T113" s="127">
        <f>'[55]Прибыль предприн.'!I18</f>
        <v>124.12905167025349</v>
      </c>
      <c r="U113" s="108"/>
      <c r="V113" s="127">
        <f>'[55]Прибыль предприн.'!J18</f>
        <v>178.44097592165343</v>
      </c>
      <c r="W113" s="108"/>
      <c r="X113" s="127">
        <f>'[55]Прибыль предприн.'!K18</f>
        <v>292.58631511645893</v>
      </c>
      <c r="Y113" s="108"/>
      <c r="Z113" s="127">
        <f>AB113+AD113</f>
        <v>12224.338136403359</v>
      </c>
      <c r="AA113" s="108"/>
      <c r="AB113" s="127">
        <f>'[55]Прибыль предприн.'!M18</f>
        <v>2769.5033413399797</v>
      </c>
      <c r="AC113" s="108"/>
      <c r="AD113" s="127">
        <f>AF113+AH113+AJ113+AL113+AN113+AP113</f>
        <v>9454.8347950633797</v>
      </c>
      <c r="AE113" s="108"/>
      <c r="AF113" s="127">
        <f>'[55]Прибыль предприн.'!N18</f>
        <v>1048.3259162458573</v>
      </c>
      <c r="AG113" s="108"/>
      <c r="AH113" s="127">
        <f>'[55]Прибыль предприн.'!O18</f>
        <v>2279.7847517747682</v>
      </c>
      <c r="AI113" s="108"/>
      <c r="AJ113" s="127">
        <f>'[55]Прибыль предприн.'!P18</f>
        <v>292.84633517565584</v>
      </c>
      <c r="AK113" s="108"/>
      <c r="AL113" s="127">
        <f>'[55]Прибыль предприн.'!Q18</f>
        <v>1281.9858299945784</v>
      </c>
      <c r="AM113" s="108"/>
      <c r="AN113" s="127">
        <f>'[55]Прибыль предприн.'!R18</f>
        <v>4255.6801735728241</v>
      </c>
      <c r="AO113" s="108"/>
      <c r="AP113" s="127">
        <f>'[55]Прибыль предприн.'!AG18</f>
        <v>296.21178829969489</v>
      </c>
      <c r="AQ113" s="108"/>
      <c r="AR113" s="127">
        <f>AT113+AV113</f>
        <v>11157.052635424076</v>
      </c>
      <c r="AS113" s="108"/>
      <c r="AT113" s="127">
        <f>'[55]Прибыль предприн.'!T18</f>
        <v>2769.5033413399797</v>
      </c>
      <c r="AU113" s="108"/>
      <c r="AV113" s="127">
        <f>AX113+AZ113+BB113+BD113+BF113</f>
        <v>8387.5492940840959</v>
      </c>
      <c r="AW113" s="108"/>
      <c r="AX113" s="127">
        <f>'[55]Прибыль предприн.'!U18</f>
        <v>1048.3259162458573</v>
      </c>
      <c r="AY113" s="108"/>
      <c r="AZ113" s="127">
        <f>'[55]Прибыль предприн.'!V18</f>
        <v>1508.71103909518</v>
      </c>
      <c r="BA113" s="108"/>
      <c r="BB113" s="127">
        <f>'[55]Прибыль предприн.'!W18</f>
        <v>292.84633517565584</v>
      </c>
      <c r="BC113" s="108"/>
      <c r="BD113" s="127">
        <f>'[55]Прибыль предприн.'!X18</f>
        <v>1281.9858299945784</v>
      </c>
      <c r="BE113" s="108"/>
      <c r="BF113" s="127">
        <f>'[55]Прибыль предприн.'!Y18</f>
        <v>4255.6801735728241</v>
      </c>
      <c r="BG113" s="108"/>
      <c r="BH113" s="127">
        <f>'[55]Прибыль предприн.'!AY18</f>
        <v>0</v>
      </c>
      <c r="BI113" s="108"/>
    </row>
    <row r="114" spans="1:61" ht="30" x14ac:dyDescent="0.25">
      <c r="A114" s="66"/>
      <c r="B114" s="182" t="s">
        <v>716</v>
      </c>
      <c r="C114" s="183" t="s">
        <v>638</v>
      </c>
      <c r="D114" s="127">
        <v>0</v>
      </c>
      <c r="E114" s="107">
        <v>0</v>
      </c>
      <c r="F114" s="107">
        <f>'[48]Приложение №1'!AT110</f>
        <v>0</v>
      </c>
      <c r="G114" s="107">
        <f>'[48]Приложение №1'!AU110</f>
        <v>0</v>
      </c>
      <c r="H114" s="108"/>
      <c r="I114" s="108"/>
      <c r="J114" s="127"/>
      <c r="K114" s="108"/>
      <c r="L114" s="127">
        <f>'[55]Прибыль предприн.'!F19</f>
        <v>291.5333461723805</v>
      </c>
      <c r="M114" s="108"/>
      <c r="N114" s="127">
        <f>P114+R114+T114+V114+X114</f>
        <v>274.35869081788445</v>
      </c>
      <c r="O114" s="108"/>
      <c r="P114" s="127">
        <f>'[55]Прибыль предприн.'!G19</f>
        <v>117.58114435160608</v>
      </c>
      <c r="Q114" s="108"/>
      <c r="R114" s="127">
        <f>'[55]Прибыль предприн.'!H19</f>
        <v>37.746277924605174</v>
      </c>
      <c r="S114" s="108"/>
      <c r="T114" s="127">
        <f>'[55]Прибыль предприн.'!I19</f>
        <v>24.825810334050701</v>
      </c>
      <c r="U114" s="108"/>
      <c r="V114" s="127">
        <f>'[55]Прибыль предприн.'!J19</f>
        <v>35.688195184330688</v>
      </c>
      <c r="W114" s="108"/>
      <c r="X114" s="127">
        <f>'[55]Прибыль предприн.'!K19</f>
        <v>58.51726302329179</v>
      </c>
      <c r="Y114" s="108"/>
      <c r="Z114" s="127">
        <f>Z113*0.2</f>
        <v>2444.867627280672</v>
      </c>
      <c r="AA114" s="184"/>
      <c r="AB114" s="127">
        <f>AB113*0.2</f>
        <v>553.90066826799591</v>
      </c>
      <c r="AC114" s="108"/>
      <c r="AD114" s="127">
        <f>AD113*0.2</f>
        <v>1890.9669590126759</v>
      </c>
      <c r="AE114" s="108"/>
      <c r="AF114" s="127">
        <f>AF113*0.2</f>
        <v>209.66518324917149</v>
      </c>
      <c r="AG114" s="108"/>
      <c r="AH114" s="127">
        <f>AH113*0.2</f>
        <v>455.95695035495368</v>
      </c>
      <c r="AI114" s="108"/>
      <c r="AJ114" s="127">
        <f>AJ113*0.2</f>
        <v>58.569267035131169</v>
      </c>
      <c r="AK114" s="108"/>
      <c r="AL114" s="127">
        <f>AL113*0.2</f>
        <v>256.39716599891568</v>
      </c>
      <c r="AM114" s="108"/>
      <c r="AN114" s="127">
        <f>AN113*0.2</f>
        <v>851.13603471456486</v>
      </c>
      <c r="AO114" s="108"/>
      <c r="AP114" s="127">
        <f>AP113*0.2</f>
        <v>59.242357659938982</v>
      </c>
      <c r="AQ114" s="108"/>
      <c r="AR114" s="127">
        <f>AR113*0.2</f>
        <v>2231.4105270848154</v>
      </c>
      <c r="AS114" s="184"/>
      <c r="AT114" s="127">
        <f>AT113*0.2</f>
        <v>553.90066826799591</v>
      </c>
      <c r="AU114" s="108"/>
      <c r="AV114" s="127">
        <f>AV113*0.2</f>
        <v>1677.5098588168194</v>
      </c>
      <c r="AW114" s="108"/>
      <c r="AX114" s="127">
        <f>AX113*0.2</f>
        <v>209.66518324917149</v>
      </c>
      <c r="AY114" s="108"/>
      <c r="AZ114" s="127">
        <f>AZ113*0.2</f>
        <v>301.74220781903603</v>
      </c>
      <c r="BA114" s="108"/>
      <c r="BB114" s="127">
        <f>BB113*0.2</f>
        <v>58.569267035131169</v>
      </c>
      <c r="BC114" s="108"/>
      <c r="BD114" s="127">
        <f>BD113*0.2</f>
        <v>256.39716599891568</v>
      </c>
      <c r="BE114" s="108"/>
      <c r="BF114" s="127">
        <f>BF113*0.2</f>
        <v>851.13603471456486</v>
      </c>
      <c r="BG114" s="108"/>
      <c r="BH114" s="127">
        <f>BH113*0.2</f>
        <v>0</v>
      </c>
      <c r="BI114" s="108"/>
    </row>
    <row r="115" spans="1:61" ht="15" x14ac:dyDescent="0.25">
      <c r="A115" s="66" t="s">
        <v>717</v>
      </c>
      <c r="B115" s="178" t="s">
        <v>718</v>
      </c>
      <c r="C115" s="179" t="s">
        <v>638</v>
      </c>
      <c r="D115" s="180">
        <f>D110+D111</f>
        <v>9101.8310943333327</v>
      </c>
      <c r="E115" s="180">
        <v>231620.44032079779</v>
      </c>
      <c r="F115" s="180">
        <f>'[48]Приложение №1'!AT111</f>
        <v>37358.781674451471</v>
      </c>
      <c r="G115" s="180">
        <f>'[48]Приложение №1'!AU111</f>
        <v>11712.991117136142</v>
      </c>
      <c r="H115" s="184"/>
      <c r="I115" s="184"/>
      <c r="J115" s="181">
        <f>J110+J111</f>
        <v>130721.97410438815</v>
      </c>
      <c r="K115" s="184"/>
      <c r="L115" s="181">
        <f>L110+L111</f>
        <v>72192.835682014265</v>
      </c>
      <c r="M115" s="184"/>
      <c r="N115" s="181">
        <f>N110+N111</f>
        <v>74397.14022298214</v>
      </c>
      <c r="O115" s="184"/>
      <c r="P115" s="181">
        <f>P110+P111</f>
        <v>24117.121118872758</v>
      </c>
      <c r="Q115" s="184"/>
      <c r="R115" s="181">
        <f>R110+R111</f>
        <v>16144.168214794203</v>
      </c>
      <c r="S115" s="184"/>
      <c r="T115" s="181">
        <f>T110+T111</f>
        <v>3958.4856532930689</v>
      </c>
      <c r="U115" s="184"/>
      <c r="V115" s="181">
        <f>V110+V111</f>
        <v>8155.1890647245373</v>
      </c>
      <c r="W115" s="184"/>
      <c r="X115" s="181">
        <f>X110+X111</f>
        <v>23348.01523796425</v>
      </c>
      <c r="Y115" s="184"/>
      <c r="Z115" s="181">
        <f>Z110+Z111</f>
        <v>554168.85111699812</v>
      </c>
      <c r="AA115" s="184"/>
      <c r="AB115" s="181">
        <f>AB110+AB111</f>
        <v>124147.17207364494</v>
      </c>
      <c r="AC115" s="184"/>
      <c r="AD115" s="181">
        <f>AD110+AD111</f>
        <v>425397.85707078653</v>
      </c>
      <c r="AE115" s="184"/>
      <c r="AF115" s="181">
        <f>AF110+AF111</f>
        <v>38709.848580213074</v>
      </c>
      <c r="AG115" s="184"/>
      <c r="AH115" s="181">
        <f>AH110+AH111</f>
        <v>115247.80475520511</v>
      </c>
      <c r="AI115" s="184"/>
      <c r="AJ115" s="181">
        <f>AJ110+AJ111</f>
        <v>11963.722989301139</v>
      </c>
      <c r="AK115" s="184"/>
      <c r="AL115" s="181">
        <f>AL110+AL111</f>
        <v>50943.765899904407</v>
      </c>
      <c r="AM115" s="184"/>
      <c r="AN115" s="181">
        <f>AN110+AN111</f>
        <v>199032.99478323932</v>
      </c>
      <c r="AO115" s="184"/>
      <c r="AP115" s="181">
        <f>AP110+AP111</f>
        <v>12019.621134240098</v>
      </c>
      <c r="AQ115" s="184"/>
      <c r="AR115" s="181">
        <f>AR110+AR111</f>
        <v>569017.54387944599</v>
      </c>
      <c r="AS115" s="184"/>
      <c r="AT115" s="181">
        <f>AT110+AT111</f>
        <v>127363.80007770793</v>
      </c>
      <c r="AU115" s="184"/>
      <c r="AV115" s="181">
        <f>AV110+AV111</f>
        <v>355386.89458886959</v>
      </c>
      <c r="AW115" s="184"/>
      <c r="AX115" s="181">
        <f>AX110+AX111</f>
        <v>39837.211029636201</v>
      </c>
      <c r="AY115" s="184"/>
      <c r="AZ115" s="181">
        <f>AZ110+AZ111</f>
        <v>118046.94930039943</v>
      </c>
      <c r="BA115" s="184"/>
      <c r="BB115" s="181">
        <f>BB110+BB111</f>
        <v>11699.439707112011</v>
      </c>
      <c r="BC115" s="184"/>
      <c r="BD115" s="181">
        <f>BD110+BD111</f>
        <v>51626.125224287229</v>
      </c>
      <c r="BE115" s="184"/>
      <c r="BF115" s="181">
        <f>BF110+BF111</f>
        <v>172211.22317060179</v>
      </c>
      <c r="BG115" s="184"/>
      <c r="BH115" s="181">
        <f>BH110+BH111</f>
        <v>9926.2812678290156</v>
      </c>
      <c r="BI115" s="184"/>
    </row>
    <row r="116" spans="1:61" s="190" customFormat="1" ht="31.5" x14ac:dyDescent="0.25">
      <c r="A116" s="185" t="s">
        <v>719</v>
      </c>
      <c r="B116" s="173" t="s">
        <v>720</v>
      </c>
      <c r="C116" s="174" t="s">
        <v>638</v>
      </c>
      <c r="D116" s="186">
        <v>4037.47</v>
      </c>
      <c r="E116" s="187">
        <v>231620.44032079776</v>
      </c>
      <c r="F116" s="187">
        <f>'[48]Приложение №1'!AT112</f>
        <v>37358.781674451464</v>
      </c>
      <c r="G116" s="187">
        <f>'[48]Приложение №1'!AU112</f>
        <v>11712.991117136142</v>
      </c>
      <c r="H116" s="188"/>
      <c r="I116" s="188"/>
      <c r="J116" s="186">
        <f>'[52]Табл.Т.4 Реестр сч'!$G$10/1000</f>
        <v>92573.89038729039</v>
      </c>
      <c r="K116" s="189">
        <f>IF(ISERR(J116/J17*1000),0,J116/J17*1000)</f>
        <v>1823.4860851788544</v>
      </c>
      <c r="L116" s="186">
        <f>IFERROR(((L108+L111)*L17/L16),0)</f>
        <v>72192.835682014265</v>
      </c>
      <c r="M116" s="188"/>
      <c r="N116" s="186">
        <f>IFERROR(((N108+N111)*N17/N16),0)</f>
        <v>74397.14022298214</v>
      </c>
      <c r="O116" s="188"/>
      <c r="P116" s="186">
        <f>IFERROR(((P108+P111)*P17/P16),0)</f>
        <v>24117.121118872758</v>
      </c>
      <c r="Q116" s="188"/>
      <c r="R116" s="186">
        <f>IFERROR(((R108+R111)*R17/R16),0)</f>
        <v>16144.168214794205</v>
      </c>
      <c r="S116" s="188"/>
      <c r="T116" s="186">
        <f>IFERROR(((T108+T111)*T17/T16),0)</f>
        <v>3958.4856532930689</v>
      </c>
      <c r="U116" s="188"/>
      <c r="V116" s="186">
        <f>IFERROR(((V108+V111)*V17/V16),0)</f>
        <v>8155.1890647245373</v>
      </c>
      <c r="W116" s="188"/>
      <c r="X116" s="186">
        <f>IFERROR(((X108+X111)*X17/X16),0)</f>
        <v>23348.01523796425</v>
      </c>
      <c r="Y116" s="188"/>
      <c r="Z116" s="186">
        <f>IFERROR(((Z108+Z111)*Z17/Z16),0)</f>
        <v>554168.85111699812</v>
      </c>
      <c r="AA116" s="150">
        <f>IF(ISERR(Z116/Z17*1000),0,Z116/Z17*1000)</f>
        <v>3434.532919661523</v>
      </c>
      <c r="AB116" s="186">
        <f>IFERROR(((AB108+AB111)*AB17/AB16),0)</f>
        <v>124147.17207364494</v>
      </c>
      <c r="AC116" s="188"/>
      <c r="AD116" s="186">
        <f>IFERROR(((AD108+AD111)*AD17/AD16),0)</f>
        <v>425397.85707078653</v>
      </c>
      <c r="AE116" s="188"/>
      <c r="AF116" s="186">
        <f>IFERROR(((AF108+AF111)*AF17/AF16),0)</f>
        <v>38709.848580213074</v>
      </c>
      <c r="AG116" s="188"/>
      <c r="AH116" s="186">
        <f>IFERROR(((AH108+AH111)*AH17/AH16),0)</f>
        <v>115247.80475520513</v>
      </c>
      <c r="AI116" s="188"/>
      <c r="AJ116" s="186">
        <f>IFERROR(((AJ108+AJ111)*AJ17/AJ16),0)</f>
        <v>11963.722989301139</v>
      </c>
      <c r="AK116" s="188"/>
      <c r="AL116" s="186">
        <f>IFERROR(((AL108+AL111)*AL17/AL16),0)</f>
        <v>50943.765899904407</v>
      </c>
      <c r="AM116" s="188"/>
      <c r="AN116" s="186">
        <f>IFERROR(((AN108+AN111)*AN17/AN16),0)</f>
        <v>199032.99478323932</v>
      </c>
      <c r="AO116" s="188"/>
      <c r="AP116" s="186">
        <f>IFERROR(((AP108+AP111)*AP17/AP16),0)</f>
        <v>12019.621134240098</v>
      </c>
      <c r="AQ116" s="188"/>
      <c r="AR116" s="186">
        <f>IFERROR(((AR108+AR111)*AR17/AR16),0)</f>
        <v>569017.54387944599</v>
      </c>
      <c r="AS116" s="150">
        <f>IF(ISERR(AR116/AR17*1000),0,AR116/AR17*1000)</f>
        <v>3526.5596079240863</v>
      </c>
      <c r="AT116" s="186">
        <f>IFERROR(((AT108+AT111)*AT17/AT16),0)</f>
        <v>127363.80007770793</v>
      </c>
      <c r="AU116" s="188"/>
      <c r="AV116" s="186">
        <f>IFERROR(((AV108+AV111)*AV17/AV16),0)</f>
        <v>355386.89458886959</v>
      </c>
      <c r="AW116" s="188"/>
      <c r="AX116" s="186">
        <f>IFERROR(((AX108+AX111)*AX17/AX16),0)</f>
        <v>39837.211029636201</v>
      </c>
      <c r="AY116" s="188"/>
      <c r="AZ116" s="186">
        <f>IFERROR(((AZ108+AZ111)*AZ17/AZ16),0)</f>
        <v>118046.94930039944</v>
      </c>
      <c r="BA116" s="188"/>
      <c r="BB116" s="186">
        <f>IFERROR(((BB108+BB111)*BB17/BB16),0)</f>
        <v>11699.439707112011</v>
      </c>
      <c r="BC116" s="188"/>
      <c r="BD116" s="186">
        <f>IFERROR(((BD108+BD111)*BD17/BD16),0)</f>
        <v>51626.125224287229</v>
      </c>
      <c r="BE116" s="188"/>
      <c r="BF116" s="186">
        <f>IFERROR(((BF108+BF111)*BF17/BF16),0)</f>
        <v>172211.22317060176</v>
      </c>
      <c r="BG116" s="188"/>
      <c r="BH116" s="186">
        <f>IFERROR(((BH108+BH111)*BH17/BH16),0)</f>
        <v>9926.2812678290156</v>
      </c>
      <c r="BI116" s="188"/>
    </row>
    <row r="117" spans="1:61" ht="45" x14ac:dyDescent="0.25">
      <c r="A117" s="66" t="s">
        <v>721</v>
      </c>
      <c r="B117" s="178" t="s">
        <v>722</v>
      </c>
      <c r="C117" s="179" t="s">
        <v>638</v>
      </c>
      <c r="D117" s="107">
        <f>D116-D115</f>
        <v>-5064.3610943333333</v>
      </c>
      <c r="E117" s="107">
        <v>0</v>
      </c>
      <c r="F117" s="107">
        <f>'[48]Приложение №1'!AT113</f>
        <v>0</v>
      </c>
      <c r="G117" s="107">
        <f>'[48]Приложение №1'!AU113</f>
        <v>0</v>
      </c>
      <c r="H117" s="108"/>
      <c r="I117" s="108"/>
      <c r="J117" s="181">
        <f>J116-J115</f>
        <v>-38148.083717097761</v>
      </c>
      <c r="K117" s="108"/>
      <c r="L117" s="181"/>
      <c r="M117" s="108"/>
      <c r="N117" s="181"/>
      <c r="O117" s="108"/>
      <c r="P117" s="181"/>
      <c r="Q117" s="108"/>
      <c r="R117" s="181"/>
      <c r="S117" s="108"/>
      <c r="T117" s="181"/>
      <c r="U117" s="108"/>
      <c r="V117" s="181"/>
      <c r="W117" s="108"/>
      <c r="X117" s="181"/>
      <c r="Y117" s="108"/>
      <c r="Z117" s="181"/>
      <c r="AA117" s="184"/>
      <c r="AB117" s="181"/>
      <c r="AC117" s="108"/>
      <c r="AD117" s="181"/>
      <c r="AE117" s="108"/>
      <c r="AF117" s="181"/>
      <c r="AG117" s="108"/>
      <c r="AH117" s="181"/>
      <c r="AI117" s="108"/>
      <c r="AJ117" s="181"/>
      <c r="AK117" s="108"/>
      <c r="AL117" s="181"/>
      <c r="AM117" s="108"/>
      <c r="AN117" s="181"/>
      <c r="AO117" s="108"/>
      <c r="AP117" s="181"/>
      <c r="AQ117" s="108"/>
      <c r="AR117" s="181"/>
      <c r="AS117" s="184"/>
      <c r="AT117" s="181"/>
      <c r="AU117" s="108"/>
      <c r="AV117" s="181"/>
      <c r="AW117" s="108"/>
      <c r="AX117" s="181"/>
      <c r="AY117" s="108"/>
      <c r="AZ117" s="181"/>
      <c r="BA117" s="108"/>
      <c r="BB117" s="181"/>
      <c r="BC117" s="108"/>
      <c r="BD117" s="181"/>
      <c r="BE117" s="108"/>
      <c r="BF117" s="181"/>
      <c r="BG117" s="108"/>
      <c r="BH117" s="181"/>
      <c r="BI117" s="108"/>
    </row>
    <row r="118" spans="1:61" ht="60" x14ac:dyDescent="0.25">
      <c r="A118" s="66" t="s">
        <v>723</v>
      </c>
      <c r="B118" s="175" t="s">
        <v>724</v>
      </c>
      <c r="C118" s="179" t="s">
        <v>638</v>
      </c>
      <c r="D118" s="181">
        <f>D116-D117</f>
        <v>9101.8310943333327</v>
      </c>
      <c r="E118" s="180">
        <v>231620.37708687549</v>
      </c>
      <c r="F118" s="180">
        <f>'[48]Приложение №1'!AT114</f>
        <v>37358.781674451464</v>
      </c>
      <c r="G118" s="180">
        <f>'[48]Приложение №1'!AU114</f>
        <v>11712.991117136142</v>
      </c>
      <c r="H118" s="184"/>
      <c r="I118" s="184"/>
      <c r="J118" s="181">
        <f>J116-J117</f>
        <v>130721.97410438815</v>
      </c>
      <c r="K118" s="184"/>
      <c r="L118" s="181">
        <f>L116-L117</f>
        <v>72192.835682014265</v>
      </c>
      <c r="M118" s="184"/>
      <c r="N118" s="181">
        <f>N116-N117</f>
        <v>74397.14022298214</v>
      </c>
      <c r="O118" s="184"/>
      <c r="P118" s="181">
        <f>P116-P117</f>
        <v>24117.121118872758</v>
      </c>
      <c r="Q118" s="184"/>
      <c r="R118" s="181">
        <f>R116-R117</f>
        <v>16144.168214794205</v>
      </c>
      <c r="S118" s="184"/>
      <c r="T118" s="181">
        <f>T116-T117</f>
        <v>3958.4856532930689</v>
      </c>
      <c r="U118" s="184"/>
      <c r="V118" s="181">
        <f>V116-V117</f>
        <v>8155.1890647245373</v>
      </c>
      <c r="W118" s="184"/>
      <c r="X118" s="181">
        <f>X116-X117</f>
        <v>23348.01523796425</v>
      </c>
      <c r="Y118" s="184"/>
      <c r="Z118" s="181">
        <f>Z116-Z117</f>
        <v>554168.85111699812</v>
      </c>
      <c r="AA118" s="184"/>
      <c r="AB118" s="181">
        <f>AB116-AB117</f>
        <v>124147.17207364494</v>
      </c>
      <c r="AC118" s="184"/>
      <c r="AD118" s="181">
        <f>AD116-AD117</f>
        <v>425397.85707078653</v>
      </c>
      <c r="AE118" s="184"/>
      <c r="AF118" s="181">
        <f>AF116-AF117</f>
        <v>38709.848580213074</v>
      </c>
      <c r="AG118" s="184"/>
      <c r="AH118" s="181">
        <f>AH116-AH117</f>
        <v>115247.80475520513</v>
      </c>
      <c r="AI118" s="184"/>
      <c r="AJ118" s="181">
        <f>AJ116-AJ117</f>
        <v>11963.722989301139</v>
      </c>
      <c r="AK118" s="184"/>
      <c r="AL118" s="181">
        <f>AL116-AL117</f>
        <v>50943.765899904407</v>
      </c>
      <c r="AM118" s="184"/>
      <c r="AN118" s="181">
        <f>AN116-AN117</f>
        <v>199032.99478323932</v>
      </c>
      <c r="AO118" s="184"/>
      <c r="AP118" s="181">
        <f>AP116-AP117</f>
        <v>12019.621134240098</v>
      </c>
      <c r="AQ118" s="184"/>
      <c r="AR118" s="181">
        <f>AR116-AR117</f>
        <v>569017.54387944599</v>
      </c>
      <c r="AS118" s="184"/>
      <c r="AT118" s="181">
        <f>AT116-AT117</f>
        <v>127363.80007770793</v>
      </c>
      <c r="AU118" s="184"/>
      <c r="AV118" s="181">
        <f>AV116-AV117</f>
        <v>355386.89458886959</v>
      </c>
      <c r="AW118" s="184"/>
      <c r="AX118" s="181">
        <f>AX116-AX117</f>
        <v>39837.211029636201</v>
      </c>
      <c r="AY118" s="184"/>
      <c r="AZ118" s="181">
        <f>AZ116-AZ117</f>
        <v>118046.94930039944</v>
      </c>
      <c r="BA118" s="184"/>
      <c r="BB118" s="181">
        <f>BB116-BB117</f>
        <v>11699.439707112011</v>
      </c>
      <c r="BC118" s="184"/>
      <c r="BD118" s="181">
        <f>BD116-BD117</f>
        <v>51626.125224287229</v>
      </c>
      <c r="BE118" s="184"/>
      <c r="BF118" s="181">
        <f>BF116-BF117</f>
        <v>172211.22317060176</v>
      </c>
      <c r="BG118" s="184"/>
      <c r="BH118" s="181">
        <f>BH116-BH117</f>
        <v>9926.2812678290156</v>
      </c>
      <c r="BI118" s="184"/>
    </row>
    <row r="119" spans="1:61" ht="15" x14ac:dyDescent="0.25">
      <c r="A119" s="66" t="s">
        <v>725</v>
      </c>
      <c r="B119" s="191" t="s">
        <v>726</v>
      </c>
      <c r="C119" s="192" t="s">
        <v>670</v>
      </c>
      <c r="D119" s="180">
        <f>D110/D17*1000</f>
        <v>4389.1321366111788</v>
      </c>
      <c r="E119" s="180">
        <v>1845.5796765738253</v>
      </c>
      <c r="F119" s="180">
        <f>'[48]Приложение №1'!AT115</f>
        <v>1847.6463834926735</v>
      </c>
      <c r="G119" s="180">
        <f>'[48]Приложение №1'!AU115</f>
        <v>2034.4166514056892</v>
      </c>
      <c r="H119" s="184"/>
      <c r="I119" s="184"/>
      <c r="J119" s="181">
        <f>J110/J17*1000</f>
        <v>2574.9128594382641</v>
      </c>
      <c r="K119" s="184"/>
      <c r="L119" s="181">
        <f>L110/L17*1000</f>
        <v>2941.2126843951173</v>
      </c>
      <c r="M119" s="184"/>
      <c r="N119" s="181">
        <f>N110/N17*1000</f>
        <v>2712.8690674209402</v>
      </c>
      <c r="O119" s="184"/>
      <c r="P119" s="181">
        <f>P110/P17*1000</f>
        <v>2026.0563513093216</v>
      </c>
      <c r="Q119" s="184"/>
      <c r="R119" s="181">
        <f>R110/R17*1000</f>
        <v>3041.78427051779</v>
      </c>
      <c r="S119" s="184"/>
      <c r="T119" s="181">
        <f>T110/T17*1000</f>
        <v>6266.2321839254873</v>
      </c>
      <c r="U119" s="184"/>
      <c r="V119" s="181">
        <f>V110/V17*1000</f>
        <v>4116.8105164863273</v>
      </c>
      <c r="W119" s="184"/>
      <c r="X119" s="181">
        <f>X110/X17*1000</f>
        <v>3069.5999333439627</v>
      </c>
      <c r="Y119" s="184"/>
      <c r="Z119" s="181">
        <f>Z110/Z17*1000</f>
        <v>3343.6186252201978</v>
      </c>
      <c r="AA119" s="184"/>
      <c r="AB119" s="181">
        <f>AB110/AB17*1000</f>
        <v>3589.6249950392848</v>
      </c>
      <c r="AC119" s="184"/>
      <c r="AD119" s="181">
        <f>AD110/AD17*1000</f>
        <v>3242.5621563681275</v>
      </c>
      <c r="AE119" s="184"/>
      <c r="AF119" s="181">
        <f>AF110/AF17*1000</f>
        <v>3782.0363625444684</v>
      </c>
      <c r="AG119" s="184"/>
      <c r="AH119" s="181">
        <f>AH110/AH17*1000</f>
        <v>2606.0471093294791</v>
      </c>
      <c r="AI119" s="184"/>
      <c r="AJ119" s="181">
        <f>AJ110/AJ17*1000</f>
        <v>4124.6516942487369</v>
      </c>
      <c r="AK119" s="184"/>
      <c r="AL119" s="181">
        <f>AL110/AL17*1000</f>
        <v>3938.7545205021802</v>
      </c>
      <c r="AM119" s="184"/>
      <c r="AN119" s="181">
        <f>AN110/AN17*1000</f>
        <v>3512.9895230917032</v>
      </c>
      <c r="AO119" s="184"/>
      <c r="AP119" s="181">
        <f>AP110/AP17*1000</f>
        <v>2876.1400425341658</v>
      </c>
      <c r="AQ119" s="184"/>
      <c r="AR119" s="181">
        <f>AR110/AR17*1000</f>
        <v>3443.5828809163741</v>
      </c>
      <c r="AS119" s="184"/>
      <c r="AT119" s="181">
        <f>AT110/AT17*1000</f>
        <v>3685.1897044349407</v>
      </c>
      <c r="AU119" s="184"/>
      <c r="AV119" s="181">
        <f>AV110/AV17*1000</f>
        <v>2704.3158003303929</v>
      </c>
      <c r="AW119" s="184"/>
      <c r="AX119" s="181">
        <f>AX110/AX17*1000</f>
        <v>3895.8818715337252</v>
      </c>
      <c r="AY119" s="184"/>
      <c r="AZ119" s="181">
        <f>AZ110/AZ17*1000</f>
        <v>2692.3138401246529</v>
      </c>
      <c r="BA119" s="184"/>
      <c r="BB119" s="181">
        <f>BB110/BB17*1000</f>
        <v>4030.7791802594102</v>
      </c>
      <c r="BC119" s="184"/>
      <c r="BD119" s="181">
        <f>BD110/BD17*1000</f>
        <v>3993.1543796986343</v>
      </c>
      <c r="BE119" s="184"/>
      <c r="BF119" s="181">
        <f>BF110/BF17*1000</f>
        <v>3027.1108069825391</v>
      </c>
      <c r="BG119" s="184"/>
      <c r="BH119" s="181">
        <f>BH110/BH17*1000</f>
        <v>2447.6137092811459</v>
      </c>
      <c r="BI119" s="184"/>
    </row>
    <row r="120" spans="1:61" s="83" customFormat="1" ht="28.5" customHeight="1" x14ac:dyDescent="0.25">
      <c r="A120" s="80">
        <v>15</v>
      </c>
      <c r="B120" s="193" t="s">
        <v>727</v>
      </c>
      <c r="C120" s="194" t="s">
        <v>728</v>
      </c>
      <c r="D120" s="167">
        <f>D118/D17*1000</f>
        <v>4389.1321366111788</v>
      </c>
      <c r="E120" s="167">
        <v>1845.5791727182861</v>
      </c>
      <c r="F120" s="167">
        <f>'[48]Приложение №1'!AT116</f>
        <v>1847.6463834926731</v>
      </c>
      <c r="G120" s="167">
        <f>'[48]Приложение №1'!AU116</f>
        <v>2034.4166514056892</v>
      </c>
      <c r="H120" s="168"/>
      <c r="I120" s="168"/>
      <c r="J120" s="169">
        <f>J118/J17*1000</f>
        <v>2574.9128594382641</v>
      </c>
      <c r="K120" s="168"/>
      <c r="L120" s="169">
        <f>L118/L17*1000</f>
        <v>3014.2465278351119</v>
      </c>
      <c r="M120" s="168"/>
      <c r="N120" s="169">
        <f>N118/N17*1000</f>
        <v>2774.2537352057279</v>
      </c>
      <c r="O120" s="168"/>
      <c r="P120" s="169">
        <f>P118/P17*1000</f>
        <v>2087.1095922071909</v>
      </c>
      <c r="Q120" s="168"/>
      <c r="R120" s="169">
        <f>R118/R17*1000</f>
        <v>3085.0629235815104</v>
      </c>
      <c r="S120" s="168"/>
      <c r="T120" s="169">
        <f>T118/T17*1000</f>
        <v>6511.2454943252669</v>
      </c>
      <c r="U120" s="168"/>
      <c r="V120" s="169">
        <f>V118/V17*1000</f>
        <v>4227.8195298050678</v>
      </c>
      <c r="W120" s="168"/>
      <c r="X120" s="169">
        <f>X118/X17*1000</f>
        <v>3116.4648139851938</v>
      </c>
      <c r="Y120" s="168"/>
      <c r="Z120" s="169">
        <f>Z118/Z17*1000</f>
        <v>3434.532919661523</v>
      </c>
      <c r="AA120" s="168"/>
      <c r="AB120" s="169">
        <f>AB118/AB17*1000</f>
        <v>3688.3619761205214</v>
      </c>
      <c r="AC120" s="168"/>
      <c r="AD120" s="169">
        <f>AD118/AD17*1000</f>
        <v>3331.4144321364042</v>
      </c>
      <c r="AE120" s="168"/>
      <c r="AF120" s="169">
        <f>AF118/AF17*1000</f>
        <v>3909.0732681104209</v>
      </c>
      <c r="AG120" s="168"/>
      <c r="AH120" s="169">
        <f>AH118/AH17*1000</f>
        <v>2669.4133970078419</v>
      </c>
      <c r="AI120" s="168"/>
      <c r="AJ120" s="169">
        <f>AJ118/AJ17*1000</f>
        <v>4249.473308999959</v>
      </c>
      <c r="AK120" s="168"/>
      <c r="AL120" s="169">
        <f>AL118/AL17*1000</f>
        <v>4061.3993139150334</v>
      </c>
      <c r="AM120" s="168"/>
      <c r="AN120" s="169">
        <f>AN118/AN17*1000</f>
        <v>3605.4999410656983</v>
      </c>
      <c r="AO120" s="168"/>
      <c r="AP120" s="169">
        <f>AP118/AP17*1000</f>
        <v>2963.7876133814002</v>
      </c>
      <c r="AQ120" s="168"/>
      <c r="AR120" s="169">
        <f>AR118/AR17*1000</f>
        <v>3526.5596079240863</v>
      </c>
      <c r="AS120" s="168"/>
      <c r="AT120" s="169">
        <f>AT118/AT17*1000</f>
        <v>3783.9266855161777</v>
      </c>
      <c r="AU120" s="168"/>
      <c r="AV120" s="169">
        <f>AV118/AV17*1000</f>
        <v>2783.1382080246121</v>
      </c>
      <c r="AW120" s="168"/>
      <c r="AX120" s="169">
        <f>AX118/AX17*1000</f>
        <v>4022.9187770996778</v>
      </c>
      <c r="AY120" s="168"/>
      <c r="AZ120" s="169">
        <f>AZ118/AZ17*1000</f>
        <v>2734.2482454023461</v>
      </c>
      <c r="BA120" s="168"/>
      <c r="BB120" s="169">
        <f>BB118/BB17*1000</f>
        <v>4155.6007950106323</v>
      </c>
      <c r="BC120" s="168"/>
      <c r="BD120" s="169">
        <f>BD118/BD17*1000</f>
        <v>4115.799173111488</v>
      </c>
      <c r="BE120" s="168"/>
      <c r="BF120" s="169">
        <f>BF118/BF17*1000</f>
        <v>3119.6212249565338</v>
      </c>
      <c r="BG120" s="168"/>
      <c r="BH120" s="169">
        <f>BH118/BH17*1000</f>
        <v>2447.6137092811459</v>
      </c>
      <c r="BI120" s="168"/>
    </row>
    <row r="121" spans="1:61" ht="25.5" customHeight="1" x14ac:dyDescent="0.25">
      <c r="B121" s="196" t="s">
        <v>729</v>
      </c>
      <c r="C121" s="196"/>
      <c r="D121" s="196"/>
      <c r="E121" s="197">
        <f>E120*1.2</f>
        <v>2214.6950072619434</v>
      </c>
      <c r="F121" s="197">
        <f>F120*1.2</f>
        <v>2217.1756601912075</v>
      </c>
      <c r="G121" s="197">
        <f>G120*1.2</f>
        <v>2441.2999816868269</v>
      </c>
      <c r="H121" s="197"/>
      <c r="I121" s="197"/>
      <c r="J121" s="198">
        <f>J120*1.2</f>
        <v>3089.8954313259169</v>
      </c>
      <c r="K121" s="197"/>
      <c r="L121" s="198">
        <f>L120*1.2</f>
        <v>3617.0958334021343</v>
      </c>
      <c r="M121" s="197"/>
      <c r="N121" s="198">
        <f>N120*1.2</f>
        <v>3329.1044822468734</v>
      </c>
      <c r="O121" s="197"/>
      <c r="P121" s="198">
        <f>P120*1.2</f>
        <v>2504.5315106486291</v>
      </c>
      <c r="Q121" s="197"/>
      <c r="R121" s="198">
        <f>R120*1.2</f>
        <v>3702.0755082978121</v>
      </c>
      <c r="S121" s="197"/>
      <c r="T121" s="198">
        <f>T120*1.2</f>
        <v>7813.4945931903203</v>
      </c>
      <c r="U121" s="197"/>
      <c r="V121" s="198">
        <f>V120*1.2</f>
        <v>5073.3834357660808</v>
      </c>
      <c r="W121" s="197"/>
      <c r="X121" s="198">
        <f>X120*1.2</f>
        <v>3739.7577767822322</v>
      </c>
      <c r="Y121" s="197"/>
      <c r="Z121" s="198">
        <f>Z120*1.2</f>
        <v>4121.4395035938278</v>
      </c>
      <c r="AA121" s="197"/>
      <c r="AB121" s="198"/>
      <c r="AC121" s="197"/>
      <c r="AD121" s="198"/>
      <c r="AE121" s="197"/>
      <c r="AF121" s="198"/>
      <c r="AG121" s="197"/>
      <c r="AH121" s="198"/>
      <c r="AI121" s="197"/>
      <c r="AJ121" s="198"/>
      <c r="AK121" s="197"/>
      <c r="AL121" s="198"/>
      <c r="AM121" s="197"/>
      <c r="AN121" s="198"/>
      <c r="AO121" s="197"/>
      <c r="AP121" s="198"/>
      <c r="AQ121" s="197"/>
      <c r="AR121" s="198">
        <f>AR120*1.2</f>
        <v>4231.8715295089032</v>
      </c>
      <c r="AS121" s="199"/>
      <c r="AT121" s="200"/>
      <c r="AU121" s="199"/>
      <c r="AV121" s="200"/>
      <c r="AW121" s="199"/>
      <c r="AX121" s="200"/>
      <c r="AY121" s="199"/>
      <c r="AZ121" s="200"/>
      <c r="BA121" s="199"/>
      <c r="BB121" s="200"/>
      <c r="BC121" s="199"/>
      <c r="BD121" s="200"/>
      <c r="BE121" s="199"/>
      <c r="BF121" s="200"/>
      <c r="BG121" s="199"/>
      <c r="BH121" s="198"/>
      <c r="BI121" s="197"/>
    </row>
    <row r="122" spans="1:61" ht="15" customHeight="1" x14ac:dyDescent="0.25">
      <c r="B122" s="45" t="s">
        <v>5</v>
      </c>
      <c r="C122" s="201"/>
      <c r="D122" s="201"/>
      <c r="E122" s="202"/>
      <c r="F122" s="202"/>
      <c r="G122" s="202"/>
      <c r="H122" s="202"/>
      <c r="I122" s="202"/>
      <c r="J122" s="201" t="s">
        <v>730</v>
      </c>
      <c r="Z122" s="201"/>
      <c r="AR122" s="201"/>
    </row>
    <row r="123" spans="1:61" s="46" customFormat="1" ht="20.25" customHeight="1" x14ac:dyDescent="0.25">
      <c r="B123" s="45"/>
      <c r="C123" s="204"/>
      <c r="D123" s="204"/>
      <c r="E123" s="205"/>
      <c r="F123" s="205"/>
      <c r="G123" s="205"/>
      <c r="H123" s="205"/>
      <c r="I123" s="205"/>
      <c r="K123" s="205"/>
      <c r="M123" s="205"/>
      <c r="O123" s="205"/>
      <c r="Q123" s="205"/>
      <c r="S123" s="205"/>
      <c r="U123" s="205"/>
      <c r="W123" s="205"/>
      <c r="Y123" s="205"/>
      <c r="AA123" s="205"/>
      <c r="AC123" s="205"/>
      <c r="AE123" s="205"/>
      <c r="AG123" s="205"/>
      <c r="AI123" s="205"/>
      <c r="AK123" s="205"/>
      <c r="AM123" s="205"/>
      <c r="AO123" s="205"/>
      <c r="AQ123" s="205"/>
      <c r="AS123" s="205"/>
      <c r="AU123" s="205"/>
      <c r="AW123" s="205"/>
      <c r="AY123" s="205"/>
      <c r="BA123" s="205"/>
      <c r="BC123" s="205"/>
      <c r="BE123" s="205"/>
      <c r="BG123" s="205"/>
      <c r="BI123" s="205"/>
    </row>
    <row r="124" spans="1:61" s="46" customFormat="1" ht="15" x14ac:dyDescent="0.25">
      <c r="K124" s="202"/>
      <c r="L124" s="201"/>
      <c r="M124" s="202"/>
      <c r="N124" s="201"/>
      <c r="O124" s="202"/>
      <c r="P124" s="201"/>
      <c r="Q124" s="202"/>
      <c r="R124" s="201"/>
      <c r="S124" s="202"/>
      <c r="T124" s="201"/>
      <c r="U124" s="202"/>
      <c r="V124" s="201"/>
      <c r="W124" s="202"/>
      <c r="X124" s="201"/>
      <c r="Y124" s="202"/>
      <c r="AA124" s="202"/>
      <c r="AB124" s="201"/>
      <c r="AC124" s="202"/>
      <c r="AD124" s="201"/>
      <c r="AE124" s="202"/>
      <c r="AF124" s="201"/>
      <c r="AG124" s="202"/>
      <c r="AH124" s="201"/>
      <c r="AI124" s="202"/>
      <c r="AJ124" s="201"/>
      <c r="AK124" s="202"/>
      <c r="AL124" s="201"/>
      <c r="AM124" s="202"/>
      <c r="AN124" s="201"/>
      <c r="AO124" s="202"/>
      <c r="AP124" s="201"/>
      <c r="AQ124" s="202"/>
      <c r="AS124" s="202"/>
      <c r="AT124" s="201"/>
      <c r="AU124" s="202"/>
      <c r="AV124" s="201"/>
      <c r="AW124" s="202"/>
      <c r="AX124" s="201"/>
      <c r="AY124" s="202"/>
      <c r="AZ124" s="201"/>
      <c r="BA124" s="202"/>
      <c r="BB124" s="201"/>
      <c r="BC124" s="202"/>
      <c r="BD124" s="201"/>
      <c r="BE124" s="202"/>
      <c r="BF124" s="201"/>
      <c r="BG124" s="202"/>
      <c r="BH124" s="201"/>
      <c r="BI124" s="202"/>
    </row>
    <row r="125" spans="1:61" s="46" customFormat="1" ht="7.15" customHeight="1" x14ac:dyDescent="0.25">
      <c r="B125" s="45"/>
      <c r="E125" s="47"/>
      <c r="F125" s="47"/>
      <c r="G125" s="47"/>
      <c r="H125" s="47"/>
      <c r="I125" s="47"/>
      <c r="K125" s="47"/>
      <c r="M125" s="47"/>
      <c r="O125" s="47"/>
      <c r="Q125" s="47"/>
      <c r="S125" s="47"/>
      <c r="U125" s="47"/>
      <c r="W125" s="47"/>
      <c r="Y125" s="47"/>
      <c r="AA125" s="47"/>
      <c r="AC125" s="47"/>
      <c r="AE125" s="47"/>
      <c r="AG125" s="47"/>
      <c r="AI125" s="47"/>
      <c r="AK125" s="47"/>
      <c r="AM125" s="47"/>
      <c r="AO125" s="47"/>
      <c r="AQ125" s="47"/>
      <c r="AS125" s="47"/>
      <c r="AU125" s="47"/>
      <c r="AW125" s="47"/>
      <c r="AY125" s="47"/>
      <c r="BA125" s="47"/>
      <c r="BC125" s="47"/>
      <c r="BE125" s="47"/>
      <c r="BG125" s="47"/>
      <c r="BI125" s="47"/>
    </row>
    <row r="126" spans="1:61" s="46" customFormat="1" ht="15.75" x14ac:dyDescent="0.25">
      <c r="B126" s="45"/>
      <c r="E126" s="47"/>
      <c r="F126" s="47"/>
      <c r="G126" s="47"/>
      <c r="H126" s="47"/>
      <c r="I126" s="47"/>
      <c r="K126" s="47"/>
      <c r="M126" s="47"/>
      <c r="O126" s="47"/>
      <c r="Q126" s="47"/>
      <c r="S126" s="47"/>
      <c r="U126" s="47"/>
      <c r="W126" s="47"/>
      <c r="Y126" s="47"/>
      <c r="AA126" s="47"/>
      <c r="AC126" s="47"/>
      <c r="AE126" s="47"/>
      <c r="AG126" s="47"/>
      <c r="AI126" s="47"/>
      <c r="AK126" s="47"/>
      <c r="AM126" s="47"/>
      <c r="AO126" s="47"/>
      <c r="AQ126" s="47"/>
      <c r="AS126" s="47"/>
      <c r="AU126" s="47"/>
      <c r="AW126" s="47"/>
      <c r="AY126" s="47"/>
      <c r="BA126" s="47"/>
      <c r="BC126" s="47"/>
      <c r="BE126" s="47"/>
      <c r="BG126" s="47"/>
      <c r="BI126" s="47"/>
    </row>
    <row r="127" spans="1:61" s="46" customFormat="1" ht="15.75" x14ac:dyDescent="0.25">
      <c r="B127" s="45"/>
      <c r="E127" s="47"/>
      <c r="F127" s="47"/>
      <c r="G127" s="47"/>
      <c r="H127" s="47"/>
      <c r="I127" s="47"/>
      <c r="K127" s="47"/>
      <c r="M127" s="47"/>
      <c r="O127" s="47"/>
      <c r="Q127" s="47"/>
      <c r="S127" s="47"/>
      <c r="U127" s="47"/>
      <c r="W127" s="47"/>
      <c r="Y127" s="47"/>
      <c r="AA127" s="47"/>
      <c r="AC127" s="47"/>
      <c r="AE127" s="47"/>
      <c r="AG127" s="47"/>
      <c r="AI127" s="47"/>
      <c r="AK127" s="47"/>
      <c r="AM127" s="47"/>
      <c r="AO127" s="47"/>
      <c r="AQ127" s="47"/>
      <c r="AS127" s="47"/>
      <c r="AU127" s="47"/>
      <c r="AW127" s="47"/>
      <c r="AY127" s="47"/>
      <c r="BA127" s="47"/>
      <c r="BC127" s="47"/>
      <c r="BE127" s="47"/>
      <c r="BG127" s="47"/>
      <c r="BI127" s="47"/>
    </row>
    <row r="129" spans="10:60" x14ac:dyDescent="0.25">
      <c r="J129" s="206"/>
      <c r="L129" s="206"/>
      <c r="N129" s="206"/>
      <c r="P129" s="206"/>
      <c r="R129" s="206"/>
      <c r="T129" s="206"/>
      <c r="V129" s="206"/>
      <c r="X129" s="206"/>
      <c r="Z129" s="206"/>
      <c r="AB129" s="206"/>
      <c r="AD129" s="206"/>
      <c r="AF129" s="206"/>
      <c r="AH129" s="206"/>
      <c r="AJ129" s="206"/>
      <c r="AL129" s="206"/>
      <c r="AN129" s="206"/>
      <c r="AP129" s="206"/>
      <c r="AR129" s="206"/>
      <c r="AT129" s="206"/>
      <c r="AV129" s="206"/>
      <c r="AX129" s="206"/>
      <c r="AZ129" s="206"/>
      <c r="BB129" s="206"/>
      <c r="BD129" s="206"/>
      <c r="BF129" s="206"/>
      <c r="BH129" s="206"/>
    </row>
    <row r="130" spans="10:60" x14ac:dyDescent="0.25">
      <c r="J130" s="195"/>
      <c r="L130" s="195"/>
      <c r="N130" s="195"/>
      <c r="P130" s="195"/>
      <c r="R130" s="195"/>
      <c r="T130" s="195"/>
      <c r="V130" s="195"/>
      <c r="X130" s="195"/>
      <c r="Z130" s="195"/>
      <c r="AB130" s="195"/>
      <c r="AD130" s="195"/>
      <c r="AF130" s="195"/>
      <c r="AH130" s="195"/>
      <c r="AJ130" s="195"/>
      <c r="AL130" s="195"/>
      <c r="AN130" s="195"/>
      <c r="AP130" s="195"/>
      <c r="AR130" s="195"/>
      <c r="AT130" s="195"/>
      <c r="AV130" s="195"/>
      <c r="AX130" s="195"/>
      <c r="AZ130" s="195"/>
      <c r="BB130" s="195"/>
      <c r="BD130" s="195"/>
      <c r="BF130" s="195"/>
      <c r="BH130" s="195"/>
    </row>
  </sheetData>
  <mergeCells count="61">
    <mergeCell ref="A2:Y2"/>
    <mergeCell ref="A3:AA3"/>
    <mergeCell ref="A4:Y4"/>
    <mergeCell ref="A7:A9"/>
    <mergeCell ref="B7:B9"/>
    <mergeCell ref="C7:C9"/>
    <mergeCell ref="E7:G7"/>
    <mergeCell ref="N7:Y7"/>
    <mergeCell ref="R8:R9"/>
    <mergeCell ref="T8:T9"/>
    <mergeCell ref="AD7:AO7"/>
    <mergeCell ref="AV7:BG7"/>
    <mergeCell ref="D8:D9"/>
    <mergeCell ref="E8:E9"/>
    <mergeCell ref="F8:F9"/>
    <mergeCell ref="G8:G9"/>
    <mergeCell ref="J8:J9"/>
    <mergeCell ref="L8:L9"/>
    <mergeCell ref="N8:N9"/>
    <mergeCell ref="P8:P9"/>
    <mergeCell ref="BF8:BF9"/>
    <mergeCell ref="B45:B47"/>
    <mergeCell ref="AT8:AT9"/>
    <mergeCell ref="AV8:AV9"/>
    <mergeCell ref="AX8:AX9"/>
    <mergeCell ref="AZ8:AZ9"/>
    <mergeCell ref="AH8:AH9"/>
    <mergeCell ref="AJ8:AJ9"/>
    <mergeCell ref="AL8:AL9"/>
    <mergeCell ref="AN8:AN9"/>
    <mergeCell ref="AP8:AP9"/>
    <mergeCell ref="AR8:AR9"/>
    <mergeCell ref="V8:V9"/>
    <mergeCell ref="X8:X9"/>
    <mergeCell ref="Z8:Z9"/>
    <mergeCell ref="AB8:AB9"/>
    <mergeCell ref="AD8:AD9"/>
    <mergeCell ref="BH8:BH9"/>
    <mergeCell ref="A25:A26"/>
    <mergeCell ref="B25:B26"/>
    <mergeCell ref="B27:B29"/>
    <mergeCell ref="BB8:BB9"/>
    <mergeCell ref="BD8:BD9"/>
    <mergeCell ref="AF8:AF9"/>
    <mergeCell ref="A81:A83"/>
    <mergeCell ref="B48:B50"/>
    <mergeCell ref="B51:B53"/>
    <mergeCell ref="B54:B56"/>
    <mergeCell ref="B57:B59"/>
    <mergeCell ref="B60:B62"/>
    <mergeCell ref="B66:B68"/>
    <mergeCell ref="A69:A71"/>
    <mergeCell ref="B69:B71"/>
    <mergeCell ref="A72:A74"/>
    <mergeCell ref="A75:A77"/>
    <mergeCell ref="A78:A80"/>
    <mergeCell ref="A84:A86"/>
    <mergeCell ref="B84:B86"/>
    <mergeCell ref="A91:A93"/>
    <mergeCell ref="B91:B93"/>
    <mergeCell ref="A100:A103"/>
  </mergeCells>
  <printOptions horizontalCentered="1"/>
  <pageMargins left="0.39370078740157483" right="0" top="0.59055118110236227" bottom="0" header="0.15748031496062992" footer="0.15748031496062992"/>
  <pageSetup paperSize="8" fitToHeight="0" pageOrder="overThenDown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9"/>
  <sheetViews>
    <sheetView zoomScale="82" zoomScaleNormal="82" zoomScaleSheetLayoutView="112" workbookViewId="0">
      <selection activeCell="G33" sqref="G33"/>
    </sheetView>
  </sheetViews>
  <sheetFormatPr defaultRowHeight="15" x14ac:dyDescent="0.25"/>
  <cols>
    <col min="1" max="1" width="5.28515625" customWidth="1"/>
    <col min="2" max="2" width="45.5703125" customWidth="1"/>
    <col min="3" max="3" width="12" customWidth="1"/>
    <col min="4" max="4" width="12.5703125" customWidth="1"/>
    <col min="5" max="5" width="14.5703125" customWidth="1"/>
  </cols>
  <sheetData>
    <row r="1" spans="1:19" x14ac:dyDescent="0.25">
      <c r="A1" s="1"/>
      <c r="B1" s="1"/>
      <c r="C1" s="443" t="s">
        <v>6</v>
      </c>
      <c r="D1" s="443"/>
      <c r="E1" s="44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/>
      <c r="C2" s="443" t="s">
        <v>5</v>
      </c>
      <c r="D2" s="443"/>
      <c r="E2" s="44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1"/>
      <c r="B3" s="1"/>
      <c r="C3" s="443" t="s">
        <v>21</v>
      </c>
      <c r="D3" s="443"/>
      <c r="E3" s="44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"/>
      <c r="B4" s="1"/>
      <c r="C4" s="443" t="s">
        <v>22</v>
      </c>
      <c r="D4" s="443"/>
      <c r="E4" s="44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25">
      <c r="A5" s="1"/>
      <c r="B5" s="1"/>
      <c r="C5" s="443" t="s">
        <v>9</v>
      </c>
      <c r="D5" s="443"/>
      <c r="E5" s="44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442" t="s">
        <v>19</v>
      </c>
      <c r="B6" s="442"/>
      <c r="C6" s="442"/>
      <c r="D6" s="442"/>
      <c r="E6" s="44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5" customHeight="1" x14ac:dyDescent="0.25">
      <c r="A7" s="435" t="s">
        <v>20</v>
      </c>
      <c r="B7" s="435"/>
      <c r="C7" s="435"/>
      <c r="D7" s="435"/>
      <c r="E7" s="43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5" customHeight="1" x14ac:dyDescent="0.25">
      <c r="A8" s="5"/>
      <c r="B8" s="5"/>
      <c r="C8" s="5"/>
      <c r="D8" s="5"/>
      <c r="E8" s="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25">
      <c r="A9" s="436" t="s">
        <v>0</v>
      </c>
      <c r="B9" s="436" t="s">
        <v>1</v>
      </c>
      <c r="C9" s="438" t="s">
        <v>2</v>
      </c>
      <c r="D9" s="438" t="s">
        <v>3</v>
      </c>
      <c r="E9" s="440" t="s">
        <v>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25">
      <c r="A10" s="437"/>
      <c r="B10" s="437"/>
      <c r="C10" s="439"/>
      <c r="D10" s="439"/>
      <c r="E10" s="44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s="11" t="s">
        <v>15</v>
      </c>
      <c r="B11" s="11" t="s">
        <v>16</v>
      </c>
      <c r="C11" s="7">
        <v>3</v>
      </c>
      <c r="D11" s="7">
        <v>4</v>
      </c>
      <c r="E11" s="12">
        <v>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30" x14ac:dyDescent="0.25">
      <c r="A12" s="2" t="s">
        <v>15</v>
      </c>
      <c r="B12" s="8" t="s">
        <v>10</v>
      </c>
      <c r="C12" s="9" t="e">
        <f>Газ!#REF!</f>
        <v>#REF!</v>
      </c>
      <c r="D12" s="9" t="e">
        <f>C12*0.2</f>
        <v>#REF!</v>
      </c>
      <c r="E12" s="10" t="e">
        <f>C12+D12</f>
        <v>#REF!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30" x14ac:dyDescent="0.25">
      <c r="A13" s="2" t="s">
        <v>16</v>
      </c>
      <c r="B13" s="8" t="s">
        <v>11</v>
      </c>
      <c r="C13" s="9">
        <f>Электрика!M568</f>
        <v>0</v>
      </c>
      <c r="D13" s="9">
        <f t="shared" ref="D13:D15" si="0">C13*0.2</f>
        <v>0</v>
      </c>
      <c r="E13" s="10">
        <f t="shared" ref="E13:E16" si="1">C13+D13</f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30" x14ac:dyDescent="0.25">
      <c r="A14" s="2" t="s">
        <v>17</v>
      </c>
      <c r="B14" s="8" t="s">
        <v>12</v>
      </c>
      <c r="C14" s="9">
        <f>КИПиА!L862</f>
        <v>0</v>
      </c>
      <c r="D14" s="9">
        <f>C14*0.2</f>
        <v>0</v>
      </c>
      <c r="E14" s="10">
        <f t="shared" si="1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30" x14ac:dyDescent="0.25">
      <c r="A15" s="2" t="s">
        <v>18</v>
      </c>
      <c r="B15" s="8" t="s">
        <v>13</v>
      </c>
      <c r="C15" s="9">
        <f>Метрология!P799</f>
        <v>0</v>
      </c>
      <c r="D15" s="9">
        <f t="shared" si="0"/>
        <v>0</v>
      </c>
      <c r="E15" s="10">
        <f t="shared" si="1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25">
      <c r="A16" s="2"/>
      <c r="B16" s="3" t="s">
        <v>14</v>
      </c>
      <c r="C16" s="6" t="e">
        <f>C12+C13+C14+C15</f>
        <v>#REF!</v>
      </c>
      <c r="D16" s="6" t="e">
        <f>C16*0.2</f>
        <v>#REF!</v>
      </c>
      <c r="E16" s="4" t="e">
        <f t="shared" si="1"/>
        <v>#REF!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</sheetData>
  <mergeCells count="12">
    <mergeCell ref="A6:E6"/>
    <mergeCell ref="C1:E1"/>
    <mergeCell ref="C2:E2"/>
    <mergeCell ref="C3:E3"/>
    <mergeCell ref="C4:E4"/>
    <mergeCell ref="C5:E5"/>
    <mergeCell ref="A7:E7"/>
    <mergeCell ref="B9:B10"/>
    <mergeCell ref="A9:A10"/>
    <mergeCell ref="C9:C10"/>
    <mergeCell ref="D9:D10"/>
    <mergeCell ref="E9:E10"/>
  </mergeCells>
  <phoneticPr fontId="1" type="noConversion"/>
  <pageMargins left="0.25" right="0.25" top="0.75" bottom="0.75" header="0.3" footer="0.3"/>
  <pageSetup paperSize="9" orientation="portrait" r:id="rId1"/>
  <rowBreaks count="1" manualBreakCount="1">
    <brk id="1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1:Q179"/>
  <sheetViews>
    <sheetView view="pageBreakPreview" zoomScale="60" zoomScaleNormal="55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B5" sqref="B5:B22"/>
    </sheetView>
  </sheetViews>
  <sheetFormatPr defaultColWidth="9.140625" defaultRowHeight="15.75" x14ac:dyDescent="0.25"/>
  <cols>
    <col min="1" max="1" width="4.85546875" style="22" customWidth="1"/>
    <col min="2" max="2" width="33.5703125" style="16" customWidth="1"/>
    <col min="3" max="3" width="27.7109375" style="17" customWidth="1"/>
    <col min="4" max="4" width="6.7109375" style="41" customWidth="1"/>
    <col min="5" max="5" width="16.140625" style="41" hidden="1" customWidth="1"/>
    <col min="6" max="6" width="9.140625" style="17"/>
    <col min="7" max="7" width="15.140625" style="17" customWidth="1"/>
    <col min="8" max="8" width="17.85546875" style="17" customWidth="1"/>
    <col min="9" max="9" width="12.140625" style="17" customWidth="1"/>
    <col min="10" max="10" width="9.140625" style="17"/>
    <col min="11" max="11" width="18" style="38" customWidth="1"/>
    <col min="12" max="12" width="26.7109375" style="17" customWidth="1"/>
    <col min="13" max="14" width="9.140625" style="41"/>
    <col min="15" max="15" width="11.85546875" style="17" customWidth="1"/>
    <col min="16" max="16" width="18.140625" style="17" customWidth="1"/>
    <col min="17" max="17" width="11.42578125" style="17" hidden="1" customWidth="1"/>
    <col min="18" max="16384" width="9.140625" style="17"/>
  </cols>
  <sheetData>
    <row r="1" spans="1:17" ht="15.75" customHeight="1" x14ac:dyDescent="0.25">
      <c r="A1" s="17"/>
      <c r="D1" s="17"/>
      <c r="E1" s="17"/>
      <c r="G1" s="22" t="s">
        <v>554</v>
      </c>
      <c r="L1" s="13"/>
      <c r="M1" s="14"/>
    </row>
    <row r="2" spans="1:17" x14ac:dyDescent="0.25">
      <c r="B2" s="44"/>
    </row>
    <row r="3" spans="1:17" ht="21.75" customHeight="1" x14ac:dyDescent="0.25">
      <c r="A3" s="478" t="s">
        <v>24</v>
      </c>
      <c r="B3" s="479" t="s">
        <v>25</v>
      </c>
      <c r="C3" s="479" t="s">
        <v>26</v>
      </c>
      <c r="D3" s="478" t="s">
        <v>282</v>
      </c>
      <c r="E3" s="478" t="s">
        <v>29</v>
      </c>
      <c r="F3" s="478" t="s">
        <v>30</v>
      </c>
      <c r="G3" s="477" t="s">
        <v>555</v>
      </c>
      <c r="H3" s="478" t="s">
        <v>34</v>
      </c>
      <c r="I3" s="482" t="s">
        <v>32</v>
      </c>
      <c r="J3" s="483"/>
      <c r="K3" s="484"/>
      <c r="L3" s="479" t="s">
        <v>33</v>
      </c>
      <c r="M3" s="479"/>
      <c r="N3" s="479"/>
      <c r="O3" s="479"/>
      <c r="P3" s="479"/>
      <c r="Q3" s="478" t="s">
        <v>283</v>
      </c>
    </row>
    <row r="4" spans="1:17" ht="187.5" customHeight="1" x14ac:dyDescent="0.25">
      <c r="A4" s="478"/>
      <c r="B4" s="479"/>
      <c r="C4" s="479"/>
      <c r="D4" s="478"/>
      <c r="E4" s="478"/>
      <c r="F4" s="478"/>
      <c r="G4" s="478"/>
      <c r="H4" s="478"/>
      <c r="I4" s="262" t="s">
        <v>556</v>
      </c>
      <c r="J4" s="262" t="s">
        <v>36</v>
      </c>
      <c r="K4" s="263" t="s">
        <v>557</v>
      </c>
      <c r="L4" s="261" t="s">
        <v>38</v>
      </c>
      <c r="M4" s="480" t="s">
        <v>39</v>
      </c>
      <c r="N4" s="481"/>
      <c r="O4" s="262" t="s">
        <v>40</v>
      </c>
      <c r="P4" s="262" t="s">
        <v>381</v>
      </c>
      <c r="Q4" s="478"/>
    </row>
    <row r="5" spans="1:17" s="265" customFormat="1" x14ac:dyDescent="0.25">
      <c r="A5" s="446">
        <v>1</v>
      </c>
      <c r="B5" s="462" t="s">
        <v>1027</v>
      </c>
      <c r="C5" s="463" t="s">
        <v>558</v>
      </c>
      <c r="D5" s="220" t="s">
        <v>44</v>
      </c>
      <c r="E5" s="220"/>
      <c r="F5" s="220">
        <v>4.26</v>
      </c>
      <c r="G5" s="220">
        <v>12</v>
      </c>
      <c r="H5" s="220">
        <f>F5*G5</f>
        <v>51.12</v>
      </c>
      <c r="I5" s="220">
        <v>6</v>
      </c>
      <c r="J5" s="220">
        <v>314.91000000000003</v>
      </c>
      <c r="K5" s="264">
        <f>H5*J5</f>
        <v>16098.199200000001</v>
      </c>
      <c r="L5" s="220" t="s">
        <v>559</v>
      </c>
      <c r="M5" s="220" t="s">
        <v>560</v>
      </c>
      <c r="N5" s="220">
        <v>1.3</v>
      </c>
      <c r="O5" s="220">
        <v>270.39999999999998</v>
      </c>
      <c r="P5" s="412">
        <f>O5*N5</f>
        <v>351.52</v>
      </c>
      <c r="Q5" s="220"/>
    </row>
    <row r="6" spans="1:17" s="265" customFormat="1" x14ac:dyDescent="0.25">
      <c r="A6" s="444"/>
      <c r="B6" s="462"/>
      <c r="C6" s="464"/>
      <c r="D6" s="220" t="s">
        <v>43</v>
      </c>
      <c r="E6" s="220"/>
      <c r="F6" s="220">
        <v>5.89</v>
      </c>
      <c r="G6" s="220">
        <v>1</v>
      </c>
      <c r="H6" s="220">
        <f t="shared" ref="H6:H69" si="0">F6*G6</f>
        <v>5.89</v>
      </c>
      <c r="I6" s="220">
        <v>6</v>
      </c>
      <c r="J6" s="220">
        <v>314.91000000000003</v>
      </c>
      <c r="K6" s="264">
        <f t="shared" ref="K6:K69" si="1">H6*J6</f>
        <v>1854.8199</v>
      </c>
      <c r="L6" s="220" t="s">
        <v>561</v>
      </c>
      <c r="M6" s="220" t="s">
        <v>560</v>
      </c>
      <c r="N6" s="220">
        <v>0.8</v>
      </c>
      <c r="O6" s="220">
        <v>2907</v>
      </c>
      <c r="P6" s="412">
        <f>O6*N6</f>
        <v>2325.6</v>
      </c>
      <c r="Q6" s="220"/>
    </row>
    <row r="7" spans="1:17" s="265" customFormat="1" x14ac:dyDescent="0.25">
      <c r="A7" s="444"/>
      <c r="B7" s="462"/>
      <c r="C7" s="463" t="s">
        <v>562</v>
      </c>
      <c r="D7" s="220" t="s">
        <v>44</v>
      </c>
      <c r="E7" s="220"/>
      <c r="F7" s="220">
        <v>2.11</v>
      </c>
      <c r="G7" s="220">
        <v>12</v>
      </c>
      <c r="H7" s="220">
        <f t="shared" si="0"/>
        <v>25.32</v>
      </c>
      <c r="I7" s="220">
        <v>6</v>
      </c>
      <c r="J7" s="220">
        <v>314.91000000000003</v>
      </c>
      <c r="K7" s="264">
        <f t="shared" si="1"/>
        <v>7973.521200000001</v>
      </c>
      <c r="L7" s="220" t="s">
        <v>563</v>
      </c>
      <c r="M7" s="220" t="s">
        <v>560</v>
      </c>
      <c r="N7" s="220">
        <v>0.1</v>
      </c>
      <c r="O7" s="220">
        <v>3625</v>
      </c>
      <c r="P7" s="412">
        <f>O7*N7</f>
        <v>362.5</v>
      </c>
      <c r="Q7" s="220"/>
    </row>
    <row r="8" spans="1:17" s="265" customFormat="1" x14ac:dyDescent="0.25">
      <c r="A8" s="444"/>
      <c r="B8" s="462"/>
      <c r="C8" s="464"/>
      <c r="D8" s="220" t="s">
        <v>43</v>
      </c>
      <c r="E8" s="220"/>
      <c r="F8" s="220">
        <v>1.51</v>
      </c>
      <c r="G8" s="220">
        <v>1</v>
      </c>
      <c r="H8" s="220">
        <f t="shared" si="0"/>
        <v>1.51</v>
      </c>
      <c r="I8" s="220">
        <v>6</v>
      </c>
      <c r="J8" s="220">
        <v>314.91000000000003</v>
      </c>
      <c r="K8" s="264">
        <f t="shared" si="1"/>
        <v>475.51410000000004</v>
      </c>
      <c r="L8" s="220" t="s">
        <v>564</v>
      </c>
      <c r="M8" s="220" t="s">
        <v>560</v>
      </c>
      <c r="N8" s="220">
        <v>0.6</v>
      </c>
      <c r="O8" s="220">
        <v>1264</v>
      </c>
      <c r="P8" s="412">
        <f t="shared" ref="P8:P71" si="2">O8*N8</f>
        <v>758.4</v>
      </c>
      <c r="Q8" s="220"/>
    </row>
    <row r="9" spans="1:17" s="265" customFormat="1" x14ac:dyDescent="0.25">
      <c r="A9" s="444"/>
      <c r="B9" s="462"/>
      <c r="C9" s="463" t="s">
        <v>565</v>
      </c>
      <c r="D9" s="220" t="s">
        <v>44</v>
      </c>
      <c r="E9" s="220"/>
      <c r="F9" s="220">
        <v>2.11</v>
      </c>
      <c r="G9" s="220">
        <v>12</v>
      </c>
      <c r="H9" s="220">
        <f t="shared" si="0"/>
        <v>25.32</v>
      </c>
      <c r="I9" s="220">
        <v>6</v>
      </c>
      <c r="J9" s="220">
        <v>314.91000000000003</v>
      </c>
      <c r="K9" s="264">
        <f t="shared" si="1"/>
        <v>7973.521200000001</v>
      </c>
      <c r="L9" s="220" t="s">
        <v>566</v>
      </c>
      <c r="M9" s="220" t="s">
        <v>8</v>
      </c>
      <c r="N9" s="220">
        <v>0.4</v>
      </c>
      <c r="O9" s="220">
        <v>5600</v>
      </c>
      <c r="P9" s="412">
        <f t="shared" si="2"/>
        <v>2240</v>
      </c>
      <c r="Q9" s="220"/>
    </row>
    <row r="10" spans="1:17" s="265" customFormat="1" x14ac:dyDescent="0.25">
      <c r="A10" s="444"/>
      <c r="B10" s="462"/>
      <c r="C10" s="464"/>
      <c r="D10" s="220" t="s">
        <v>567</v>
      </c>
      <c r="E10" s="220"/>
      <c r="F10" s="220">
        <v>1.51</v>
      </c>
      <c r="G10" s="220">
        <v>1</v>
      </c>
      <c r="H10" s="220">
        <f t="shared" si="0"/>
        <v>1.51</v>
      </c>
      <c r="I10" s="220">
        <v>6</v>
      </c>
      <c r="J10" s="220">
        <v>314.91000000000003</v>
      </c>
      <c r="K10" s="264">
        <f t="shared" si="1"/>
        <v>475.51410000000004</v>
      </c>
      <c r="L10" s="220" t="s">
        <v>568</v>
      </c>
      <c r="M10" s="220" t="s">
        <v>560</v>
      </c>
      <c r="N10" s="220">
        <v>3</v>
      </c>
      <c r="O10" s="220">
        <v>1248</v>
      </c>
      <c r="P10" s="412">
        <f t="shared" si="2"/>
        <v>3744</v>
      </c>
      <c r="Q10" s="220"/>
    </row>
    <row r="11" spans="1:17" s="265" customFormat="1" x14ac:dyDescent="0.25">
      <c r="A11" s="444"/>
      <c r="B11" s="462"/>
      <c r="C11" s="463" t="s">
        <v>569</v>
      </c>
      <c r="D11" s="220" t="s">
        <v>44</v>
      </c>
      <c r="E11" s="220"/>
      <c r="F11" s="220">
        <v>2.11</v>
      </c>
      <c r="G11" s="220">
        <v>12</v>
      </c>
      <c r="H11" s="220">
        <f t="shared" si="0"/>
        <v>25.32</v>
      </c>
      <c r="I11" s="220">
        <v>6</v>
      </c>
      <c r="J11" s="220">
        <v>314.91000000000003</v>
      </c>
      <c r="K11" s="264">
        <f t="shared" si="1"/>
        <v>7973.521200000001</v>
      </c>
      <c r="L11" s="220" t="s">
        <v>570</v>
      </c>
      <c r="M11" s="220" t="s">
        <v>560</v>
      </c>
      <c r="N11" s="220">
        <v>2.5</v>
      </c>
      <c r="O11" s="220">
        <v>222.16</v>
      </c>
      <c r="P11" s="412">
        <f t="shared" si="2"/>
        <v>555.4</v>
      </c>
      <c r="Q11" s="220"/>
    </row>
    <row r="12" spans="1:17" s="265" customFormat="1" x14ac:dyDescent="0.25">
      <c r="A12" s="444"/>
      <c r="B12" s="462"/>
      <c r="C12" s="464"/>
      <c r="D12" s="220" t="s">
        <v>43</v>
      </c>
      <c r="E12" s="220"/>
      <c r="F12" s="220">
        <v>1.51</v>
      </c>
      <c r="G12" s="220">
        <v>1</v>
      </c>
      <c r="H12" s="220">
        <f t="shared" si="0"/>
        <v>1.51</v>
      </c>
      <c r="I12" s="220">
        <v>6</v>
      </c>
      <c r="J12" s="220">
        <v>314.91000000000003</v>
      </c>
      <c r="K12" s="264">
        <f t="shared" si="1"/>
        <v>475.51410000000004</v>
      </c>
      <c r="L12" s="220"/>
      <c r="M12" s="220"/>
      <c r="N12" s="220"/>
      <c r="O12" s="220"/>
      <c r="P12" s="412">
        <f t="shared" si="2"/>
        <v>0</v>
      </c>
      <c r="Q12" s="220"/>
    </row>
    <row r="13" spans="1:17" s="265" customFormat="1" x14ac:dyDescent="0.25">
      <c r="A13" s="444"/>
      <c r="B13" s="462"/>
      <c r="C13" s="463" t="s">
        <v>571</v>
      </c>
      <c r="D13" s="220" t="s">
        <v>44</v>
      </c>
      <c r="E13" s="220"/>
      <c r="F13" s="220">
        <v>2.11</v>
      </c>
      <c r="G13" s="220">
        <v>12</v>
      </c>
      <c r="H13" s="220">
        <f t="shared" si="0"/>
        <v>25.32</v>
      </c>
      <c r="I13" s="220">
        <v>6</v>
      </c>
      <c r="J13" s="220">
        <v>314.91000000000003</v>
      </c>
      <c r="K13" s="264">
        <f t="shared" si="1"/>
        <v>7973.521200000001</v>
      </c>
      <c r="L13" s="220"/>
      <c r="M13" s="220"/>
      <c r="N13" s="220"/>
      <c r="O13" s="220"/>
      <c r="P13" s="412">
        <f t="shared" si="2"/>
        <v>0</v>
      </c>
      <c r="Q13" s="220"/>
    </row>
    <row r="14" spans="1:17" s="265" customFormat="1" x14ac:dyDescent="0.25">
      <c r="A14" s="444"/>
      <c r="B14" s="462"/>
      <c r="C14" s="464"/>
      <c r="D14" s="220" t="s">
        <v>43</v>
      </c>
      <c r="E14" s="220"/>
      <c r="F14" s="220">
        <v>1.51</v>
      </c>
      <c r="G14" s="220">
        <v>1</v>
      </c>
      <c r="H14" s="220">
        <f t="shared" si="0"/>
        <v>1.51</v>
      </c>
      <c r="I14" s="220">
        <v>6</v>
      </c>
      <c r="J14" s="220">
        <v>314.91000000000003</v>
      </c>
      <c r="K14" s="264">
        <f t="shared" si="1"/>
        <v>475.51410000000004</v>
      </c>
      <c r="L14" s="220"/>
      <c r="M14" s="220"/>
      <c r="N14" s="220"/>
      <c r="O14" s="220"/>
      <c r="P14" s="412">
        <f t="shared" si="2"/>
        <v>0</v>
      </c>
      <c r="Q14" s="220"/>
    </row>
    <row r="15" spans="1:17" s="265" customFormat="1" x14ac:dyDescent="0.25">
      <c r="A15" s="444"/>
      <c r="B15" s="462"/>
      <c r="C15" s="463" t="s">
        <v>572</v>
      </c>
      <c r="D15" s="220" t="s">
        <v>44</v>
      </c>
      <c r="E15" s="220"/>
      <c r="F15" s="220">
        <v>5.56</v>
      </c>
      <c r="G15" s="220">
        <v>2</v>
      </c>
      <c r="H15" s="220">
        <f t="shared" si="0"/>
        <v>11.12</v>
      </c>
      <c r="I15" s="220">
        <v>6</v>
      </c>
      <c r="J15" s="220">
        <v>314.91000000000003</v>
      </c>
      <c r="K15" s="264">
        <f t="shared" si="1"/>
        <v>3501.7991999999999</v>
      </c>
      <c r="L15" s="220"/>
      <c r="M15" s="220"/>
      <c r="N15" s="220"/>
      <c r="O15" s="220"/>
      <c r="P15" s="412">
        <f t="shared" si="2"/>
        <v>0</v>
      </c>
      <c r="Q15" s="220"/>
    </row>
    <row r="16" spans="1:17" s="265" customFormat="1" x14ac:dyDescent="0.25">
      <c r="A16" s="444"/>
      <c r="B16" s="462"/>
      <c r="C16" s="465"/>
      <c r="D16" s="220" t="s">
        <v>43</v>
      </c>
      <c r="E16" s="220"/>
      <c r="F16" s="220">
        <v>13.1</v>
      </c>
      <c r="G16" s="220">
        <v>1</v>
      </c>
      <c r="H16" s="220">
        <f t="shared" si="0"/>
        <v>13.1</v>
      </c>
      <c r="I16" s="220">
        <v>6</v>
      </c>
      <c r="J16" s="220">
        <v>314.91000000000003</v>
      </c>
      <c r="K16" s="264">
        <f t="shared" si="1"/>
        <v>4125.3209999999999</v>
      </c>
      <c r="L16" s="220"/>
      <c r="M16" s="220"/>
      <c r="N16" s="220"/>
      <c r="O16" s="220"/>
      <c r="P16" s="412">
        <f t="shared" si="2"/>
        <v>0</v>
      </c>
      <c r="Q16" s="220"/>
    </row>
    <row r="17" spans="1:17" s="265" customFormat="1" x14ac:dyDescent="0.25">
      <c r="A17" s="444"/>
      <c r="B17" s="462"/>
      <c r="C17" s="465"/>
      <c r="D17" s="220" t="s">
        <v>573</v>
      </c>
      <c r="E17" s="220"/>
      <c r="F17" s="220">
        <v>0.72</v>
      </c>
      <c r="G17" s="220">
        <v>12</v>
      </c>
      <c r="H17" s="220">
        <f t="shared" si="0"/>
        <v>8.64</v>
      </c>
      <c r="I17" s="220">
        <v>6</v>
      </c>
      <c r="J17" s="220">
        <v>314.91000000000003</v>
      </c>
      <c r="K17" s="264">
        <f t="shared" si="1"/>
        <v>2720.8224000000005</v>
      </c>
      <c r="L17" s="220"/>
      <c r="M17" s="220"/>
      <c r="N17" s="220"/>
      <c r="O17" s="220"/>
      <c r="P17" s="412">
        <f t="shared" si="2"/>
        <v>0</v>
      </c>
      <c r="Q17" s="220"/>
    </row>
    <row r="18" spans="1:17" s="265" customFormat="1" ht="78.75" x14ac:dyDescent="0.25">
      <c r="A18" s="444"/>
      <c r="B18" s="462"/>
      <c r="C18" s="464"/>
      <c r="D18" s="281" t="s">
        <v>574</v>
      </c>
      <c r="E18" s="220"/>
      <c r="F18" s="220">
        <v>2.5499999999999998</v>
      </c>
      <c r="G18" s="220">
        <v>4</v>
      </c>
      <c r="H18" s="220">
        <f t="shared" si="0"/>
        <v>10.199999999999999</v>
      </c>
      <c r="I18" s="220">
        <v>6</v>
      </c>
      <c r="J18" s="220">
        <v>314.91000000000003</v>
      </c>
      <c r="K18" s="264">
        <f t="shared" si="1"/>
        <v>3212.0819999999999</v>
      </c>
      <c r="L18" s="220"/>
      <c r="M18" s="220"/>
      <c r="N18" s="220"/>
      <c r="O18" s="220"/>
      <c r="P18" s="412">
        <f t="shared" si="2"/>
        <v>0</v>
      </c>
      <c r="Q18" s="220"/>
    </row>
    <row r="19" spans="1:17" s="265" customFormat="1" x14ac:dyDescent="0.25">
      <c r="A19" s="444"/>
      <c r="B19" s="462"/>
      <c r="C19" s="463" t="s">
        <v>575</v>
      </c>
      <c r="D19" s="220" t="s">
        <v>44</v>
      </c>
      <c r="E19" s="220"/>
      <c r="F19" s="220">
        <v>10.4</v>
      </c>
      <c r="G19" s="220">
        <v>2</v>
      </c>
      <c r="H19" s="220">
        <f t="shared" si="0"/>
        <v>20.8</v>
      </c>
      <c r="I19" s="220">
        <v>6</v>
      </c>
      <c r="J19" s="220">
        <v>314.91000000000003</v>
      </c>
      <c r="K19" s="264">
        <f t="shared" si="1"/>
        <v>6550.1280000000006</v>
      </c>
      <c r="L19" s="220"/>
      <c r="M19" s="220"/>
      <c r="N19" s="220"/>
      <c r="O19" s="220"/>
      <c r="P19" s="412">
        <f t="shared" si="2"/>
        <v>0</v>
      </c>
      <c r="Q19" s="220"/>
    </row>
    <row r="20" spans="1:17" s="265" customFormat="1" x14ac:dyDescent="0.25">
      <c r="A20" s="444"/>
      <c r="B20" s="462"/>
      <c r="C20" s="465"/>
      <c r="D20" s="220" t="s">
        <v>43</v>
      </c>
      <c r="E20" s="220"/>
      <c r="F20" s="220">
        <v>25.5</v>
      </c>
      <c r="G20" s="220">
        <v>1</v>
      </c>
      <c r="H20" s="220">
        <f t="shared" si="0"/>
        <v>25.5</v>
      </c>
      <c r="I20" s="220">
        <v>6</v>
      </c>
      <c r="J20" s="220">
        <v>314.91000000000003</v>
      </c>
      <c r="K20" s="264">
        <f t="shared" si="1"/>
        <v>8030.2050000000008</v>
      </c>
      <c r="L20" s="220"/>
      <c r="M20" s="220"/>
      <c r="N20" s="220"/>
      <c r="O20" s="220"/>
      <c r="P20" s="412">
        <f t="shared" si="2"/>
        <v>0</v>
      </c>
      <c r="Q20" s="220"/>
    </row>
    <row r="21" spans="1:17" s="265" customFormat="1" x14ac:dyDescent="0.25">
      <c r="A21" s="444"/>
      <c r="B21" s="462"/>
      <c r="C21" s="465"/>
      <c r="D21" s="220" t="s">
        <v>573</v>
      </c>
      <c r="E21" s="220"/>
      <c r="F21" s="220">
        <v>1.33</v>
      </c>
      <c r="G21" s="220">
        <v>12</v>
      </c>
      <c r="H21" s="220">
        <f t="shared" si="0"/>
        <v>15.96</v>
      </c>
      <c r="I21" s="220">
        <v>6</v>
      </c>
      <c r="J21" s="220">
        <v>314.91000000000003</v>
      </c>
      <c r="K21" s="264">
        <f t="shared" si="1"/>
        <v>5025.963600000001</v>
      </c>
      <c r="L21" s="220"/>
      <c r="M21" s="220"/>
      <c r="N21" s="220"/>
      <c r="O21" s="220"/>
      <c r="P21" s="412">
        <f t="shared" si="2"/>
        <v>0</v>
      </c>
      <c r="Q21" s="220"/>
    </row>
    <row r="22" spans="1:17" s="265" customFormat="1" ht="78.75" x14ac:dyDescent="0.25">
      <c r="A22" s="444"/>
      <c r="B22" s="462"/>
      <c r="C22" s="464"/>
      <c r="D22" s="281" t="s">
        <v>574</v>
      </c>
      <c r="E22" s="220"/>
      <c r="F22" s="220">
        <v>4.2</v>
      </c>
      <c r="G22" s="220">
        <v>4</v>
      </c>
      <c r="H22" s="220">
        <f t="shared" si="0"/>
        <v>16.8</v>
      </c>
      <c r="I22" s="220">
        <v>6</v>
      </c>
      <c r="J22" s="220">
        <v>314.91000000000003</v>
      </c>
      <c r="K22" s="264">
        <f t="shared" si="1"/>
        <v>5290.4880000000003</v>
      </c>
      <c r="L22" s="220"/>
      <c r="M22" s="220"/>
      <c r="N22" s="220"/>
      <c r="O22" s="220"/>
      <c r="P22" s="412">
        <f t="shared" si="2"/>
        <v>0</v>
      </c>
      <c r="Q22" s="220"/>
    </row>
    <row r="23" spans="1:17" s="265" customFormat="1" x14ac:dyDescent="0.25">
      <c r="A23" s="444">
        <v>2</v>
      </c>
      <c r="B23" s="462" t="s">
        <v>1028</v>
      </c>
      <c r="C23" s="463" t="s">
        <v>558</v>
      </c>
      <c r="D23" s="220" t="s">
        <v>44</v>
      </c>
      <c r="E23" s="220"/>
      <c r="F23" s="220">
        <v>4.26</v>
      </c>
      <c r="G23" s="220">
        <v>12</v>
      </c>
      <c r="H23" s="220">
        <f t="shared" si="0"/>
        <v>51.12</v>
      </c>
      <c r="I23" s="220">
        <v>6</v>
      </c>
      <c r="J23" s="220">
        <v>314.91000000000003</v>
      </c>
      <c r="K23" s="264">
        <f t="shared" si="1"/>
        <v>16098.199200000001</v>
      </c>
      <c r="L23" s="220" t="s">
        <v>559</v>
      </c>
      <c r="M23" s="220" t="s">
        <v>560</v>
      </c>
      <c r="N23" s="220">
        <v>1.3</v>
      </c>
      <c r="O23" s="220">
        <v>270.39999999999998</v>
      </c>
      <c r="P23" s="412">
        <f>O23*N23</f>
        <v>351.52</v>
      </c>
      <c r="Q23" s="220"/>
    </row>
    <row r="24" spans="1:17" s="265" customFormat="1" x14ac:dyDescent="0.25">
      <c r="A24" s="444"/>
      <c r="B24" s="462"/>
      <c r="C24" s="464"/>
      <c r="D24" s="220" t="s">
        <v>43</v>
      </c>
      <c r="E24" s="220"/>
      <c r="F24" s="220">
        <v>5.89</v>
      </c>
      <c r="G24" s="220">
        <v>1</v>
      </c>
      <c r="H24" s="220">
        <f t="shared" si="0"/>
        <v>5.89</v>
      </c>
      <c r="I24" s="220">
        <v>6</v>
      </c>
      <c r="J24" s="220">
        <v>314.91000000000003</v>
      </c>
      <c r="K24" s="264">
        <f t="shared" si="1"/>
        <v>1854.8199</v>
      </c>
      <c r="L24" s="220" t="s">
        <v>561</v>
      </c>
      <c r="M24" s="220" t="s">
        <v>560</v>
      </c>
      <c r="N24" s="220">
        <v>0.8</v>
      </c>
      <c r="O24" s="220">
        <v>2907</v>
      </c>
      <c r="P24" s="412">
        <f>O24*N24</f>
        <v>2325.6</v>
      </c>
      <c r="Q24" s="220"/>
    </row>
    <row r="25" spans="1:17" s="265" customFormat="1" x14ac:dyDescent="0.25">
      <c r="A25" s="444"/>
      <c r="B25" s="462"/>
      <c r="C25" s="463" t="s">
        <v>562</v>
      </c>
      <c r="D25" s="220" t="s">
        <v>44</v>
      </c>
      <c r="E25" s="220"/>
      <c r="F25" s="220">
        <v>2.11</v>
      </c>
      <c r="G25" s="220">
        <v>12</v>
      </c>
      <c r="H25" s="220">
        <f t="shared" si="0"/>
        <v>25.32</v>
      </c>
      <c r="I25" s="220">
        <v>6</v>
      </c>
      <c r="J25" s="220">
        <v>314.91000000000003</v>
      </c>
      <c r="K25" s="264">
        <f t="shared" si="1"/>
        <v>7973.521200000001</v>
      </c>
      <c r="L25" s="220" t="s">
        <v>327</v>
      </c>
      <c r="M25" s="220" t="s">
        <v>560</v>
      </c>
      <c r="N25" s="220">
        <v>0.1</v>
      </c>
      <c r="O25" s="220">
        <v>3625</v>
      </c>
      <c r="P25" s="412">
        <f>O25*N25</f>
        <v>362.5</v>
      </c>
      <c r="Q25" s="220"/>
    </row>
    <row r="26" spans="1:17" s="265" customFormat="1" x14ac:dyDescent="0.25">
      <c r="A26" s="444"/>
      <c r="B26" s="462"/>
      <c r="C26" s="464"/>
      <c r="D26" s="220" t="s">
        <v>43</v>
      </c>
      <c r="E26" s="220"/>
      <c r="F26" s="220">
        <v>1.51</v>
      </c>
      <c r="G26" s="220">
        <v>1</v>
      </c>
      <c r="H26" s="220">
        <f t="shared" si="0"/>
        <v>1.51</v>
      </c>
      <c r="I26" s="220">
        <v>6</v>
      </c>
      <c r="J26" s="220">
        <v>314.91000000000003</v>
      </c>
      <c r="K26" s="264">
        <f t="shared" si="1"/>
        <v>475.51410000000004</v>
      </c>
      <c r="L26" s="220" t="s">
        <v>564</v>
      </c>
      <c r="M26" s="220" t="s">
        <v>560</v>
      </c>
      <c r="N26" s="220">
        <v>0.6</v>
      </c>
      <c r="O26" s="220">
        <v>1264</v>
      </c>
      <c r="P26" s="412">
        <f t="shared" ref="P26:P29" si="3">O26*N26</f>
        <v>758.4</v>
      </c>
      <c r="Q26" s="220"/>
    </row>
    <row r="27" spans="1:17" s="265" customFormat="1" x14ac:dyDescent="0.25">
      <c r="A27" s="444"/>
      <c r="B27" s="462"/>
      <c r="C27" s="463" t="s">
        <v>572</v>
      </c>
      <c r="D27" s="220" t="s">
        <v>44</v>
      </c>
      <c r="E27" s="220"/>
      <c r="F27" s="220">
        <v>5.56</v>
      </c>
      <c r="G27" s="220">
        <v>2</v>
      </c>
      <c r="H27" s="220">
        <f t="shared" si="0"/>
        <v>11.12</v>
      </c>
      <c r="I27" s="220">
        <v>6</v>
      </c>
      <c r="J27" s="220">
        <v>314.91000000000003</v>
      </c>
      <c r="K27" s="264">
        <f t="shared" si="1"/>
        <v>3501.7991999999999</v>
      </c>
      <c r="L27" s="220" t="s">
        <v>566</v>
      </c>
      <c r="M27" s="220" t="s">
        <v>576</v>
      </c>
      <c r="N27" s="220">
        <v>0.4</v>
      </c>
      <c r="O27" s="220">
        <v>5600</v>
      </c>
      <c r="P27" s="412">
        <f t="shared" si="3"/>
        <v>2240</v>
      </c>
      <c r="Q27" s="220"/>
    </row>
    <row r="28" spans="1:17" s="265" customFormat="1" x14ac:dyDescent="0.25">
      <c r="A28" s="444"/>
      <c r="B28" s="462"/>
      <c r="C28" s="465"/>
      <c r="D28" s="220" t="s">
        <v>43</v>
      </c>
      <c r="E28" s="220"/>
      <c r="F28" s="220">
        <v>13.1</v>
      </c>
      <c r="G28" s="220">
        <v>1</v>
      </c>
      <c r="H28" s="220">
        <f t="shared" si="0"/>
        <v>13.1</v>
      </c>
      <c r="I28" s="220">
        <v>6</v>
      </c>
      <c r="J28" s="220">
        <v>314.91000000000003</v>
      </c>
      <c r="K28" s="264">
        <f t="shared" si="1"/>
        <v>4125.3209999999999</v>
      </c>
      <c r="L28" s="220" t="s">
        <v>568</v>
      </c>
      <c r="M28" s="220" t="s">
        <v>560</v>
      </c>
      <c r="N28" s="220">
        <v>3</v>
      </c>
      <c r="O28" s="220">
        <v>1248</v>
      </c>
      <c r="P28" s="412">
        <f t="shared" si="3"/>
        <v>3744</v>
      </c>
      <c r="Q28" s="220"/>
    </row>
    <row r="29" spans="1:17" s="265" customFormat="1" x14ac:dyDescent="0.25">
      <c r="A29" s="444"/>
      <c r="B29" s="462"/>
      <c r="C29" s="465"/>
      <c r="D29" s="220" t="s">
        <v>573</v>
      </c>
      <c r="E29" s="220"/>
      <c r="F29" s="220">
        <v>0.72</v>
      </c>
      <c r="G29" s="220">
        <v>12</v>
      </c>
      <c r="H29" s="220">
        <f t="shared" si="0"/>
        <v>8.64</v>
      </c>
      <c r="I29" s="220">
        <v>6</v>
      </c>
      <c r="J29" s="220">
        <v>314.91000000000003</v>
      </c>
      <c r="K29" s="264">
        <f t="shared" si="1"/>
        <v>2720.8224000000005</v>
      </c>
      <c r="L29" s="220" t="s">
        <v>570</v>
      </c>
      <c r="M29" s="220" t="s">
        <v>560</v>
      </c>
      <c r="N29" s="220">
        <v>2.5</v>
      </c>
      <c r="O29" s="220">
        <v>222.16</v>
      </c>
      <c r="P29" s="412">
        <f t="shared" si="3"/>
        <v>555.4</v>
      </c>
      <c r="Q29" s="220"/>
    </row>
    <row r="30" spans="1:17" s="265" customFormat="1" ht="78.75" x14ac:dyDescent="0.25">
      <c r="A30" s="444"/>
      <c r="B30" s="462"/>
      <c r="C30" s="464"/>
      <c r="D30" s="281" t="s">
        <v>574</v>
      </c>
      <c r="E30" s="220"/>
      <c r="F30" s="220">
        <v>2.5499999999999998</v>
      </c>
      <c r="G30" s="220">
        <v>4</v>
      </c>
      <c r="H30" s="220">
        <f t="shared" si="0"/>
        <v>10.199999999999999</v>
      </c>
      <c r="I30" s="220">
        <v>6</v>
      </c>
      <c r="J30" s="220">
        <v>314.91000000000003</v>
      </c>
      <c r="K30" s="264">
        <f t="shared" si="1"/>
        <v>3212.0819999999999</v>
      </c>
      <c r="L30" s="220"/>
      <c r="M30" s="220"/>
      <c r="N30" s="220"/>
      <c r="O30" s="220"/>
      <c r="P30" s="412">
        <f t="shared" si="2"/>
        <v>0</v>
      </c>
      <c r="Q30" s="220"/>
    </row>
    <row r="31" spans="1:17" s="265" customFormat="1" x14ac:dyDescent="0.25">
      <c r="A31" s="444"/>
      <c r="B31" s="462"/>
      <c r="C31" s="463" t="s">
        <v>575</v>
      </c>
      <c r="D31" s="220" t="s">
        <v>44</v>
      </c>
      <c r="E31" s="220"/>
      <c r="F31" s="220">
        <v>10.4</v>
      </c>
      <c r="G31" s="220">
        <v>2</v>
      </c>
      <c r="H31" s="220">
        <f t="shared" si="0"/>
        <v>20.8</v>
      </c>
      <c r="I31" s="220">
        <v>6</v>
      </c>
      <c r="J31" s="220">
        <v>314.91000000000003</v>
      </c>
      <c r="K31" s="264">
        <f t="shared" si="1"/>
        <v>6550.1280000000006</v>
      </c>
      <c r="L31" s="220"/>
      <c r="M31" s="220"/>
      <c r="N31" s="220"/>
      <c r="O31" s="220"/>
      <c r="P31" s="412">
        <f t="shared" si="2"/>
        <v>0</v>
      </c>
      <c r="Q31" s="220"/>
    </row>
    <row r="32" spans="1:17" s="265" customFormat="1" x14ac:dyDescent="0.25">
      <c r="A32" s="444"/>
      <c r="B32" s="462"/>
      <c r="C32" s="465"/>
      <c r="D32" s="220" t="s">
        <v>43</v>
      </c>
      <c r="E32" s="220"/>
      <c r="F32" s="220">
        <v>25.5</v>
      </c>
      <c r="G32" s="220">
        <v>1</v>
      </c>
      <c r="H32" s="220">
        <f t="shared" si="0"/>
        <v>25.5</v>
      </c>
      <c r="I32" s="220">
        <v>6</v>
      </c>
      <c r="J32" s="220">
        <v>314.91000000000003</v>
      </c>
      <c r="K32" s="264">
        <f t="shared" si="1"/>
        <v>8030.2050000000008</v>
      </c>
      <c r="L32" s="220"/>
      <c r="M32" s="220"/>
      <c r="N32" s="220"/>
      <c r="O32" s="220"/>
      <c r="P32" s="412">
        <f t="shared" si="2"/>
        <v>0</v>
      </c>
      <c r="Q32" s="220"/>
    </row>
    <row r="33" spans="1:17" s="265" customFormat="1" x14ac:dyDescent="0.25">
      <c r="A33" s="444"/>
      <c r="B33" s="462"/>
      <c r="C33" s="465"/>
      <c r="D33" s="220" t="s">
        <v>573</v>
      </c>
      <c r="E33" s="220"/>
      <c r="F33" s="220">
        <v>1.33</v>
      </c>
      <c r="G33" s="220">
        <v>12</v>
      </c>
      <c r="H33" s="220">
        <f t="shared" si="0"/>
        <v>15.96</v>
      </c>
      <c r="I33" s="220">
        <v>6</v>
      </c>
      <c r="J33" s="220">
        <v>314.91000000000003</v>
      </c>
      <c r="K33" s="264">
        <f t="shared" si="1"/>
        <v>5025.963600000001</v>
      </c>
      <c r="L33" s="220"/>
      <c r="M33" s="220"/>
      <c r="N33" s="220"/>
      <c r="O33" s="220"/>
      <c r="P33" s="412">
        <f t="shared" si="2"/>
        <v>0</v>
      </c>
      <c r="Q33" s="220"/>
    </row>
    <row r="34" spans="1:17" s="265" customFormat="1" ht="78.75" x14ac:dyDescent="0.25">
      <c r="A34" s="444"/>
      <c r="B34" s="462"/>
      <c r="C34" s="464"/>
      <c r="D34" s="281" t="s">
        <v>574</v>
      </c>
      <c r="E34" s="220"/>
      <c r="F34" s="220">
        <v>4.2</v>
      </c>
      <c r="G34" s="220">
        <v>4</v>
      </c>
      <c r="H34" s="220">
        <f t="shared" si="0"/>
        <v>16.8</v>
      </c>
      <c r="I34" s="220">
        <v>6</v>
      </c>
      <c r="J34" s="220">
        <v>314.91000000000003</v>
      </c>
      <c r="K34" s="264">
        <f t="shared" si="1"/>
        <v>5290.4880000000003</v>
      </c>
      <c r="L34" s="220"/>
      <c r="M34" s="220"/>
      <c r="N34" s="220"/>
      <c r="O34" s="220"/>
      <c r="P34" s="412">
        <f t="shared" si="2"/>
        <v>0</v>
      </c>
      <c r="Q34" s="220"/>
    </row>
    <row r="35" spans="1:17" s="265" customFormat="1" x14ac:dyDescent="0.25">
      <c r="A35" s="444">
        <v>3</v>
      </c>
      <c r="B35" s="462" t="s">
        <v>1029</v>
      </c>
      <c r="C35" s="463" t="s">
        <v>558</v>
      </c>
      <c r="D35" s="220" t="s">
        <v>44</v>
      </c>
      <c r="E35" s="220"/>
      <c r="F35" s="220">
        <v>4.26</v>
      </c>
      <c r="G35" s="220">
        <v>12</v>
      </c>
      <c r="H35" s="220">
        <f t="shared" si="0"/>
        <v>51.12</v>
      </c>
      <c r="I35" s="220">
        <v>6</v>
      </c>
      <c r="J35" s="220">
        <v>314.91000000000003</v>
      </c>
      <c r="K35" s="264">
        <f t="shared" si="1"/>
        <v>16098.199200000001</v>
      </c>
      <c r="L35" s="220" t="s">
        <v>559</v>
      </c>
      <c r="M35" s="220" t="s">
        <v>560</v>
      </c>
      <c r="N35" s="220">
        <v>1.3</v>
      </c>
      <c r="O35" s="220">
        <v>270.39999999999998</v>
      </c>
      <c r="P35" s="412">
        <f>O35*N35</f>
        <v>351.52</v>
      </c>
      <c r="Q35" s="220"/>
    </row>
    <row r="36" spans="1:17" s="265" customFormat="1" x14ac:dyDescent="0.25">
      <c r="A36" s="444"/>
      <c r="B36" s="462"/>
      <c r="C36" s="464"/>
      <c r="D36" s="220" t="s">
        <v>43</v>
      </c>
      <c r="E36" s="220"/>
      <c r="F36" s="220">
        <v>5.89</v>
      </c>
      <c r="G36" s="220">
        <v>1</v>
      </c>
      <c r="H36" s="220">
        <f t="shared" si="0"/>
        <v>5.89</v>
      </c>
      <c r="I36" s="220">
        <v>6</v>
      </c>
      <c r="J36" s="220">
        <v>314.91000000000003</v>
      </c>
      <c r="K36" s="264">
        <f t="shared" si="1"/>
        <v>1854.8199</v>
      </c>
      <c r="L36" s="220" t="s">
        <v>561</v>
      </c>
      <c r="M36" s="220" t="s">
        <v>560</v>
      </c>
      <c r="N36" s="220">
        <v>0.8</v>
      </c>
      <c r="O36" s="220">
        <v>2907</v>
      </c>
      <c r="P36" s="412">
        <f>O36*N36</f>
        <v>2325.6</v>
      </c>
      <c r="Q36" s="220"/>
    </row>
    <row r="37" spans="1:17" s="265" customFormat="1" x14ac:dyDescent="0.25">
      <c r="A37" s="444"/>
      <c r="B37" s="462"/>
      <c r="C37" s="463" t="s">
        <v>562</v>
      </c>
      <c r="D37" s="220" t="s">
        <v>44</v>
      </c>
      <c r="E37" s="220"/>
      <c r="F37" s="220">
        <v>2.11</v>
      </c>
      <c r="G37" s="220">
        <v>12</v>
      </c>
      <c r="H37" s="220">
        <f t="shared" si="0"/>
        <v>25.32</v>
      </c>
      <c r="I37" s="220">
        <v>6</v>
      </c>
      <c r="J37" s="220">
        <v>314.91000000000003</v>
      </c>
      <c r="K37" s="264">
        <f t="shared" si="1"/>
        <v>7973.521200000001</v>
      </c>
      <c r="L37" s="220" t="s">
        <v>327</v>
      </c>
      <c r="M37" s="220" t="s">
        <v>560</v>
      </c>
      <c r="N37" s="220">
        <v>0.1</v>
      </c>
      <c r="O37" s="220">
        <v>3625</v>
      </c>
      <c r="P37" s="412">
        <f>O37*N37</f>
        <v>362.5</v>
      </c>
      <c r="Q37" s="220"/>
    </row>
    <row r="38" spans="1:17" s="265" customFormat="1" x14ac:dyDescent="0.25">
      <c r="A38" s="444"/>
      <c r="B38" s="462"/>
      <c r="C38" s="464"/>
      <c r="D38" s="220" t="s">
        <v>43</v>
      </c>
      <c r="E38" s="220"/>
      <c r="F38" s="220">
        <v>1.51</v>
      </c>
      <c r="G38" s="220">
        <v>1</v>
      </c>
      <c r="H38" s="220">
        <f t="shared" si="0"/>
        <v>1.51</v>
      </c>
      <c r="I38" s="220">
        <v>6</v>
      </c>
      <c r="J38" s="220">
        <v>314.91000000000003</v>
      </c>
      <c r="K38" s="264">
        <f t="shared" si="1"/>
        <v>475.51410000000004</v>
      </c>
      <c r="L38" s="220" t="s">
        <v>564</v>
      </c>
      <c r="M38" s="220" t="s">
        <v>560</v>
      </c>
      <c r="N38" s="220">
        <v>0.6</v>
      </c>
      <c r="O38" s="220">
        <v>1264</v>
      </c>
      <c r="P38" s="412">
        <f t="shared" ref="P38:P41" si="4">O38*N38</f>
        <v>758.4</v>
      </c>
      <c r="Q38" s="220"/>
    </row>
    <row r="39" spans="1:17" s="265" customFormat="1" x14ac:dyDescent="0.25">
      <c r="A39" s="444"/>
      <c r="B39" s="462"/>
      <c r="C39" s="463" t="s">
        <v>565</v>
      </c>
      <c r="D39" s="220" t="s">
        <v>44</v>
      </c>
      <c r="E39" s="220"/>
      <c r="F39" s="220">
        <v>2.11</v>
      </c>
      <c r="G39" s="220">
        <v>12</v>
      </c>
      <c r="H39" s="220">
        <f t="shared" si="0"/>
        <v>25.32</v>
      </c>
      <c r="I39" s="220">
        <v>6</v>
      </c>
      <c r="J39" s="220">
        <v>314.91000000000003</v>
      </c>
      <c r="K39" s="264">
        <f t="shared" si="1"/>
        <v>7973.521200000001</v>
      </c>
      <c r="L39" s="220" t="s">
        <v>566</v>
      </c>
      <c r="M39" s="220" t="s">
        <v>576</v>
      </c>
      <c r="N39" s="220">
        <v>0.4</v>
      </c>
      <c r="O39" s="220">
        <v>5600</v>
      </c>
      <c r="P39" s="412">
        <f t="shared" si="4"/>
        <v>2240</v>
      </c>
      <c r="Q39" s="220"/>
    </row>
    <row r="40" spans="1:17" s="265" customFormat="1" x14ac:dyDescent="0.25">
      <c r="A40" s="444"/>
      <c r="B40" s="462"/>
      <c r="C40" s="464"/>
      <c r="D40" s="220" t="s">
        <v>567</v>
      </c>
      <c r="E40" s="220"/>
      <c r="F40" s="220">
        <v>1.51</v>
      </c>
      <c r="G40" s="220">
        <v>1</v>
      </c>
      <c r="H40" s="220">
        <f t="shared" si="0"/>
        <v>1.51</v>
      </c>
      <c r="I40" s="220">
        <v>6</v>
      </c>
      <c r="J40" s="220">
        <v>314.91000000000003</v>
      </c>
      <c r="K40" s="264">
        <f t="shared" si="1"/>
        <v>475.51410000000004</v>
      </c>
      <c r="L40" s="220" t="s">
        <v>568</v>
      </c>
      <c r="M40" s="220" t="s">
        <v>560</v>
      </c>
      <c r="N40" s="220">
        <v>3</v>
      </c>
      <c r="O40" s="220">
        <v>1248</v>
      </c>
      <c r="P40" s="412">
        <f t="shared" si="4"/>
        <v>3744</v>
      </c>
      <c r="Q40" s="220"/>
    </row>
    <row r="41" spans="1:17" s="265" customFormat="1" x14ac:dyDescent="0.25">
      <c r="A41" s="444"/>
      <c r="B41" s="462"/>
      <c r="C41" s="463" t="s">
        <v>572</v>
      </c>
      <c r="D41" s="220" t="s">
        <v>44</v>
      </c>
      <c r="E41" s="220"/>
      <c r="F41" s="220">
        <v>5.56</v>
      </c>
      <c r="G41" s="220">
        <v>2</v>
      </c>
      <c r="H41" s="220">
        <f t="shared" si="0"/>
        <v>11.12</v>
      </c>
      <c r="I41" s="220">
        <v>6</v>
      </c>
      <c r="J41" s="220">
        <v>314.91000000000003</v>
      </c>
      <c r="K41" s="264">
        <f t="shared" si="1"/>
        <v>3501.7991999999999</v>
      </c>
      <c r="L41" s="220" t="s">
        <v>570</v>
      </c>
      <c r="M41" s="220" t="s">
        <v>560</v>
      </c>
      <c r="N41" s="220">
        <v>2.5</v>
      </c>
      <c r="O41" s="220">
        <v>222.16</v>
      </c>
      <c r="P41" s="412">
        <f t="shared" si="4"/>
        <v>555.4</v>
      </c>
      <c r="Q41" s="220"/>
    </row>
    <row r="42" spans="1:17" s="265" customFormat="1" x14ac:dyDescent="0.25">
      <c r="A42" s="444"/>
      <c r="B42" s="462"/>
      <c r="C42" s="465"/>
      <c r="D42" s="220" t="s">
        <v>43</v>
      </c>
      <c r="E42" s="220"/>
      <c r="F42" s="220">
        <v>13.1</v>
      </c>
      <c r="G42" s="220">
        <v>1</v>
      </c>
      <c r="H42" s="220">
        <f t="shared" si="0"/>
        <v>13.1</v>
      </c>
      <c r="I42" s="220">
        <v>6</v>
      </c>
      <c r="J42" s="220">
        <v>314.91000000000003</v>
      </c>
      <c r="K42" s="264">
        <f t="shared" si="1"/>
        <v>4125.3209999999999</v>
      </c>
      <c r="L42" s="220"/>
      <c r="M42" s="220"/>
      <c r="N42" s="220"/>
      <c r="O42" s="220"/>
      <c r="P42" s="412">
        <f t="shared" si="2"/>
        <v>0</v>
      </c>
      <c r="Q42" s="220"/>
    </row>
    <row r="43" spans="1:17" s="265" customFormat="1" x14ac:dyDescent="0.25">
      <c r="A43" s="444"/>
      <c r="B43" s="462"/>
      <c r="C43" s="465"/>
      <c r="D43" s="220" t="s">
        <v>573</v>
      </c>
      <c r="E43" s="220"/>
      <c r="F43" s="220">
        <v>0.72</v>
      </c>
      <c r="G43" s="220">
        <v>12</v>
      </c>
      <c r="H43" s="220">
        <f t="shared" si="0"/>
        <v>8.64</v>
      </c>
      <c r="I43" s="220">
        <v>6</v>
      </c>
      <c r="J43" s="220">
        <v>314.91000000000003</v>
      </c>
      <c r="K43" s="264">
        <f t="shared" si="1"/>
        <v>2720.8224000000005</v>
      </c>
      <c r="L43" s="220"/>
      <c r="M43" s="220"/>
      <c r="N43" s="220"/>
      <c r="O43" s="220"/>
      <c r="P43" s="412">
        <f t="shared" si="2"/>
        <v>0</v>
      </c>
      <c r="Q43" s="220"/>
    </row>
    <row r="44" spans="1:17" s="265" customFormat="1" ht="78.75" x14ac:dyDescent="0.25">
      <c r="A44" s="444"/>
      <c r="B44" s="462"/>
      <c r="C44" s="464"/>
      <c r="D44" s="281" t="s">
        <v>574</v>
      </c>
      <c r="E44" s="220"/>
      <c r="F44" s="220">
        <v>2.5499999999999998</v>
      </c>
      <c r="G44" s="220">
        <v>4</v>
      </c>
      <c r="H44" s="220">
        <f t="shared" si="0"/>
        <v>10.199999999999999</v>
      </c>
      <c r="I44" s="220">
        <v>6</v>
      </c>
      <c r="J44" s="220">
        <v>314.91000000000003</v>
      </c>
      <c r="K44" s="264">
        <f t="shared" si="1"/>
        <v>3212.0819999999999</v>
      </c>
      <c r="L44" s="220"/>
      <c r="M44" s="220"/>
      <c r="N44" s="220"/>
      <c r="O44" s="220"/>
      <c r="P44" s="412">
        <f t="shared" si="2"/>
        <v>0</v>
      </c>
      <c r="Q44" s="220"/>
    </row>
    <row r="45" spans="1:17" s="265" customFormat="1" x14ac:dyDescent="0.25">
      <c r="A45" s="444"/>
      <c r="B45" s="462"/>
      <c r="C45" s="463" t="s">
        <v>575</v>
      </c>
      <c r="D45" s="220" t="s">
        <v>44</v>
      </c>
      <c r="E45" s="220"/>
      <c r="F45" s="220">
        <v>10.4</v>
      </c>
      <c r="G45" s="220">
        <v>2</v>
      </c>
      <c r="H45" s="220">
        <f t="shared" si="0"/>
        <v>20.8</v>
      </c>
      <c r="I45" s="220">
        <v>6</v>
      </c>
      <c r="J45" s="220">
        <v>314.91000000000003</v>
      </c>
      <c r="K45" s="264">
        <f t="shared" si="1"/>
        <v>6550.1280000000006</v>
      </c>
      <c r="L45" s="220"/>
      <c r="M45" s="220"/>
      <c r="N45" s="220"/>
      <c r="O45" s="220"/>
      <c r="P45" s="412">
        <f t="shared" si="2"/>
        <v>0</v>
      </c>
      <c r="Q45" s="220"/>
    </row>
    <row r="46" spans="1:17" s="265" customFormat="1" x14ac:dyDescent="0.25">
      <c r="A46" s="444"/>
      <c r="B46" s="462"/>
      <c r="C46" s="465"/>
      <c r="D46" s="220" t="s">
        <v>43</v>
      </c>
      <c r="E46" s="220"/>
      <c r="F46" s="220">
        <v>25.5</v>
      </c>
      <c r="G46" s="220">
        <v>1</v>
      </c>
      <c r="H46" s="220">
        <f t="shared" si="0"/>
        <v>25.5</v>
      </c>
      <c r="I46" s="220">
        <v>6</v>
      </c>
      <c r="J46" s="220">
        <v>314.91000000000003</v>
      </c>
      <c r="K46" s="264">
        <f t="shared" si="1"/>
        <v>8030.2050000000008</v>
      </c>
      <c r="L46" s="220"/>
      <c r="M46" s="220"/>
      <c r="N46" s="220"/>
      <c r="O46" s="220"/>
      <c r="P46" s="412">
        <f t="shared" si="2"/>
        <v>0</v>
      </c>
      <c r="Q46" s="220"/>
    </row>
    <row r="47" spans="1:17" s="265" customFormat="1" x14ac:dyDescent="0.25">
      <c r="A47" s="444"/>
      <c r="B47" s="462"/>
      <c r="C47" s="465"/>
      <c r="D47" s="220" t="s">
        <v>573</v>
      </c>
      <c r="E47" s="220"/>
      <c r="F47" s="220">
        <v>1.33</v>
      </c>
      <c r="G47" s="220">
        <v>12</v>
      </c>
      <c r="H47" s="220">
        <f t="shared" si="0"/>
        <v>15.96</v>
      </c>
      <c r="I47" s="220">
        <v>6</v>
      </c>
      <c r="J47" s="220">
        <v>314.91000000000003</v>
      </c>
      <c r="K47" s="264">
        <f t="shared" si="1"/>
        <v>5025.963600000001</v>
      </c>
      <c r="L47" s="220"/>
      <c r="M47" s="220"/>
      <c r="N47" s="220"/>
      <c r="O47" s="220"/>
      <c r="P47" s="412">
        <f t="shared" si="2"/>
        <v>0</v>
      </c>
      <c r="Q47" s="220"/>
    </row>
    <row r="48" spans="1:17" s="265" customFormat="1" ht="78.75" x14ac:dyDescent="0.25">
      <c r="A48" s="444"/>
      <c r="B48" s="462"/>
      <c r="C48" s="464"/>
      <c r="D48" s="281" t="s">
        <v>574</v>
      </c>
      <c r="E48" s="220"/>
      <c r="F48" s="220">
        <v>4.2</v>
      </c>
      <c r="G48" s="220">
        <v>4</v>
      </c>
      <c r="H48" s="220">
        <f t="shared" si="0"/>
        <v>16.8</v>
      </c>
      <c r="I48" s="220">
        <v>6</v>
      </c>
      <c r="J48" s="220">
        <v>314.91000000000003</v>
      </c>
      <c r="K48" s="264">
        <f t="shared" si="1"/>
        <v>5290.4880000000003</v>
      </c>
      <c r="L48" s="220"/>
      <c r="M48" s="220"/>
      <c r="N48" s="220"/>
      <c r="O48" s="220"/>
      <c r="P48" s="412">
        <f t="shared" si="2"/>
        <v>0</v>
      </c>
      <c r="Q48" s="220"/>
    </row>
    <row r="49" spans="1:17" s="265" customFormat="1" x14ac:dyDescent="0.25">
      <c r="A49" s="444">
        <v>4</v>
      </c>
      <c r="B49" s="462" t="s">
        <v>1031</v>
      </c>
      <c r="C49" s="463" t="s">
        <v>558</v>
      </c>
      <c r="D49" s="220" t="s">
        <v>44</v>
      </c>
      <c r="E49" s="220"/>
      <c r="F49" s="220">
        <v>4.26</v>
      </c>
      <c r="G49" s="220">
        <v>12</v>
      </c>
      <c r="H49" s="220">
        <f t="shared" si="0"/>
        <v>51.12</v>
      </c>
      <c r="I49" s="220">
        <v>6</v>
      </c>
      <c r="J49" s="220">
        <v>314.91000000000003</v>
      </c>
      <c r="K49" s="264">
        <f t="shared" si="1"/>
        <v>16098.199200000001</v>
      </c>
      <c r="L49" s="220" t="s">
        <v>559</v>
      </c>
      <c r="M49" s="220" t="s">
        <v>560</v>
      </c>
      <c r="N49" s="220">
        <v>1.3</v>
      </c>
      <c r="O49" s="220">
        <v>270.39999999999998</v>
      </c>
      <c r="P49" s="412">
        <f>O49*N49</f>
        <v>351.52</v>
      </c>
      <c r="Q49" s="220"/>
    </row>
    <row r="50" spans="1:17" s="265" customFormat="1" x14ac:dyDescent="0.25">
      <c r="A50" s="444"/>
      <c r="B50" s="462"/>
      <c r="C50" s="464"/>
      <c r="D50" s="220" t="s">
        <v>43</v>
      </c>
      <c r="E50" s="220"/>
      <c r="F50" s="220">
        <v>5.89</v>
      </c>
      <c r="G50" s="220">
        <v>1</v>
      </c>
      <c r="H50" s="220">
        <f t="shared" si="0"/>
        <v>5.89</v>
      </c>
      <c r="I50" s="220">
        <v>6</v>
      </c>
      <c r="J50" s="220">
        <v>314.91000000000003</v>
      </c>
      <c r="K50" s="264">
        <f t="shared" si="1"/>
        <v>1854.8199</v>
      </c>
      <c r="L50" s="220" t="s">
        <v>561</v>
      </c>
      <c r="M50" s="220" t="s">
        <v>560</v>
      </c>
      <c r="N50" s="220">
        <v>0.8</v>
      </c>
      <c r="O50" s="220">
        <v>2907</v>
      </c>
      <c r="P50" s="412">
        <f>O50*N50</f>
        <v>2325.6</v>
      </c>
      <c r="Q50" s="220"/>
    </row>
    <row r="51" spans="1:17" s="265" customFormat="1" x14ac:dyDescent="0.25">
      <c r="A51" s="444"/>
      <c r="B51" s="462"/>
      <c r="C51" s="463" t="s">
        <v>562</v>
      </c>
      <c r="D51" s="220" t="s">
        <v>44</v>
      </c>
      <c r="E51" s="220"/>
      <c r="F51" s="220">
        <v>2.11</v>
      </c>
      <c r="G51" s="220">
        <v>12</v>
      </c>
      <c r="H51" s="220">
        <f t="shared" si="0"/>
        <v>25.32</v>
      </c>
      <c r="I51" s="220">
        <v>6</v>
      </c>
      <c r="J51" s="220">
        <v>314.91000000000003</v>
      </c>
      <c r="K51" s="264">
        <f t="shared" si="1"/>
        <v>7973.521200000001</v>
      </c>
      <c r="L51" s="220" t="s">
        <v>327</v>
      </c>
      <c r="M51" s="220" t="s">
        <v>560</v>
      </c>
      <c r="N51" s="220">
        <v>0.1</v>
      </c>
      <c r="O51" s="220">
        <v>3625</v>
      </c>
      <c r="P51" s="412">
        <f>O51*N51</f>
        <v>362.5</v>
      </c>
      <c r="Q51" s="220"/>
    </row>
    <row r="52" spans="1:17" s="265" customFormat="1" x14ac:dyDescent="0.25">
      <c r="A52" s="444"/>
      <c r="B52" s="462"/>
      <c r="C52" s="464"/>
      <c r="D52" s="220" t="s">
        <v>43</v>
      </c>
      <c r="E52" s="220"/>
      <c r="F52" s="220">
        <v>1.51</v>
      </c>
      <c r="G52" s="220">
        <v>1</v>
      </c>
      <c r="H52" s="220">
        <f t="shared" si="0"/>
        <v>1.51</v>
      </c>
      <c r="I52" s="220">
        <v>6</v>
      </c>
      <c r="J52" s="220">
        <v>314.91000000000003</v>
      </c>
      <c r="K52" s="264">
        <f t="shared" si="1"/>
        <v>475.51410000000004</v>
      </c>
      <c r="L52" s="220" t="s">
        <v>564</v>
      </c>
      <c r="M52" s="220" t="s">
        <v>560</v>
      </c>
      <c r="N52" s="220">
        <v>0.6</v>
      </c>
      <c r="O52" s="220">
        <v>1264</v>
      </c>
      <c r="P52" s="412">
        <f t="shared" ref="P52:P55" si="5">O52*N52</f>
        <v>758.4</v>
      </c>
      <c r="Q52" s="220"/>
    </row>
    <row r="53" spans="1:17" s="265" customFormat="1" x14ac:dyDescent="0.25">
      <c r="A53" s="444"/>
      <c r="B53" s="462"/>
      <c r="C53" s="463" t="s">
        <v>565</v>
      </c>
      <c r="D53" s="220" t="s">
        <v>44</v>
      </c>
      <c r="E53" s="220"/>
      <c r="F53" s="220">
        <v>2.11</v>
      </c>
      <c r="G53" s="220">
        <v>12</v>
      </c>
      <c r="H53" s="220">
        <f t="shared" si="0"/>
        <v>25.32</v>
      </c>
      <c r="I53" s="220">
        <v>6</v>
      </c>
      <c r="J53" s="220">
        <v>314.91000000000003</v>
      </c>
      <c r="K53" s="264">
        <f t="shared" si="1"/>
        <v>7973.521200000001</v>
      </c>
      <c r="L53" s="220" t="s">
        <v>566</v>
      </c>
      <c r="M53" s="220" t="s">
        <v>576</v>
      </c>
      <c r="N53" s="220">
        <v>0.4</v>
      </c>
      <c r="O53" s="220">
        <v>5600</v>
      </c>
      <c r="P53" s="412">
        <f t="shared" si="5"/>
        <v>2240</v>
      </c>
      <c r="Q53" s="220"/>
    </row>
    <row r="54" spans="1:17" s="265" customFormat="1" x14ac:dyDescent="0.25">
      <c r="A54" s="444"/>
      <c r="B54" s="462"/>
      <c r="C54" s="464"/>
      <c r="D54" s="220" t="s">
        <v>567</v>
      </c>
      <c r="E54" s="220"/>
      <c r="F54" s="220">
        <v>1.51</v>
      </c>
      <c r="G54" s="220">
        <v>1</v>
      </c>
      <c r="H54" s="220">
        <f t="shared" si="0"/>
        <v>1.51</v>
      </c>
      <c r="I54" s="220">
        <v>6</v>
      </c>
      <c r="J54" s="220">
        <v>314.91000000000003</v>
      </c>
      <c r="K54" s="264">
        <f t="shared" si="1"/>
        <v>475.51410000000004</v>
      </c>
      <c r="L54" s="220" t="s">
        <v>568</v>
      </c>
      <c r="M54" s="220" t="s">
        <v>560</v>
      </c>
      <c r="N54" s="220">
        <v>3</v>
      </c>
      <c r="O54" s="220">
        <v>1248</v>
      </c>
      <c r="P54" s="412">
        <f t="shared" si="5"/>
        <v>3744</v>
      </c>
      <c r="Q54" s="220"/>
    </row>
    <row r="55" spans="1:17" s="265" customFormat="1" x14ac:dyDescent="0.25">
      <c r="A55" s="444"/>
      <c r="B55" s="462"/>
      <c r="C55" s="463" t="s">
        <v>572</v>
      </c>
      <c r="D55" s="220" t="s">
        <v>44</v>
      </c>
      <c r="E55" s="220"/>
      <c r="F55" s="220">
        <v>5.56</v>
      </c>
      <c r="G55" s="220">
        <v>2</v>
      </c>
      <c r="H55" s="220">
        <f t="shared" si="0"/>
        <v>11.12</v>
      </c>
      <c r="I55" s="220">
        <v>6</v>
      </c>
      <c r="J55" s="220">
        <v>314.91000000000003</v>
      </c>
      <c r="K55" s="264">
        <f t="shared" si="1"/>
        <v>3501.7991999999999</v>
      </c>
      <c r="L55" s="220" t="s">
        <v>570</v>
      </c>
      <c r="M55" s="220" t="s">
        <v>560</v>
      </c>
      <c r="N55" s="220">
        <v>2.5</v>
      </c>
      <c r="O55" s="220">
        <v>222.16</v>
      </c>
      <c r="P55" s="412">
        <f t="shared" si="5"/>
        <v>555.4</v>
      </c>
      <c r="Q55" s="220"/>
    </row>
    <row r="56" spans="1:17" s="265" customFormat="1" x14ac:dyDescent="0.25">
      <c r="A56" s="444"/>
      <c r="B56" s="462"/>
      <c r="C56" s="465"/>
      <c r="D56" s="220" t="s">
        <v>43</v>
      </c>
      <c r="E56" s="220"/>
      <c r="F56" s="220">
        <v>13.1</v>
      </c>
      <c r="G56" s="220">
        <v>1</v>
      </c>
      <c r="H56" s="220">
        <f t="shared" si="0"/>
        <v>13.1</v>
      </c>
      <c r="I56" s="220">
        <v>6</v>
      </c>
      <c r="J56" s="220">
        <v>314.91000000000003</v>
      </c>
      <c r="K56" s="264">
        <f t="shared" si="1"/>
        <v>4125.3209999999999</v>
      </c>
      <c r="L56" s="220"/>
      <c r="M56" s="220"/>
      <c r="N56" s="220"/>
      <c r="O56" s="220"/>
      <c r="P56" s="412">
        <f t="shared" si="2"/>
        <v>0</v>
      </c>
      <c r="Q56" s="220"/>
    </row>
    <row r="57" spans="1:17" s="265" customFormat="1" x14ac:dyDescent="0.25">
      <c r="A57" s="444"/>
      <c r="B57" s="462"/>
      <c r="C57" s="465"/>
      <c r="D57" s="220" t="s">
        <v>573</v>
      </c>
      <c r="E57" s="220"/>
      <c r="F57" s="220">
        <v>0.72</v>
      </c>
      <c r="G57" s="220">
        <v>12</v>
      </c>
      <c r="H57" s="220">
        <f t="shared" si="0"/>
        <v>8.64</v>
      </c>
      <c r="I57" s="220">
        <v>6</v>
      </c>
      <c r="J57" s="220">
        <v>314.91000000000003</v>
      </c>
      <c r="K57" s="264">
        <f t="shared" si="1"/>
        <v>2720.8224000000005</v>
      </c>
      <c r="L57" s="220"/>
      <c r="M57" s="220"/>
      <c r="N57" s="220"/>
      <c r="O57" s="220"/>
      <c r="P57" s="412">
        <f t="shared" si="2"/>
        <v>0</v>
      </c>
      <c r="Q57" s="220"/>
    </row>
    <row r="58" spans="1:17" s="265" customFormat="1" ht="78.75" x14ac:dyDescent="0.25">
      <c r="A58" s="444"/>
      <c r="B58" s="462"/>
      <c r="C58" s="464"/>
      <c r="D58" s="281" t="s">
        <v>574</v>
      </c>
      <c r="E58" s="220"/>
      <c r="F58" s="220">
        <v>2.5499999999999998</v>
      </c>
      <c r="G58" s="220">
        <v>4</v>
      </c>
      <c r="H58" s="220">
        <f t="shared" si="0"/>
        <v>10.199999999999999</v>
      </c>
      <c r="I58" s="220">
        <v>6</v>
      </c>
      <c r="J58" s="220">
        <v>314.91000000000003</v>
      </c>
      <c r="K58" s="264">
        <f t="shared" si="1"/>
        <v>3212.0819999999999</v>
      </c>
      <c r="L58" s="220"/>
      <c r="M58" s="220"/>
      <c r="N58" s="220"/>
      <c r="O58" s="220"/>
      <c r="P58" s="412">
        <f t="shared" si="2"/>
        <v>0</v>
      </c>
      <c r="Q58" s="220"/>
    </row>
    <row r="59" spans="1:17" s="265" customFormat="1" x14ac:dyDescent="0.25">
      <c r="A59" s="444"/>
      <c r="B59" s="462"/>
      <c r="C59" s="463" t="s">
        <v>575</v>
      </c>
      <c r="D59" s="220" t="s">
        <v>44</v>
      </c>
      <c r="E59" s="220"/>
      <c r="F59" s="220">
        <v>10.4</v>
      </c>
      <c r="G59" s="220">
        <v>2</v>
      </c>
      <c r="H59" s="220">
        <f t="shared" si="0"/>
        <v>20.8</v>
      </c>
      <c r="I59" s="220">
        <v>6</v>
      </c>
      <c r="J59" s="220">
        <v>314.91000000000003</v>
      </c>
      <c r="K59" s="264">
        <f t="shared" si="1"/>
        <v>6550.1280000000006</v>
      </c>
      <c r="L59" s="220"/>
      <c r="M59" s="220"/>
      <c r="N59" s="220"/>
      <c r="O59" s="220"/>
      <c r="P59" s="412">
        <f t="shared" si="2"/>
        <v>0</v>
      </c>
      <c r="Q59" s="220"/>
    </row>
    <row r="60" spans="1:17" s="265" customFormat="1" x14ac:dyDescent="0.25">
      <c r="A60" s="444"/>
      <c r="B60" s="462"/>
      <c r="C60" s="465"/>
      <c r="D60" s="220" t="s">
        <v>43</v>
      </c>
      <c r="E60" s="220"/>
      <c r="F60" s="220">
        <v>25.5</v>
      </c>
      <c r="G60" s="220">
        <v>1</v>
      </c>
      <c r="H60" s="220">
        <f t="shared" si="0"/>
        <v>25.5</v>
      </c>
      <c r="I60" s="220">
        <v>6</v>
      </c>
      <c r="J60" s="220">
        <v>314.91000000000003</v>
      </c>
      <c r="K60" s="264">
        <f t="shared" si="1"/>
        <v>8030.2050000000008</v>
      </c>
      <c r="L60" s="220"/>
      <c r="M60" s="220"/>
      <c r="N60" s="220"/>
      <c r="O60" s="220"/>
      <c r="P60" s="412">
        <f t="shared" si="2"/>
        <v>0</v>
      </c>
      <c r="Q60" s="220"/>
    </row>
    <row r="61" spans="1:17" s="265" customFormat="1" x14ac:dyDescent="0.25">
      <c r="A61" s="444"/>
      <c r="B61" s="462"/>
      <c r="C61" s="465"/>
      <c r="D61" s="220" t="s">
        <v>573</v>
      </c>
      <c r="E61" s="220"/>
      <c r="F61" s="220">
        <v>1.33</v>
      </c>
      <c r="G61" s="220">
        <v>12</v>
      </c>
      <c r="H61" s="220">
        <f t="shared" si="0"/>
        <v>15.96</v>
      </c>
      <c r="I61" s="220">
        <v>6</v>
      </c>
      <c r="J61" s="220">
        <v>314.91000000000003</v>
      </c>
      <c r="K61" s="264">
        <f t="shared" si="1"/>
        <v>5025.963600000001</v>
      </c>
      <c r="L61" s="220"/>
      <c r="M61" s="220"/>
      <c r="N61" s="220"/>
      <c r="O61" s="220"/>
      <c r="P61" s="412">
        <f t="shared" si="2"/>
        <v>0</v>
      </c>
      <c r="Q61" s="220"/>
    </row>
    <row r="62" spans="1:17" s="265" customFormat="1" ht="78.75" x14ac:dyDescent="0.25">
      <c r="A62" s="444"/>
      <c r="B62" s="462"/>
      <c r="C62" s="464"/>
      <c r="D62" s="281" t="s">
        <v>574</v>
      </c>
      <c r="E62" s="220"/>
      <c r="F62" s="220">
        <v>4.2</v>
      </c>
      <c r="G62" s="220">
        <v>4</v>
      </c>
      <c r="H62" s="220">
        <f t="shared" si="0"/>
        <v>16.8</v>
      </c>
      <c r="I62" s="220">
        <v>6</v>
      </c>
      <c r="J62" s="220">
        <v>314.91000000000003</v>
      </c>
      <c r="K62" s="264">
        <f t="shared" si="1"/>
        <v>5290.4880000000003</v>
      </c>
      <c r="L62" s="220"/>
      <c r="M62" s="220"/>
      <c r="N62" s="220"/>
      <c r="O62" s="220"/>
      <c r="P62" s="412">
        <f t="shared" si="2"/>
        <v>0</v>
      </c>
      <c r="Q62" s="220"/>
    </row>
    <row r="63" spans="1:17" s="265" customFormat="1" x14ac:dyDescent="0.25">
      <c r="A63" s="444">
        <v>5</v>
      </c>
      <c r="B63" s="462" t="s">
        <v>1033</v>
      </c>
      <c r="C63" s="463" t="s">
        <v>558</v>
      </c>
      <c r="D63" s="220" t="s">
        <v>44</v>
      </c>
      <c r="E63" s="220"/>
      <c r="F63" s="220">
        <v>4.26</v>
      </c>
      <c r="G63" s="220">
        <v>12</v>
      </c>
      <c r="H63" s="220">
        <f t="shared" si="0"/>
        <v>51.12</v>
      </c>
      <c r="I63" s="220">
        <v>6</v>
      </c>
      <c r="J63" s="220">
        <v>314.91000000000003</v>
      </c>
      <c r="K63" s="264">
        <f t="shared" si="1"/>
        <v>16098.199200000001</v>
      </c>
      <c r="L63" s="220" t="s">
        <v>559</v>
      </c>
      <c r="M63" s="220" t="s">
        <v>560</v>
      </c>
      <c r="N63" s="220">
        <v>1.3</v>
      </c>
      <c r="O63" s="220">
        <v>270.39999999999998</v>
      </c>
      <c r="P63" s="412">
        <f>O63*N63</f>
        <v>351.52</v>
      </c>
      <c r="Q63" s="220"/>
    </row>
    <row r="64" spans="1:17" s="265" customFormat="1" x14ac:dyDescent="0.25">
      <c r="A64" s="444"/>
      <c r="B64" s="462"/>
      <c r="C64" s="464"/>
      <c r="D64" s="220" t="s">
        <v>43</v>
      </c>
      <c r="E64" s="220"/>
      <c r="F64" s="220">
        <v>5.89</v>
      </c>
      <c r="G64" s="220">
        <v>1</v>
      </c>
      <c r="H64" s="220">
        <f t="shared" si="0"/>
        <v>5.89</v>
      </c>
      <c r="I64" s="220">
        <v>6</v>
      </c>
      <c r="J64" s="220">
        <v>314.91000000000003</v>
      </c>
      <c r="K64" s="264">
        <f t="shared" si="1"/>
        <v>1854.8199</v>
      </c>
      <c r="L64" s="220" t="s">
        <v>561</v>
      </c>
      <c r="M64" s="220" t="s">
        <v>560</v>
      </c>
      <c r="N64" s="220">
        <v>0.8</v>
      </c>
      <c r="O64" s="220">
        <v>2907</v>
      </c>
      <c r="P64" s="412">
        <f>O64*N64</f>
        <v>2325.6</v>
      </c>
      <c r="Q64" s="220"/>
    </row>
    <row r="65" spans="1:17" s="265" customFormat="1" x14ac:dyDescent="0.25">
      <c r="A65" s="444"/>
      <c r="B65" s="462"/>
      <c r="C65" s="463" t="s">
        <v>562</v>
      </c>
      <c r="D65" s="220" t="s">
        <v>44</v>
      </c>
      <c r="E65" s="220"/>
      <c r="F65" s="220">
        <v>2.11</v>
      </c>
      <c r="G65" s="220">
        <v>12</v>
      </c>
      <c r="H65" s="220">
        <f t="shared" si="0"/>
        <v>25.32</v>
      </c>
      <c r="I65" s="220">
        <v>6</v>
      </c>
      <c r="J65" s="220">
        <v>314.91000000000003</v>
      </c>
      <c r="K65" s="264">
        <f t="shared" si="1"/>
        <v>7973.521200000001</v>
      </c>
      <c r="L65" s="220" t="s">
        <v>327</v>
      </c>
      <c r="M65" s="220" t="s">
        <v>560</v>
      </c>
      <c r="N65" s="220">
        <v>0.1</v>
      </c>
      <c r="O65" s="220">
        <v>3625</v>
      </c>
      <c r="P65" s="412">
        <f>O65*N65</f>
        <v>362.5</v>
      </c>
      <c r="Q65" s="220"/>
    </row>
    <row r="66" spans="1:17" s="265" customFormat="1" x14ac:dyDescent="0.25">
      <c r="A66" s="444"/>
      <c r="B66" s="462"/>
      <c r="C66" s="464"/>
      <c r="D66" s="220" t="s">
        <v>43</v>
      </c>
      <c r="E66" s="220"/>
      <c r="F66" s="220">
        <v>1.51</v>
      </c>
      <c r="G66" s="220">
        <v>1</v>
      </c>
      <c r="H66" s="220">
        <f t="shared" si="0"/>
        <v>1.51</v>
      </c>
      <c r="I66" s="220">
        <v>6</v>
      </c>
      <c r="J66" s="220">
        <v>314.91000000000003</v>
      </c>
      <c r="K66" s="264">
        <f t="shared" si="1"/>
        <v>475.51410000000004</v>
      </c>
      <c r="L66" s="220" t="s">
        <v>564</v>
      </c>
      <c r="M66" s="220" t="s">
        <v>560</v>
      </c>
      <c r="N66" s="220">
        <v>0.6</v>
      </c>
      <c r="O66" s="220">
        <v>1264</v>
      </c>
      <c r="P66" s="412">
        <f t="shared" ref="P66:P69" si="6">O66*N66</f>
        <v>758.4</v>
      </c>
      <c r="Q66" s="220"/>
    </row>
    <row r="67" spans="1:17" s="265" customFormat="1" x14ac:dyDescent="0.25">
      <c r="A67" s="444"/>
      <c r="B67" s="462"/>
      <c r="C67" s="463" t="s">
        <v>565</v>
      </c>
      <c r="D67" s="220" t="s">
        <v>44</v>
      </c>
      <c r="E67" s="220"/>
      <c r="F67" s="220">
        <v>2.11</v>
      </c>
      <c r="G67" s="220">
        <v>12</v>
      </c>
      <c r="H67" s="220">
        <f t="shared" si="0"/>
        <v>25.32</v>
      </c>
      <c r="I67" s="220">
        <v>6</v>
      </c>
      <c r="J67" s="220">
        <v>314.91000000000003</v>
      </c>
      <c r="K67" s="264">
        <f t="shared" si="1"/>
        <v>7973.521200000001</v>
      </c>
      <c r="L67" s="220" t="s">
        <v>566</v>
      </c>
      <c r="M67" s="220" t="s">
        <v>576</v>
      </c>
      <c r="N67" s="220">
        <v>0.4</v>
      </c>
      <c r="O67" s="220">
        <v>5600</v>
      </c>
      <c r="P67" s="412">
        <f t="shared" si="6"/>
        <v>2240</v>
      </c>
      <c r="Q67" s="220"/>
    </row>
    <row r="68" spans="1:17" s="265" customFormat="1" x14ac:dyDescent="0.25">
      <c r="A68" s="444"/>
      <c r="B68" s="462"/>
      <c r="C68" s="464"/>
      <c r="D68" s="220" t="s">
        <v>567</v>
      </c>
      <c r="E68" s="220"/>
      <c r="F68" s="220">
        <v>1.51</v>
      </c>
      <c r="G68" s="220">
        <v>1</v>
      </c>
      <c r="H68" s="220">
        <f t="shared" si="0"/>
        <v>1.51</v>
      </c>
      <c r="I68" s="220">
        <v>6</v>
      </c>
      <c r="J68" s="220">
        <v>314.91000000000003</v>
      </c>
      <c r="K68" s="264">
        <f t="shared" si="1"/>
        <v>475.51410000000004</v>
      </c>
      <c r="L68" s="220" t="s">
        <v>568</v>
      </c>
      <c r="M68" s="220" t="s">
        <v>560</v>
      </c>
      <c r="N68" s="220">
        <v>3</v>
      </c>
      <c r="O68" s="220">
        <v>1248</v>
      </c>
      <c r="P68" s="412">
        <f t="shared" si="6"/>
        <v>3744</v>
      </c>
      <c r="Q68" s="220"/>
    </row>
    <row r="69" spans="1:17" s="265" customFormat="1" x14ac:dyDescent="0.25">
      <c r="A69" s="444"/>
      <c r="B69" s="462"/>
      <c r="C69" s="463" t="s">
        <v>569</v>
      </c>
      <c r="D69" s="220" t="s">
        <v>44</v>
      </c>
      <c r="E69" s="220"/>
      <c r="F69" s="220">
        <v>2.11</v>
      </c>
      <c r="G69" s="220">
        <v>12</v>
      </c>
      <c r="H69" s="220">
        <f t="shared" si="0"/>
        <v>25.32</v>
      </c>
      <c r="I69" s="220">
        <v>6</v>
      </c>
      <c r="J69" s="220">
        <v>314.91000000000003</v>
      </c>
      <c r="K69" s="264">
        <f t="shared" si="1"/>
        <v>7973.521200000001</v>
      </c>
      <c r="L69" s="220" t="s">
        <v>570</v>
      </c>
      <c r="M69" s="220" t="s">
        <v>560</v>
      </c>
      <c r="N69" s="220">
        <v>2.5</v>
      </c>
      <c r="O69" s="220">
        <v>222.16</v>
      </c>
      <c r="P69" s="412">
        <f t="shared" si="6"/>
        <v>555.4</v>
      </c>
      <c r="Q69" s="220"/>
    </row>
    <row r="70" spans="1:17" s="265" customFormat="1" x14ac:dyDescent="0.25">
      <c r="A70" s="444"/>
      <c r="B70" s="462"/>
      <c r="C70" s="464"/>
      <c r="D70" s="220" t="s">
        <v>43</v>
      </c>
      <c r="E70" s="220"/>
      <c r="F70" s="220">
        <v>1.51</v>
      </c>
      <c r="G70" s="220">
        <v>1</v>
      </c>
      <c r="H70" s="220">
        <f t="shared" ref="H70:H94" si="7">F70*G70</f>
        <v>1.51</v>
      </c>
      <c r="I70" s="220">
        <v>6</v>
      </c>
      <c r="J70" s="220">
        <v>314.91000000000003</v>
      </c>
      <c r="K70" s="264">
        <f t="shared" ref="K70:K93" si="8">H70*J70</f>
        <v>475.51410000000004</v>
      </c>
      <c r="L70" s="220"/>
      <c r="M70" s="220"/>
      <c r="N70" s="220"/>
      <c r="O70" s="220"/>
      <c r="P70" s="412">
        <f t="shared" si="2"/>
        <v>0</v>
      </c>
      <c r="Q70" s="220"/>
    </row>
    <row r="71" spans="1:17" s="265" customFormat="1" x14ac:dyDescent="0.25">
      <c r="A71" s="444"/>
      <c r="B71" s="462"/>
      <c r="C71" s="463" t="s">
        <v>572</v>
      </c>
      <c r="D71" s="220" t="s">
        <v>44</v>
      </c>
      <c r="E71" s="220"/>
      <c r="F71" s="220">
        <v>5.56</v>
      </c>
      <c r="G71" s="220">
        <v>2</v>
      </c>
      <c r="H71" s="220">
        <f t="shared" si="7"/>
        <v>11.12</v>
      </c>
      <c r="I71" s="220">
        <v>6</v>
      </c>
      <c r="J71" s="220">
        <v>314.91000000000003</v>
      </c>
      <c r="K71" s="264">
        <f t="shared" si="8"/>
        <v>3501.7991999999999</v>
      </c>
      <c r="L71" s="220"/>
      <c r="M71" s="220"/>
      <c r="N71" s="220"/>
      <c r="O71" s="220"/>
      <c r="P71" s="412">
        <f t="shared" si="2"/>
        <v>0</v>
      </c>
      <c r="Q71" s="220"/>
    </row>
    <row r="72" spans="1:17" s="265" customFormat="1" x14ac:dyDescent="0.25">
      <c r="A72" s="444"/>
      <c r="B72" s="462"/>
      <c r="C72" s="465"/>
      <c r="D72" s="220" t="s">
        <v>43</v>
      </c>
      <c r="E72" s="220"/>
      <c r="F72" s="220">
        <v>13.1</v>
      </c>
      <c r="G72" s="220">
        <v>1</v>
      </c>
      <c r="H72" s="220">
        <f t="shared" si="7"/>
        <v>13.1</v>
      </c>
      <c r="I72" s="220">
        <v>6</v>
      </c>
      <c r="J72" s="220">
        <v>314.91000000000003</v>
      </c>
      <c r="K72" s="264">
        <f t="shared" si="8"/>
        <v>4125.3209999999999</v>
      </c>
      <c r="L72" s="220"/>
      <c r="M72" s="220"/>
      <c r="N72" s="220"/>
      <c r="O72" s="220"/>
      <c r="P72" s="412">
        <f t="shared" ref="P72:P94" si="9">O72*N72</f>
        <v>0</v>
      </c>
      <c r="Q72" s="220"/>
    </row>
    <row r="73" spans="1:17" s="265" customFormat="1" x14ac:dyDescent="0.25">
      <c r="A73" s="444"/>
      <c r="B73" s="462"/>
      <c r="C73" s="465"/>
      <c r="D73" s="220" t="s">
        <v>573</v>
      </c>
      <c r="E73" s="220"/>
      <c r="F73" s="220">
        <v>0.72</v>
      </c>
      <c r="G73" s="220">
        <v>12</v>
      </c>
      <c r="H73" s="220">
        <f t="shared" si="7"/>
        <v>8.64</v>
      </c>
      <c r="I73" s="220">
        <v>6</v>
      </c>
      <c r="J73" s="220">
        <v>314.91000000000003</v>
      </c>
      <c r="K73" s="264">
        <f t="shared" si="8"/>
        <v>2720.8224000000005</v>
      </c>
      <c r="L73" s="220"/>
      <c r="M73" s="220"/>
      <c r="N73" s="220"/>
      <c r="O73" s="220"/>
      <c r="P73" s="412">
        <f t="shared" si="9"/>
        <v>0</v>
      </c>
      <c r="Q73" s="220"/>
    </row>
    <row r="74" spans="1:17" s="265" customFormat="1" ht="78.75" x14ac:dyDescent="0.25">
      <c r="A74" s="444"/>
      <c r="B74" s="462"/>
      <c r="C74" s="464"/>
      <c r="D74" s="281" t="s">
        <v>574</v>
      </c>
      <c r="E74" s="220"/>
      <c r="F74" s="220">
        <v>2.5499999999999998</v>
      </c>
      <c r="G74" s="220">
        <v>4</v>
      </c>
      <c r="H74" s="220">
        <f t="shared" si="7"/>
        <v>10.199999999999999</v>
      </c>
      <c r="I74" s="220">
        <v>6</v>
      </c>
      <c r="J74" s="220">
        <v>314.91000000000003</v>
      </c>
      <c r="K74" s="264">
        <f t="shared" si="8"/>
        <v>3212.0819999999999</v>
      </c>
      <c r="L74" s="220"/>
      <c r="M74" s="220"/>
      <c r="N74" s="220"/>
      <c r="O74" s="220"/>
      <c r="P74" s="412">
        <f t="shared" si="9"/>
        <v>0</v>
      </c>
      <c r="Q74" s="220"/>
    </row>
    <row r="75" spans="1:17" s="265" customFormat="1" x14ac:dyDescent="0.25">
      <c r="A75" s="444"/>
      <c r="B75" s="462"/>
      <c r="C75" s="463" t="s">
        <v>575</v>
      </c>
      <c r="D75" s="220" t="s">
        <v>44</v>
      </c>
      <c r="E75" s="220"/>
      <c r="F75" s="220">
        <v>10.4</v>
      </c>
      <c r="G75" s="220">
        <v>2</v>
      </c>
      <c r="H75" s="220">
        <f t="shared" si="7"/>
        <v>20.8</v>
      </c>
      <c r="I75" s="220">
        <v>6</v>
      </c>
      <c r="J75" s="220">
        <v>314.91000000000003</v>
      </c>
      <c r="K75" s="264">
        <f t="shared" si="8"/>
        <v>6550.1280000000006</v>
      </c>
      <c r="L75" s="220"/>
      <c r="M75" s="220"/>
      <c r="N75" s="220"/>
      <c r="O75" s="220"/>
      <c r="P75" s="412">
        <f t="shared" si="9"/>
        <v>0</v>
      </c>
      <c r="Q75" s="220"/>
    </row>
    <row r="76" spans="1:17" s="265" customFormat="1" x14ac:dyDescent="0.25">
      <c r="A76" s="444"/>
      <c r="B76" s="462"/>
      <c r="C76" s="465"/>
      <c r="D76" s="220" t="s">
        <v>43</v>
      </c>
      <c r="E76" s="220"/>
      <c r="F76" s="220">
        <v>25.5</v>
      </c>
      <c r="G76" s="220">
        <v>1</v>
      </c>
      <c r="H76" s="220">
        <f t="shared" si="7"/>
        <v>25.5</v>
      </c>
      <c r="I76" s="220">
        <v>6</v>
      </c>
      <c r="J76" s="220">
        <v>314.91000000000003</v>
      </c>
      <c r="K76" s="264">
        <f t="shared" si="8"/>
        <v>8030.2050000000008</v>
      </c>
      <c r="L76" s="220"/>
      <c r="M76" s="220"/>
      <c r="N76" s="220"/>
      <c r="O76" s="220"/>
      <c r="P76" s="412">
        <f t="shared" si="9"/>
        <v>0</v>
      </c>
      <c r="Q76" s="220"/>
    </row>
    <row r="77" spans="1:17" s="265" customFormat="1" x14ac:dyDescent="0.25">
      <c r="A77" s="444"/>
      <c r="B77" s="462"/>
      <c r="C77" s="465"/>
      <c r="D77" s="220" t="s">
        <v>573</v>
      </c>
      <c r="E77" s="220"/>
      <c r="F77" s="220">
        <v>1.33</v>
      </c>
      <c r="G77" s="220">
        <v>12</v>
      </c>
      <c r="H77" s="220">
        <f t="shared" si="7"/>
        <v>15.96</v>
      </c>
      <c r="I77" s="220">
        <v>6</v>
      </c>
      <c r="J77" s="220">
        <v>314.91000000000003</v>
      </c>
      <c r="K77" s="264">
        <f t="shared" si="8"/>
        <v>5025.963600000001</v>
      </c>
      <c r="L77" s="220"/>
      <c r="M77" s="220"/>
      <c r="N77" s="220"/>
      <c r="O77" s="220"/>
      <c r="P77" s="412">
        <f t="shared" si="9"/>
        <v>0</v>
      </c>
      <c r="Q77" s="220"/>
    </row>
    <row r="78" spans="1:17" s="265" customFormat="1" ht="78.75" x14ac:dyDescent="0.25">
      <c r="A78" s="444"/>
      <c r="B78" s="462"/>
      <c r="C78" s="464"/>
      <c r="D78" s="281" t="s">
        <v>574</v>
      </c>
      <c r="E78" s="220"/>
      <c r="F78" s="220">
        <v>4.2</v>
      </c>
      <c r="G78" s="220">
        <v>4</v>
      </c>
      <c r="H78" s="220">
        <f t="shared" si="7"/>
        <v>16.8</v>
      </c>
      <c r="I78" s="220">
        <v>6</v>
      </c>
      <c r="J78" s="220">
        <v>314.91000000000003</v>
      </c>
      <c r="K78" s="264">
        <f t="shared" si="8"/>
        <v>5290.4880000000003</v>
      </c>
      <c r="L78" s="220"/>
      <c r="M78" s="220"/>
      <c r="N78" s="220"/>
      <c r="O78" s="220"/>
      <c r="P78" s="412">
        <f t="shared" si="9"/>
        <v>0</v>
      </c>
      <c r="Q78" s="220"/>
    </row>
    <row r="79" spans="1:17" s="265" customFormat="1" ht="15.75" customHeight="1" x14ac:dyDescent="0.25">
      <c r="A79" s="444">
        <v>6</v>
      </c>
      <c r="B79" s="462" t="s">
        <v>1030</v>
      </c>
      <c r="C79" s="463" t="s">
        <v>558</v>
      </c>
      <c r="D79" s="220" t="s">
        <v>44</v>
      </c>
      <c r="E79" s="220"/>
      <c r="F79" s="220">
        <v>4.26</v>
      </c>
      <c r="G79" s="220">
        <v>12</v>
      </c>
      <c r="H79" s="220">
        <f t="shared" si="7"/>
        <v>51.12</v>
      </c>
      <c r="I79" s="220">
        <v>6</v>
      </c>
      <c r="J79" s="220">
        <v>314.91000000000003</v>
      </c>
      <c r="K79" s="264">
        <f t="shared" si="8"/>
        <v>16098.199200000001</v>
      </c>
      <c r="L79" s="220" t="s">
        <v>559</v>
      </c>
      <c r="M79" s="220" t="s">
        <v>560</v>
      </c>
      <c r="N79" s="220">
        <v>1.3</v>
      </c>
      <c r="O79" s="220">
        <v>270.39999999999998</v>
      </c>
      <c r="P79" s="412">
        <f>O79*N79</f>
        <v>351.52</v>
      </c>
      <c r="Q79" s="220"/>
    </row>
    <row r="80" spans="1:17" s="265" customFormat="1" x14ac:dyDescent="0.25">
      <c r="A80" s="444"/>
      <c r="B80" s="462"/>
      <c r="C80" s="464"/>
      <c r="D80" s="220" t="s">
        <v>43</v>
      </c>
      <c r="E80" s="220"/>
      <c r="F80" s="220">
        <v>5.89</v>
      </c>
      <c r="G80" s="220">
        <v>1</v>
      </c>
      <c r="H80" s="220">
        <f t="shared" si="7"/>
        <v>5.89</v>
      </c>
      <c r="I80" s="220">
        <v>6</v>
      </c>
      <c r="J80" s="220">
        <v>314.91000000000003</v>
      </c>
      <c r="K80" s="264">
        <f t="shared" si="8"/>
        <v>1854.8199</v>
      </c>
      <c r="L80" s="220" t="s">
        <v>561</v>
      </c>
      <c r="M80" s="220" t="s">
        <v>560</v>
      </c>
      <c r="N80" s="220">
        <v>0.8</v>
      </c>
      <c r="O80" s="220">
        <v>2907</v>
      </c>
      <c r="P80" s="412">
        <f>O80*N80</f>
        <v>2325.6</v>
      </c>
      <c r="Q80" s="220"/>
    </row>
    <row r="81" spans="1:17" s="265" customFormat="1" x14ac:dyDescent="0.25">
      <c r="A81" s="444"/>
      <c r="B81" s="462"/>
      <c r="C81" s="463" t="s">
        <v>562</v>
      </c>
      <c r="D81" s="220" t="s">
        <v>44</v>
      </c>
      <c r="E81" s="220"/>
      <c r="F81" s="220">
        <v>2.11</v>
      </c>
      <c r="G81" s="220">
        <v>12</v>
      </c>
      <c r="H81" s="220">
        <f t="shared" si="7"/>
        <v>25.32</v>
      </c>
      <c r="I81" s="220">
        <v>6</v>
      </c>
      <c r="J81" s="220">
        <v>314.91000000000003</v>
      </c>
      <c r="K81" s="264">
        <f t="shared" si="8"/>
        <v>7973.521200000001</v>
      </c>
      <c r="L81" s="220" t="s">
        <v>327</v>
      </c>
      <c r="M81" s="220" t="s">
        <v>560</v>
      </c>
      <c r="N81" s="220">
        <v>0.1</v>
      </c>
      <c r="O81" s="220">
        <v>3625</v>
      </c>
      <c r="P81" s="412">
        <f>O81*N81</f>
        <v>362.5</v>
      </c>
      <c r="Q81" s="220"/>
    </row>
    <row r="82" spans="1:17" s="265" customFormat="1" x14ac:dyDescent="0.25">
      <c r="A82" s="444"/>
      <c r="B82" s="462"/>
      <c r="C82" s="464"/>
      <c r="D82" s="220" t="s">
        <v>43</v>
      </c>
      <c r="E82" s="220"/>
      <c r="F82" s="220">
        <v>1.51</v>
      </c>
      <c r="G82" s="220">
        <v>1</v>
      </c>
      <c r="H82" s="220">
        <f t="shared" si="7"/>
        <v>1.51</v>
      </c>
      <c r="I82" s="220">
        <v>6</v>
      </c>
      <c r="J82" s="220">
        <v>314.91000000000003</v>
      </c>
      <c r="K82" s="264">
        <f t="shared" si="8"/>
        <v>475.51410000000004</v>
      </c>
      <c r="L82" s="220" t="s">
        <v>564</v>
      </c>
      <c r="M82" s="220" t="s">
        <v>560</v>
      </c>
      <c r="N82" s="220">
        <v>0.6</v>
      </c>
      <c r="O82" s="220">
        <v>1264</v>
      </c>
      <c r="P82" s="412">
        <f t="shared" ref="P82:P85" si="10">O82*N82</f>
        <v>758.4</v>
      </c>
      <c r="Q82" s="220"/>
    </row>
    <row r="83" spans="1:17" s="265" customFormat="1" x14ac:dyDescent="0.25">
      <c r="A83" s="444"/>
      <c r="B83" s="462"/>
      <c r="C83" s="463" t="s">
        <v>565</v>
      </c>
      <c r="D83" s="220" t="s">
        <v>44</v>
      </c>
      <c r="E83" s="220"/>
      <c r="F83" s="220">
        <v>2.11</v>
      </c>
      <c r="G83" s="220">
        <v>12</v>
      </c>
      <c r="H83" s="220">
        <f t="shared" si="7"/>
        <v>25.32</v>
      </c>
      <c r="I83" s="220">
        <v>6</v>
      </c>
      <c r="J83" s="220">
        <v>314.91000000000003</v>
      </c>
      <c r="K83" s="264">
        <f t="shared" si="8"/>
        <v>7973.521200000001</v>
      </c>
      <c r="L83" s="220" t="s">
        <v>566</v>
      </c>
      <c r="M83" s="220" t="s">
        <v>576</v>
      </c>
      <c r="N83" s="220">
        <v>0.4</v>
      </c>
      <c r="O83" s="220">
        <v>5600</v>
      </c>
      <c r="P83" s="412">
        <f t="shared" si="10"/>
        <v>2240</v>
      </c>
      <c r="Q83" s="220"/>
    </row>
    <row r="84" spans="1:17" s="265" customFormat="1" x14ac:dyDescent="0.25">
      <c r="A84" s="444"/>
      <c r="B84" s="462"/>
      <c r="C84" s="464"/>
      <c r="D84" s="220" t="s">
        <v>567</v>
      </c>
      <c r="E84" s="220"/>
      <c r="F84" s="220">
        <v>1.51</v>
      </c>
      <c r="G84" s="220">
        <v>1</v>
      </c>
      <c r="H84" s="220">
        <f t="shared" si="7"/>
        <v>1.51</v>
      </c>
      <c r="I84" s="220">
        <v>6</v>
      </c>
      <c r="J84" s="220">
        <v>314.91000000000003</v>
      </c>
      <c r="K84" s="264">
        <f t="shared" si="8"/>
        <v>475.51410000000004</v>
      </c>
      <c r="L84" s="220" t="s">
        <v>568</v>
      </c>
      <c r="M84" s="220" t="s">
        <v>560</v>
      </c>
      <c r="N84" s="220">
        <v>3</v>
      </c>
      <c r="O84" s="220">
        <v>1248</v>
      </c>
      <c r="P84" s="412">
        <f t="shared" si="10"/>
        <v>3744</v>
      </c>
      <c r="Q84" s="220"/>
    </row>
    <row r="85" spans="1:17" s="265" customFormat="1" x14ac:dyDescent="0.25">
      <c r="A85" s="444"/>
      <c r="B85" s="462"/>
      <c r="C85" s="463" t="s">
        <v>569</v>
      </c>
      <c r="D85" s="220" t="s">
        <v>44</v>
      </c>
      <c r="E85" s="220"/>
      <c r="F85" s="220">
        <v>2.11</v>
      </c>
      <c r="G85" s="220">
        <v>12</v>
      </c>
      <c r="H85" s="220">
        <f t="shared" si="7"/>
        <v>25.32</v>
      </c>
      <c r="I85" s="220">
        <v>6</v>
      </c>
      <c r="J85" s="220">
        <v>314.91000000000003</v>
      </c>
      <c r="K85" s="264">
        <f t="shared" si="8"/>
        <v>7973.521200000001</v>
      </c>
      <c r="L85" s="220" t="s">
        <v>570</v>
      </c>
      <c r="M85" s="220" t="s">
        <v>560</v>
      </c>
      <c r="N85" s="220">
        <v>2.5</v>
      </c>
      <c r="O85" s="220">
        <v>222.16</v>
      </c>
      <c r="P85" s="412">
        <f t="shared" si="10"/>
        <v>555.4</v>
      </c>
      <c r="Q85" s="220"/>
    </row>
    <row r="86" spans="1:17" s="265" customFormat="1" x14ac:dyDescent="0.25">
      <c r="A86" s="444"/>
      <c r="B86" s="462"/>
      <c r="C86" s="464"/>
      <c r="D86" s="220" t="s">
        <v>43</v>
      </c>
      <c r="E86" s="220"/>
      <c r="F86" s="220">
        <v>1.51</v>
      </c>
      <c r="G86" s="220">
        <v>1</v>
      </c>
      <c r="H86" s="220">
        <f t="shared" si="7"/>
        <v>1.51</v>
      </c>
      <c r="I86" s="220">
        <v>6</v>
      </c>
      <c r="J86" s="220">
        <v>314.91000000000003</v>
      </c>
      <c r="K86" s="264">
        <f t="shared" si="8"/>
        <v>475.51410000000004</v>
      </c>
      <c r="L86" s="220"/>
      <c r="M86" s="220"/>
      <c r="N86" s="220"/>
      <c r="O86" s="220"/>
      <c r="P86" s="412">
        <f t="shared" si="9"/>
        <v>0</v>
      </c>
      <c r="Q86" s="220"/>
    </row>
    <row r="87" spans="1:17" s="265" customFormat="1" x14ac:dyDescent="0.25">
      <c r="A87" s="444"/>
      <c r="B87" s="462"/>
      <c r="C87" s="463" t="s">
        <v>572</v>
      </c>
      <c r="D87" s="220" t="s">
        <v>44</v>
      </c>
      <c r="E87" s="220"/>
      <c r="F87" s="220">
        <v>5.56</v>
      </c>
      <c r="G87" s="220">
        <v>2</v>
      </c>
      <c r="H87" s="220">
        <f t="shared" si="7"/>
        <v>11.12</v>
      </c>
      <c r="I87" s="220">
        <v>6</v>
      </c>
      <c r="J87" s="220">
        <v>314.91000000000003</v>
      </c>
      <c r="K87" s="264">
        <f t="shared" si="8"/>
        <v>3501.7991999999999</v>
      </c>
      <c r="L87" s="220"/>
      <c r="M87" s="220"/>
      <c r="N87" s="220"/>
      <c r="O87" s="220"/>
      <c r="P87" s="412">
        <f t="shared" si="9"/>
        <v>0</v>
      </c>
      <c r="Q87" s="220"/>
    </row>
    <row r="88" spans="1:17" s="265" customFormat="1" x14ac:dyDescent="0.25">
      <c r="A88" s="444"/>
      <c r="B88" s="462"/>
      <c r="C88" s="465"/>
      <c r="D88" s="220" t="s">
        <v>43</v>
      </c>
      <c r="E88" s="220"/>
      <c r="F88" s="220">
        <v>13.1</v>
      </c>
      <c r="G88" s="220">
        <v>1</v>
      </c>
      <c r="H88" s="220">
        <f t="shared" si="7"/>
        <v>13.1</v>
      </c>
      <c r="I88" s="220">
        <v>6</v>
      </c>
      <c r="J88" s="220">
        <v>314.91000000000003</v>
      </c>
      <c r="K88" s="264">
        <f t="shared" si="8"/>
        <v>4125.3209999999999</v>
      </c>
      <c r="L88" s="220"/>
      <c r="M88" s="220"/>
      <c r="N88" s="220"/>
      <c r="O88" s="220"/>
      <c r="P88" s="412">
        <f t="shared" si="9"/>
        <v>0</v>
      </c>
      <c r="Q88" s="220"/>
    </row>
    <row r="89" spans="1:17" s="265" customFormat="1" x14ac:dyDescent="0.25">
      <c r="A89" s="444"/>
      <c r="B89" s="462"/>
      <c r="C89" s="465"/>
      <c r="D89" s="220" t="s">
        <v>573</v>
      </c>
      <c r="E89" s="220"/>
      <c r="F89" s="220">
        <v>0.72</v>
      </c>
      <c r="G89" s="220">
        <v>12</v>
      </c>
      <c r="H89" s="220">
        <f t="shared" si="7"/>
        <v>8.64</v>
      </c>
      <c r="I89" s="220">
        <v>6</v>
      </c>
      <c r="J89" s="220">
        <v>314.91000000000003</v>
      </c>
      <c r="K89" s="264">
        <f t="shared" si="8"/>
        <v>2720.8224000000005</v>
      </c>
      <c r="L89" s="220"/>
      <c r="M89" s="220"/>
      <c r="N89" s="220"/>
      <c r="O89" s="220"/>
      <c r="P89" s="412">
        <f t="shared" si="9"/>
        <v>0</v>
      </c>
      <c r="Q89" s="220"/>
    </row>
    <row r="90" spans="1:17" s="265" customFormat="1" ht="78.75" x14ac:dyDescent="0.25">
      <c r="A90" s="444"/>
      <c r="B90" s="462"/>
      <c r="C90" s="464"/>
      <c r="D90" s="281" t="s">
        <v>574</v>
      </c>
      <c r="E90" s="220"/>
      <c r="F90" s="220">
        <v>2.5499999999999998</v>
      </c>
      <c r="G90" s="220">
        <v>4</v>
      </c>
      <c r="H90" s="220">
        <f t="shared" si="7"/>
        <v>10.199999999999999</v>
      </c>
      <c r="I90" s="220">
        <v>6</v>
      </c>
      <c r="J90" s="220">
        <v>314.91000000000003</v>
      </c>
      <c r="K90" s="264">
        <f t="shared" si="8"/>
        <v>3212.0819999999999</v>
      </c>
      <c r="L90" s="220"/>
      <c r="M90" s="220"/>
      <c r="N90" s="220"/>
      <c r="O90" s="220"/>
      <c r="P90" s="412">
        <f t="shared" si="9"/>
        <v>0</v>
      </c>
      <c r="Q90" s="220"/>
    </row>
    <row r="91" spans="1:17" s="265" customFormat="1" x14ac:dyDescent="0.25">
      <c r="A91" s="444"/>
      <c r="B91" s="462"/>
      <c r="C91" s="463" t="s">
        <v>575</v>
      </c>
      <c r="D91" s="220" t="s">
        <v>44</v>
      </c>
      <c r="E91" s="220"/>
      <c r="F91" s="220">
        <v>10.4</v>
      </c>
      <c r="G91" s="220">
        <v>2</v>
      </c>
      <c r="H91" s="220">
        <f t="shared" si="7"/>
        <v>20.8</v>
      </c>
      <c r="I91" s="220">
        <v>6</v>
      </c>
      <c r="J91" s="220">
        <v>314.91000000000003</v>
      </c>
      <c r="K91" s="264">
        <f t="shared" si="8"/>
        <v>6550.1280000000006</v>
      </c>
      <c r="L91" s="220"/>
      <c r="M91" s="220"/>
      <c r="N91" s="220"/>
      <c r="O91" s="220"/>
      <c r="P91" s="412">
        <f t="shared" si="9"/>
        <v>0</v>
      </c>
      <c r="Q91" s="220"/>
    </row>
    <row r="92" spans="1:17" s="265" customFormat="1" x14ac:dyDescent="0.25">
      <c r="A92" s="444"/>
      <c r="B92" s="462"/>
      <c r="C92" s="465"/>
      <c r="D92" s="220" t="s">
        <v>43</v>
      </c>
      <c r="E92" s="220"/>
      <c r="F92" s="220">
        <v>25.5</v>
      </c>
      <c r="G92" s="220">
        <v>1</v>
      </c>
      <c r="H92" s="220">
        <f t="shared" si="7"/>
        <v>25.5</v>
      </c>
      <c r="I92" s="220">
        <v>6</v>
      </c>
      <c r="J92" s="220">
        <v>314.91000000000003</v>
      </c>
      <c r="K92" s="264">
        <f t="shared" si="8"/>
        <v>8030.2050000000008</v>
      </c>
      <c r="L92" s="220"/>
      <c r="M92" s="220"/>
      <c r="N92" s="220"/>
      <c r="O92" s="220"/>
      <c r="P92" s="412">
        <f t="shared" si="9"/>
        <v>0</v>
      </c>
      <c r="Q92" s="220"/>
    </row>
    <row r="93" spans="1:17" s="265" customFormat="1" x14ac:dyDescent="0.25">
      <c r="A93" s="444"/>
      <c r="B93" s="462"/>
      <c r="C93" s="465"/>
      <c r="D93" s="220" t="s">
        <v>573</v>
      </c>
      <c r="E93" s="220"/>
      <c r="F93" s="220">
        <v>1.33</v>
      </c>
      <c r="G93" s="220">
        <v>12</v>
      </c>
      <c r="H93" s="220">
        <f t="shared" si="7"/>
        <v>15.96</v>
      </c>
      <c r="I93" s="220">
        <v>6</v>
      </c>
      <c r="J93" s="220">
        <v>314.91000000000003</v>
      </c>
      <c r="K93" s="264">
        <f t="shared" si="8"/>
        <v>5025.963600000001</v>
      </c>
      <c r="L93" s="220"/>
      <c r="M93" s="220"/>
      <c r="N93" s="220"/>
      <c r="O93" s="220"/>
      <c r="P93" s="412">
        <f t="shared" si="9"/>
        <v>0</v>
      </c>
      <c r="Q93" s="220"/>
    </row>
    <row r="94" spans="1:17" s="265" customFormat="1" ht="78.75" x14ac:dyDescent="0.25">
      <c r="A94" s="445"/>
      <c r="B94" s="462"/>
      <c r="C94" s="464"/>
      <c r="D94" s="281" t="s">
        <v>574</v>
      </c>
      <c r="E94" s="220"/>
      <c r="F94" s="220">
        <v>4.2</v>
      </c>
      <c r="G94" s="220">
        <v>4</v>
      </c>
      <c r="H94" s="220">
        <f t="shared" si="7"/>
        <v>16.8</v>
      </c>
      <c r="I94" s="220">
        <v>6</v>
      </c>
      <c r="J94" s="220">
        <v>314.91000000000003</v>
      </c>
      <c r="K94" s="264">
        <f>H94*J94</f>
        <v>5290.4880000000003</v>
      </c>
      <c r="L94" s="220"/>
      <c r="M94" s="220"/>
      <c r="N94" s="220"/>
      <c r="O94" s="220"/>
      <c r="P94" s="412">
        <f t="shared" si="9"/>
        <v>0</v>
      </c>
      <c r="Q94" s="220"/>
    </row>
    <row r="95" spans="1:17" s="265" customFormat="1" x14ac:dyDescent="0.25">
      <c r="A95" s="457">
        <v>7</v>
      </c>
      <c r="B95" s="455" t="s">
        <v>1032</v>
      </c>
      <c r="C95" s="460" t="s">
        <v>782</v>
      </c>
      <c r="D95" s="266" t="s">
        <v>43</v>
      </c>
      <c r="E95" s="220"/>
      <c r="F95" s="267">
        <f>0.005*1.5</f>
        <v>7.4999999999999997E-3</v>
      </c>
      <c r="G95" s="266">
        <v>2</v>
      </c>
      <c r="H95" s="268">
        <f t="shared" ref="H95:H114" si="11">F95*G95*1.1*351</f>
        <v>5.7915000000000001</v>
      </c>
      <c r="I95" s="220">
        <v>6</v>
      </c>
      <c r="J95" s="220">
        <v>314.91000000000003</v>
      </c>
      <c r="K95" s="269">
        <f t="shared" ref="K95:K158" si="12">H95*J95</f>
        <v>1823.8012650000003</v>
      </c>
      <c r="L95" s="270" t="s">
        <v>797</v>
      </c>
      <c r="M95" s="271" t="s">
        <v>1012</v>
      </c>
      <c r="N95" s="220">
        <v>2</v>
      </c>
      <c r="O95" s="220">
        <v>1401</v>
      </c>
      <c r="P95" s="412">
        <f>N95*O95</f>
        <v>2802</v>
      </c>
      <c r="Q95" s="220"/>
    </row>
    <row r="96" spans="1:17" s="265" customFormat="1" x14ac:dyDescent="0.25">
      <c r="A96" s="474"/>
      <c r="B96" s="475"/>
      <c r="C96" s="460"/>
      <c r="D96" s="266" t="s">
        <v>44</v>
      </c>
      <c r="E96" s="220"/>
      <c r="F96" s="267">
        <f>F95*0.1</f>
        <v>7.5000000000000002E-4</v>
      </c>
      <c r="G96" s="266">
        <v>10</v>
      </c>
      <c r="H96" s="268">
        <f t="shared" si="11"/>
        <v>2.89575</v>
      </c>
      <c r="I96" s="220">
        <v>6</v>
      </c>
      <c r="J96" s="220">
        <v>314.91000000000003</v>
      </c>
      <c r="K96" s="269">
        <f t="shared" si="12"/>
        <v>911.90063250000014</v>
      </c>
      <c r="L96" s="270"/>
      <c r="M96" s="271"/>
      <c r="N96" s="220"/>
      <c r="O96" s="220"/>
      <c r="P96" s="412"/>
      <c r="Q96" s="220"/>
    </row>
    <row r="97" spans="1:17" s="265" customFormat="1" x14ac:dyDescent="0.25">
      <c r="A97" s="474"/>
      <c r="B97" s="475"/>
      <c r="C97" s="460" t="s">
        <v>783</v>
      </c>
      <c r="D97" s="266" t="s">
        <v>43</v>
      </c>
      <c r="E97" s="220"/>
      <c r="F97" s="267">
        <f>0.005*1.5</f>
        <v>7.4999999999999997E-3</v>
      </c>
      <c r="G97" s="266">
        <v>2</v>
      </c>
      <c r="H97" s="268">
        <f t="shared" si="11"/>
        <v>5.7915000000000001</v>
      </c>
      <c r="I97" s="220">
        <v>6</v>
      </c>
      <c r="J97" s="220">
        <v>314.91000000000003</v>
      </c>
      <c r="K97" s="269">
        <f t="shared" si="12"/>
        <v>1823.8012650000003</v>
      </c>
      <c r="L97" s="270" t="s">
        <v>797</v>
      </c>
      <c r="M97" s="271" t="s">
        <v>1012</v>
      </c>
      <c r="N97" s="220">
        <v>2</v>
      </c>
      <c r="O97" s="220">
        <v>1401</v>
      </c>
      <c r="P97" s="412">
        <f>N97*O97</f>
        <v>2802</v>
      </c>
      <c r="Q97" s="220"/>
    </row>
    <row r="98" spans="1:17" s="265" customFormat="1" x14ac:dyDescent="0.25">
      <c r="A98" s="474"/>
      <c r="B98" s="475"/>
      <c r="C98" s="460"/>
      <c r="D98" s="266" t="s">
        <v>44</v>
      </c>
      <c r="E98" s="220"/>
      <c r="F98" s="267">
        <f>F97*0.1</f>
        <v>7.5000000000000002E-4</v>
      </c>
      <c r="G98" s="266">
        <v>10</v>
      </c>
      <c r="H98" s="268">
        <f t="shared" si="11"/>
        <v>2.89575</v>
      </c>
      <c r="I98" s="220">
        <v>6</v>
      </c>
      <c r="J98" s="220">
        <v>314.91000000000003</v>
      </c>
      <c r="K98" s="269">
        <f t="shared" si="12"/>
        <v>911.90063250000014</v>
      </c>
      <c r="L98" s="270"/>
      <c r="M98" s="271"/>
      <c r="N98" s="220"/>
      <c r="O98" s="220"/>
      <c r="P98" s="412"/>
      <c r="Q98" s="220"/>
    </row>
    <row r="99" spans="1:17" s="265" customFormat="1" x14ac:dyDescent="0.25">
      <c r="A99" s="474"/>
      <c r="B99" s="475"/>
      <c r="C99" s="460" t="s">
        <v>784</v>
      </c>
      <c r="D99" s="266" t="s">
        <v>43</v>
      </c>
      <c r="E99" s="220"/>
      <c r="F99" s="267">
        <f>0.005*1.5</f>
        <v>7.4999999999999997E-3</v>
      </c>
      <c r="G99" s="266">
        <v>2</v>
      </c>
      <c r="H99" s="268">
        <f t="shared" si="11"/>
        <v>5.7915000000000001</v>
      </c>
      <c r="I99" s="220">
        <v>6</v>
      </c>
      <c r="J99" s="220">
        <v>314.91000000000003</v>
      </c>
      <c r="K99" s="269">
        <f t="shared" si="12"/>
        <v>1823.8012650000003</v>
      </c>
      <c r="L99" s="270" t="s">
        <v>798</v>
      </c>
      <c r="M99" s="271" t="s">
        <v>1012</v>
      </c>
      <c r="N99" s="220">
        <v>2</v>
      </c>
      <c r="O99" s="220">
        <v>1580</v>
      </c>
      <c r="P99" s="412">
        <f>N99*O99</f>
        <v>3160</v>
      </c>
      <c r="Q99" s="220"/>
    </row>
    <row r="100" spans="1:17" s="265" customFormat="1" x14ac:dyDescent="0.25">
      <c r="A100" s="474"/>
      <c r="B100" s="475"/>
      <c r="C100" s="460"/>
      <c r="D100" s="266" t="s">
        <v>44</v>
      </c>
      <c r="E100" s="220"/>
      <c r="F100" s="267">
        <f>F99*0.1</f>
        <v>7.5000000000000002E-4</v>
      </c>
      <c r="G100" s="266">
        <v>10</v>
      </c>
      <c r="H100" s="268">
        <f t="shared" si="11"/>
        <v>2.89575</v>
      </c>
      <c r="I100" s="220">
        <v>6</v>
      </c>
      <c r="J100" s="220">
        <v>314.91000000000003</v>
      </c>
      <c r="K100" s="269">
        <f t="shared" si="12"/>
        <v>911.90063250000014</v>
      </c>
      <c r="L100" s="270"/>
      <c r="M100" s="271"/>
      <c r="N100" s="220"/>
      <c r="O100" s="220"/>
      <c r="P100" s="412"/>
      <c r="Q100" s="220"/>
    </row>
    <row r="101" spans="1:17" s="265" customFormat="1" x14ac:dyDescent="0.25">
      <c r="A101" s="474"/>
      <c r="B101" s="475"/>
      <c r="C101" s="460" t="s">
        <v>785</v>
      </c>
      <c r="D101" s="266" t="s">
        <v>43</v>
      </c>
      <c r="E101" s="220"/>
      <c r="F101" s="267">
        <f>0.005*1.5</f>
        <v>7.4999999999999997E-3</v>
      </c>
      <c r="G101" s="266">
        <v>2</v>
      </c>
      <c r="H101" s="268">
        <f t="shared" si="11"/>
        <v>5.7915000000000001</v>
      </c>
      <c r="I101" s="220">
        <v>6</v>
      </c>
      <c r="J101" s="220">
        <v>314.91000000000003</v>
      </c>
      <c r="K101" s="269">
        <f t="shared" si="12"/>
        <v>1823.8012650000003</v>
      </c>
      <c r="L101" s="270" t="s">
        <v>798</v>
      </c>
      <c r="M101" s="271" t="s">
        <v>1012</v>
      </c>
      <c r="N101" s="220">
        <v>2</v>
      </c>
      <c r="O101" s="220">
        <v>1580</v>
      </c>
      <c r="P101" s="412">
        <f>N101*O101</f>
        <v>3160</v>
      </c>
      <c r="Q101" s="220"/>
    </row>
    <row r="102" spans="1:17" s="265" customFormat="1" x14ac:dyDescent="0.25">
      <c r="A102" s="474"/>
      <c r="B102" s="475"/>
      <c r="C102" s="460"/>
      <c r="D102" s="266" t="s">
        <v>44</v>
      </c>
      <c r="E102" s="220"/>
      <c r="F102" s="267">
        <f>F101*0.1</f>
        <v>7.5000000000000002E-4</v>
      </c>
      <c r="G102" s="266">
        <v>10</v>
      </c>
      <c r="H102" s="268">
        <f t="shared" si="11"/>
        <v>2.89575</v>
      </c>
      <c r="I102" s="220">
        <v>6</v>
      </c>
      <c r="J102" s="220">
        <v>314.91000000000003</v>
      </c>
      <c r="K102" s="269">
        <f t="shared" si="12"/>
        <v>911.90063250000014</v>
      </c>
      <c r="L102" s="270"/>
      <c r="M102" s="271"/>
      <c r="N102" s="220"/>
      <c r="O102" s="220"/>
      <c r="P102" s="412"/>
      <c r="Q102" s="220"/>
    </row>
    <row r="103" spans="1:17" s="265" customFormat="1" x14ac:dyDescent="0.25">
      <c r="A103" s="474"/>
      <c r="B103" s="475"/>
      <c r="C103" s="460" t="s">
        <v>786</v>
      </c>
      <c r="D103" s="266" t="s">
        <v>43</v>
      </c>
      <c r="E103" s="220"/>
      <c r="F103" s="267">
        <f>0.001*1.5</f>
        <v>1.5E-3</v>
      </c>
      <c r="G103" s="266">
        <v>2</v>
      </c>
      <c r="H103" s="268">
        <f t="shared" si="11"/>
        <v>1.1583000000000001</v>
      </c>
      <c r="I103" s="220">
        <v>6</v>
      </c>
      <c r="J103" s="220">
        <v>314.91000000000003</v>
      </c>
      <c r="K103" s="269">
        <f t="shared" si="12"/>
        <v>364.76025300000009</v>
      </c>
      <c r="L103" s="455" t="s">
        <v>799</v>
      </c>
      <c r="M103" s="457" t="s">
        <v>560</v>
      </c>
      <c r="N103" s="446">
        <v>0.06</v>
      </c>
      <c r="O103" s="446">
        <v>7725</v>
      </c>
      <c r="P103" s="485">
        <f t="shared" ref="P103:P104" si="13">N103*O103</f>
        <v>463.5</v>
      </c>
      <c r="Q103" s="220"/>
    </row>
    <row r="104" spans="1:17" s="265" customFormat="1" x14ac:dyDescent="0.25">
      <c r="A104" s="474"/>
      <c r="B104" s="475"/>
      <c r="C104" s="460"/>
      <c r="D104" s="266" t="s">
        <v>44</v>
      </c>
      <c r="E104" s="220"/>
      <c r="F104" s="267">
        <f>F103*0.1</f>
        <v>1.5000000000000001E-4</v>
      </c>
      <c r="G104" s="266">
        <v>10</v>
      </c>
      <c r="H104" s="268">
        <f t="shared" si="11"/>
        <v>0.57915000000000005</v>
      </c>
      <c r="I104" s="220">
        <v>6</v>
      </c>
      <c r="J104" s="220">
        <v>314.91000000000003</v>
      </c>
      <c r="K104" s="269">
        <f t="shared" si="12"/>
        <v>182.38012650000005</v>
      </c>
      <c r="L104" s="456"/>
      <c r="M104" s="458"/>
      <c r="N104" s="445"/>
      <c r="O104" s="445"/>
      <c r="P104" s="486">
        <f t="shared" si="13"/>
        <v>0</v>
      </c>
      <c r="Q104" s="220"/>
    </row>
    <row r="105" spans="1:17" s="265" customFormat="1" x14ac:dyDescent="0.25">
      <c r="A105" s="474"/>
      <c r="B105" s="475"/>
      <c r="C105" s="460" t="s">
        <v>787</v>
      </c>
      <c r="D105" s="266" t="s">
        <v>43</v>
      </c>
      <c r="E105" s="220"/>
      <c r="F105" s="267">
        <f>0.001*1.5</f>
        <v>1.5E-3</v>
      </c>
      <c r="G105" s="266">
        <v>2</v>
      </c>
      <c r="H105" s="268">
        <f t="shared" si="11"/>
        <v>1.1583000000000001</v>
      </c>
      <c r="I105" s="220">
        <v>6</v>
      </c>
      <c r="J105" s="220">
        <v>314.91000000000003</v>
      </c>
      <c r="K105" s="269">
        <f t="shared" si="12"/>
        <v>364.76025300000009</v>
      </c>
      <c r="L105" s="455" t="s">
        <v>799</v>
      </c>
      <c r="M105" s="457" t="s">
        <v>560</v>
      </c>
      <c r="N105" s="446">
        <v>0.06</v>
      </c>
      <c r="O105" s="446">
        <v>7725</v>
      </c>
      <c r="P105" s="485">
        <f t="shared" ref="P105:P112" si="14">N105*O105</f>
        <v>463.5</v>
      </c>
      <c r="Q105" s="220"/>
    </row>
    <row r="106" spans="1:17" s="265" customFormat="1" x14ac:dyDescent="0.25">
      <c r="A106" s="474"/>
      <c r="B106" s="475"/>
      <c r="C106" s="460"/>
      <c r="D106" s="266" t="s">
        <v>44</v>
      </c>
      <c r="E106" s="220"/>
      <c r="F106" s="267">
        <f>F105*0.1</f>
        <v>1.5000000000000001E-4</v>
      </c>
      <c r="G106" s="266">
        <v>10</v>
      </c>
      <c r="H106" s="268">
        <f t="shared" si="11"/>
        <v>0.57915000000000005</v>
      </c>
      <c r="I106" s="220">
        <v>6</v>
      </c>
      <c r="J106" s="220">
        <v>314.91000000000003</v>
      </c>
      <c r="K106" s="269">
        <f t="shared" si="12"/>
        <v>182.38012650000005</v>
      </c>
      <c r="L106" s="456"/>
      <c r="M106" s="458"/>
      <c r="N106" s="445"/>
      <c r="O106" s="445"/>
      <c r="P106" s="486">
        <f t="shared" si="14"/>
        <v>0</v>
      </c>
      <c r="Q106" s="220"/>
    </row>
    <row r="107" spans="1:17" s="265" customFormat="1" x14ac:dyDescent="0.25">
      <c r="A107" s="474"/>
      <c r="B107" s="475"/>
      <c r="C107" s="455" t="s">
        <v>788</v>
      </c>
      <c r="D107" s="266" t="s">
        <v>43</v>
      </c>
      <c r="E107" s="220"/>
      <c r="F107" s="267">
        <f>0.002*14*1.6</f>
        <v>4.4800000000000006E-2</v>
      </c>
      <c r="G107" s="266">
        <v>2</v>
      </c>
      <c r="H107" s="268">
        <f t="shared" si="11"/>
        <v>34.594560000000008</v>
      </c>
      <c r="I107" s="220">
        <v>6</v>
      </c>
      <c r="J107" s="220">
        <v>314.91000000000003</v>
      </c>
      <c r="K107" s="269">
        <f t="shared" si="12"/>
        <v>10894.172889600004</v>
      </c>
      <c r="L107" s="455" t="s">
        <v>1013</v>
      </c>
      <c r="M107" s="455" t="s">
        <v>1012</v>
      </c>
      <c r="N107" s="446">
        <v>2</v>
      </c>
      <c r="O107" s="446">
        <v>60.7</v>
      </c>
      <c r="P107" s="485">
        <f t="shared" si="14"/>
        <v>121.4</v>
      </c>
      <c r="Q107" s="220"/>
    </row>
    <row r="108" spans="1:17" s="265" customFormat="1" x14ac:dyDescent="0.25">
      <c r="A108" s="474"/>
      <c r="B108" s="475"/>
      <c r="C108" s="456"/>
      <c r="D108" s="266" t="s">
        <v>44</v>
      </c>
      <c r="E108" s="220"/>
      <c r="F108" s="267">
        <f>F107*0.1</f>
        <v>4.4800000000000005E-3</v>
      </c>
      <c r="G108" s="266">
        <v>10</v>
      </c>
      <c r="H108" s="268">
        <f t="shared" si="11"/>
        <v>17.297280000000004</v>
      </c>
      <c r="I108" s="220">
        <v>6</v>
      </c>
      <c r="J108" s="220">
        <v>314.91000000000003</v>
      </c>
      <c r="K108" s="269">
        <f t="shared" si="12"/>
        <v>5447.086444800002</v>
      </c>
      <c r="L108" s="456"/>
      <c r="M108" s="456"/>
      <c r="N108" s="445"/>
      <c r="O108" s="445"/>
      <c r="P108" s="486">
        <f t="shared" si="14"/>
        <v>0</v>
      </c>
      <c r="Q108" s="220"/>
    </row>
    <row r="109" spans="1:17" s="265" customFormat="1" x14ac:dyDescent="0.25">
      <c r="A109" s="474"/>
      <c r="B109" s="475"/>
      <c r="C109" s="455" t="s">
        <v>789</v>
      </c>
      <c r="D109" s="266" t="s">
        <v>43</v>
      </c>
      <c r="E109" s="220"/>
      <c r="F109" s="267">
        <f>0.028*0.046</f>
        <v>1.2880000000000001E-3</v>
      </c>
      <c r="G109" s="266">
        <v>1</v>
      </c>
      <c r="H109" s="268">
        <f t="shared" si="11"/>
        <v>0.49729680000000004</v>
      </c>
      <c r="I109" s="220">
        <v>6</v>
      </c>
      <c r="J109" s="220">
        <v>314.91000000000003</v>
      </c>
      <c r="K109" s="269">
        <f t="shared" si="12"/>
        <v>156.60373528800002</v>
      </c>
      <c r="L109" s="457" t="s">
        <v>314</v>
      </c>
      <c r="M109" s="457" t="s">
        <v>1012</v>
      </c>
      <c r="N109" s="446">
        <v>1</v>
      </c>
      <c r="O109" s="446">
        <v>52</v>
      </c>
      <c r="P109" s="485">
        <f t="shared" si="14"/>
        <v>52</v>
      </c>
      <c r="Q109" s="220"/>
    </row>
    <row r="110" spans="1:17" s="265" customFormat="1" x14ac:dyDescent="0.25">
      <c r="A110" s="474"/>
      <c r="B110" s="475"/>
      <c r="C110" s="456"/>
      <c r="D110" s="271" t="s">
        <v>44</v>
      </c>
      <c r="E110" s="220"/>
      <c r="F110" s="273">
        <f>F109*0.1</f>
        <v>1.2880000000000001E-4</v>
      </c>
      <c r="G110" s="271">
        <v>11</v>
      </c>
      <c r="H110" s="274">
        <f t="shared" si="11"/>
        <v>0.54702648000000009</v>
      </c>
      <c r="I110" s="220">
        <v>6</v>
      </c>
      <c r="J110" s="220">
        <v>314.91000000000003</v>
      </c>
      <c r="K110" s="269">
        <f t="shared" si="12"/>
        <v>172.26410881680005</v>
      </c>
      <c r="L110" s="458"/>
      <c r="M110" s="458"/>
      <c r="N110" s="445"/>
      <c r="O110" s="445"/>
      <c r="P110" s="486">
        <f t="shared" si="14"/>
        <v>0</v>
      </c>
      <c r="Q110" s="220"/>
    </row>
    <row r="111" spans="1:17" s="265" customFormat="1" x14ac:dyDescent="0.25">
      <c r="A111" s="474"/>
      <c r="B111" s="475"/>
      <c r="C111" s="460" t="s">
        <v>790</v>
      </c>
      <c r="D111" s="266" t="s">
        <v>43</v>
      </c>
      <c r="E111" s="220"/>
      <c r="F111" s="267">
        <f>0.004*1*1.6</f>
        <v>6.4000000000000003E-3</v>
      </c>
      <c r="G111" s="266">
        <v>1</v>
      </c>
      <c r="H111" s="268">
        <f t="shared" si="11"/>
        <v>2.4710400000000003</v>
      </c>
      <c r="I111" s="220">
        <v>6</v>
      </c>
      <c r="J111" s="220">
        <v>314.91000000000003</v>
      </c>
      <c r="K111" s="269">
        <f t="shared" si="12"/>
        <v>778.15520640000022</v>
      </c>
      <c r="L111" s="455" t="s">
        <v>800</v>
      </c>
      <c r="M111" s="457" t="s">
        <v>1012</v>
      </c>
      <c r="N111" s="446">
        <v>10</v>
      </c>
      <c r="O111" s="446">
        <v>791</v>
      </c>
      <c r="P111" s="485">
        <f t="shared" si="14"/>
        <v>7910</v>
      </c>
      <c r="Q111" s="220"/>
    </row>
    <row r="112" spans="1:17" s="265" customFormat="1" x14ac:dyDescent="0.25">
      <c r="A112" s="474"/>
      <c r="B112" s="475"/>
      <c r="C112" s="460"/>
      <c r="D112" s="266" t="s">
        <v>44</v>
      </c>
      <c r="E112" s="220"/>
      <c r="F112" s="267">
        <f>F111*0.1</f>
        <v>6.4000000000000005E-4</v>
      </c>
      <c r="G112" s="266">
        <v>11</v>
      </c>
      <c r="H112" s="268">
        <f t="shared" si="11"/>
        <v>2.7181440000000001</v>
      </c>
      <c r="I112" s="220">
        <v>6</v>
      </c>
      <c r="J112" s="220">
        <v>314.91000000000003</v>
      </c>
      <c r="K112" s="269">
        <f t="shared" si="12"/>
        <v>855.97072704000016</v>
      </c>
      <c r="L112" s="456"/>
      <c r="M112" s="458"/>
      <c r="N112" s="445"/>
      <c r="O112" s="445"/>
      <c r="P112" s="486">
        <f t="shared" si="14"/>
        <v>0</v>
      </c>
      <c r="Q112" s="220"/>
    </row>
    <row r="113" spans="1:17" s="265" customFormat="1" x14ac:dyDescent="0.25">
      <c r="A113" s="474"/>
      <c r="B113" s="475"/>
      <c r="C113" s="455" t="s">
        <v>791</v>
      </c>
      <c r="D113" s="266" t="s">
        <v>43</v>
      </c>
      <c r="E113" s="220"/>
      <c r="F113" s="267">
        <f>0.028*0.027</f>
        <v>7.5600000000000005E-4</v>
      </c>
      <c r="G113" s="266">
        <v>1</v>
      </c>
      <c r="H113" s="268">
        <f t="shared" si="11"/>
        <v>0.29189160000000003</v>
      </c>
      <c r="I113" s="220">
        <v>6</v>
      </c>
      <c r="J113" s="220">
        <v>314.91000000000003</v>
      </c>
      <c r="K113" s="269">
        <f t="shared" si="12"/>
        <v>91.919583756000023</v>
      </c>
      <c r="L113" s="457" t="s">
        <v>314</v>
      </c>
      <c r="M113" s="457" t="s">
        <v>1012</v>
      </c>
      <c r="N113" s="446">
        <v>1</v>
      </c>
      <c r="O113" s="446">
        <v>52</v>
      </c>
      <c r="P113" s="485">
        <f t="shared" ref="P113:P128" si="15">N113*O113</f>
        <v>52</v>
      </c>
      <c r="Q113" s="220"/>
    </row>
    <row r="114" spans="1:17" s="265" customFormat="1" x14ac:dyDescent="0.25">
      <c r="A114" s="474"/>
      <c r="B114" s="475"/>
      <c r="C114" s="456"/>
      <c r="D114" s="271" t="s">
        <v>44</v>
      </c>
      <c r="E114" s="220"/>
      <c r="F114" s="273">
        <f>F113*0.1</f>
        <v>7.5600000000000008E-5</v>
      </c>
      <c r="G114" s="271">
        <v>11</v>
      </c>
      <c r="H114" s="274">
        <f t="shared" si="11"/>
        <v>0.32108076000000008</v>
      </c>
      <c r="I114" s="220">
        <v>6</v>
      </c>
      <c r="J114" s="220">
        <v>314.91000000000003</v>
      </c>
      <c r="K114" s="269">
        <f t="shared" si="12"/>
        <v>101.11154213160003</v>
      </c>
      <c r="L114" s="458"/>
      <c r="M114" s="458"/>
      <c r="N114" s="445"/>
      <c r="O114" s="445"/>
      <c r="P114" s="486">
        <f t="shared" si="15"/>
        <v>0</v>
      </c>
      <c r="Q114" s="220"/>
    </row>
    <row r="115" spans="1:17" s="265" customFormat="1" x14ac:dyDescent="0.25">
      <c r="A115" s="474"/>
      <c r="B115" s="475"/>
      <c r="C115" s="454" t="s">
        <v>792</v>
      </c>
      <c r="D115" s="266" t="s">
        <v>43</v>
      </c>
      <c r="E115" s="220"/>
      <c r="F115" s="266">
        <f>0.014*1.6</f>
        <v>2.2400000000000003E-2</v>
      </c>
      <c r="G115" s="266">
        <v>1</v>
      </c>
      <c r="H115" s="272">
        <f>F115*G115*1.1*351</f>
        <v>8.6486400000000021</v>
      </c>
      <c r="I115" s="220">
        <v>6</v>
      </c>
      <c r="J115" s="220">
        <v>314.91000000000003</v>
      </c>
      <c r="K115" s="269">
        <f t="shared" si="12"/>
        <v>2723.543222400001</v>
      </c>
      <c r="L115" s="459" t="s">
        <v>801</v>
      </c>
      <c r="M115" s="457" t="s">
        <v>1012</v>
      </c>
      <c r="N115" s="446">
        <v>19</v>
      </c>
      <c r="O115" s="446">
        <v>490</v>
      </c>
      <c r="P115" s="485">
        <f t="shared" si="15"/>
        <v>9310</v>
      </c>
      <c r="Q115" s="220"/>
    </row>
    <row r="116" spans="1:17" s="265" customFormat="1" x14ac:dyDescent="0.25">
      <c r="A116" s="458"/>
      <c r="B116" s="456"/>
      <c r="C116" s="454"/>
      <c r="D116" s="266" t="s">
        <v>44</v>
      </c>
      <c r="E116" s="220"/>
      <c r="F116" s="266">
        <f>F115*0.1</f>
        <v>2.2400000000000002E-3</v>
      </c>
      <c r="G116" s="266">
        <v>11</v>
      </c>
      <c r="H116" s="272">
        <f t="shared" ref="H116" si="16">F116*G116*1.1*351</f>
        <v>9.5135040000000011</v>
      </c>
      <c r="I116" s="220">
        <v>6</v>
      </c>
      <c r="J116" s="220">
        <v>314.91000000000003</v>
      </c>
      <c r="K116" s="269">
        <f t="shared" si="12"/>
        <v>2995.8975446400004</v>
      </c>
      <c r="L116" s="459"/>
      <c r="M116" s="458"/>
      <c r="N116" s="445"/>
      <c r="O116" s="445"/>
      <c r="P116" s="486">
        <f t="shared" si="15"/>
        <v>0</v>
      </c>
      <c r="Q116" s="220"/>
    </row>
    <row r="117" spans="1:17" s="265" customFormat="1" ht="31.5" x14ac:dyDescent="0.25">
      <c r="A117" s="452">
        <v>8</v>
      </c>
      <c r="B117" s="453" t="s">
        <v>1035</v>
      </c>
      <c r="C117" s="449" t="s">
        <v>558</v>
      </c>
      <c r="D117" s="276" t="s">
        <v>44</v>
      </c>
      <c r="E117" s="220"/>
      <c r="F117" s="276">
        <v>4.26</v>
      </c>
      <c r="G117" s="276">
        <v>12</v>
      </c>
      <c r="H117" s="276">
        <v>51.12</v>
      </c>
      <c r="I117" s="220">
        <v>6</v>
      </c>
      <c r="J117" s="220">
        <v>314.91000000000003</v>
      </c>
      <c r="K117" s="269">
        <f t="shared" si="12"/>
        <v>16098.199200000001</v>
      </c>
      <c r="L117" s="275" t="s">
        <v>897</v>
      </c>
      <c r="M117" s="276" t="s">
        <v>560</v>
      </c>
      <c r="N117" s="276">
        <v>1.3</v>
      </c>
      <c r="O117" s="220">
        <v>270.39999999999998</v>
      </c>
      <c r="P117" s="413">
        <f t="shared" si="15"/>
        <v>351.52</v>
      </c>
      <c r="Q117" s="220"/>
    </row>
    <row r="118" spans="1:17" s="265" customFormat="1" ht="47.25" x14ac:dyDescent="0.25">
      <c r="A118" s="452"/>
      <c r="B118" s="453"/>
      <c r="C118" s="449"/>
      <c r="D118" s="276" t="s">
        <v>43</v>
      </c>
      <c r="E118" s="220"/>
      <c r="F118" s="276">
        <v>5.89</v>
      </c>
      <c r="G118" s="276">
        <v>1</v>
      </c>
      <c r="H118" s="276">
        <v>5.89</v>
      </c>
      <c r="I118" s="220">
        <v>6</v>
      </c>
      <c r="J118" s="220">
        <v>314.91000000000003</v>
      </c>
      <c r="K118" s="269">
        <f t="shared" si="12"/>
        <v>1854.8199</v>
      </c>
      <c r="L118" s="275" t="s">
        <v>898</v>
      </c>
      <c r="M118" s="276" t="s">
        <v>560</v>
      </c>
      <c r="N118" s="276">
        <v>0.3</v>
      </c>
      <c r="O118" s="220">
        <v>2907</v>
      </c>
      <c r="P118" s="414">
        <f t="shared" si="15"/>
        <v>872.1</v>
      </c>
      <c r="Q118" s="220"/>
    </row>
    <row r="119" spans="1:17" s="265" customFormat="1" ht="47.25" x14ac:dyDescent="0.25">
      <c r="A119" s="452"/>
      <c r="B119" s="453"/>
      <c r="C119" s="449" t="s">
        <v>562</v>
      </c>
      <c r="D119" s="276" t="s">
        <v>44</v>
      </c>
      <c r="E119" s="220"/>
      <c r="F119" s="276">
        <v>2.11</v>
      </c>
      <c r="G119" s="276">
        <v>12</v>
      </c>
      <c r="H119" s="276">
        <v>25.32</v>
      </c>
      <c r="I119" s="220">
        <v>6</v>
      </c>
      <c r="J119" s="220">
        <v>314.91000000000003</v>
      </c>
      <c r="K119" s="269">
        <f t="shared" si="12"/>
        <v>7973.521200000001</v>
      </c>
      <c r="L119" s="275" t="s">
        <v>899</v>
      </c>
      <c r="M119" s="276" t="s">
        <v>560</v>
      </c>
      <c r="N119" s="276">
        <v>0.4</v>
      </c>
      <c r="O119" s="220">
        <v>3210</v>
      </c>
      <c r="P119" s="414">
        <f t="shared" si="15"/>
        <v>1284</v>
      </c>
      <c r="Q119" s="220"/>
    </row>
    <row r="120" spans="1:17" s="265" customFormat="1" ht="47.25" x14ac:dyDescent="0.25">
      <c r="A120" s="452"/>
      <c r="B120" s="453"/>
      <c r="C120" s="449"/>
      <c r="D120" s="276" t="s">
        <v>43</v>
      </c>
      <c r="E120" s="220"/>
      <c r="F120" s="276">
        <v>1.51</v>
      </c>
      <c r="G120" s="276">
        <v>1</v>
      </c>
      <c r="H120" s="276">
        <v>1.51</v>
      </c>
      <c r="I120" s="220">
        <v>6</v>
      </c>
      <c r="J120" s="220">
        <v>314.91000000000003</v>
      </c>
      <c r="K120" s="269">
        <f t="shared" si="12"/>
        <v>475.51410000000004</v>
      </c>
      <c r="L120" s="275" t="s">
        <v>900</v>
      </c>
      <c r="M120" s="276" t="s">
        <v>560</v>
      </c>
      <c r="N120" s="276">
        <v>0.3</v>
      </c>
      <c r="O120" s="220">
        <v>3450</v>
      </c>
      <c r="P120" s="415">
        <f t="shared" si="15"/>
        <v>1035</v>
      </c>
      <c r="Q120" s="220"/>
    </row>
    <row r="121" spans="1:17" s="265" customFormat="1" ht="47.25" x14ac:dyDescent="0.25">
      <c r="A121" s="452"/>
      <c r="B121" s="453"/>
      <c r="C121" s="476" t="s">
        <v>565</v>
      </c>
      <c r="D121" s="278" t="s">
        <v>44</v>
      </c>
      <c r="E121" s="220"/>
      <c r="F121" s="278">
        <v>2.11</v>
      </c>
      <c r="G121" s="278">
        <v>12</v>
      </c>
      <c r="H121" s="278">
        <v>25.32</v>
      </c>
      <c r="I121" s="220">
        <v>6</v>
      </c>
      <c r="J121" s="220">
        <v>314.91000000000003</v>
      </c>
      <c r="K121" s="269">
        <f t="shared" si="12"/>
        <v>7973.521200000001</v>
      </c>
      <c r="L121" s="277" t="s">
        <v>899</v>
      </c>
      <c r="M121" s="278" t="s">
        <v>560</v>
      </c>
      <c r="N121" s="278">
        <v>0.4</v>
      </c>
      <c r="O121" s="220">
        <v>3210</v>
      </c>
      <c r="P121" s="415">
        <f t="shared" si="15"/>
        <v>1284</v>
      </c>
      <c r="Q121" s="220"/>
    </row>
    <row r="122" spans="1:17" s="265" customFormat="1" ht="47.25" x14ac:dyDescent="0.25">
      <c r="A122" s="452"/>
      <c r="B122" s="453"/>
      <c r="C122" s="476"/>
      <c r="D122" s="278" t="s">
        <v>43</v>
      </c>
      <c r="E122" s="220"/>
      <c r="F122" s="278">
        <v>1.51</v>
      </c>
      <c r="G122" s="278">
        <v>1</v>
      </c>
      <c r="H122" s="278">
        <v>1.51</v>
      </c>
      <c r="I122" s="220">
        <v>6</v>
      </c>
      <c r="J122" s="220">
        <v>314.91000000000003</v>
      </c>
      <c r="K122" s="269">
        <f t="shared" si="12"/>
        <v>475.51410000000004</v>
      </c>
      <c r="L122" s="277" t="s">
        <v>900</v>
      </c>
      <c r="M122" s="278" t="s">
        <v>560</v>
      </c>
      <c r="N122" s="278">
        <v>0.3</v>
      </c>
      <c r="O122" s="220">
        <v>3450</v>
      </c>
      <c r="P122" s="415">
        <f t="shared" si="15"/>
        <v>1035</v>
      </c>
      <c r="Q122" s="220"/>
    </row>
    <row r="123" spans="1:17" s="265" customFormat="1" ht="31.5" x14ac:dyDescent="0.25">
      <c r="A123" s="452"/>
      <c r="B123" s="453"/>
      <c r="C123" s="449" t="s">
        <v>895</v>
      </c>
      <c r="D123" s="276" t="s">
        <v>44</v>
      </c>
      <c r="E123" s="220"/>
      <c r="F123" s="276">
        <v>5.56</v>
      </c>
      <c r="G123" s="276">
        <v>2</v>
      </c>
      <c r="H123" s="276">
        <v>11.12</v>
      </c>
      <c r="I123" s="220">
        <v>6</v>
      </c>
      <c r="J123" s="220">
        <v>314.91000000000003</v>
      </c>
      <c r="K123" s="269">
        <f t="shared" si="12"/>
        <v>3501.7991999999999</v>
      </c>
      <c r="L123" s="275" t="s">
        <v>901</v>
      </c>
      <c r="M123" s="276" t="s">
        <v>560</v>
      </c>
      <c r="N123" s="276">
        <v>1</v>
      </c>
      <c r="O123" s="220">
        <v>435.5</v>
      </c>
      <c r="P123" s="412">
        <f t="shared" si="15"/>
        <v>435.5</v>
      </c>
      <c r="Q123" s="220"/>
    </row>
    <row r="124" spans="1:17" s="265" customFormat="1" ht="31.5" x14ac:dyDescent="0.25">
      <c r="A124" s="452"/>
      <c r="B124" s="453"/>
      <c r="C124" s="449"/>
      <c r="D124" s="276" t="s">
        <v>43</v>
      </c>
      <c r="E124" s="220"/>
      <c r="F124" s="276">
        <v>13.1</v>
      </c>
      <c r="G124" s="276">
        <v>1</v>
      </c>
      <c r="H124" s="276">
        <v>13.1</v>
      </c>
      <c r="I124" s="220">
        <v>6</v>
      </c>
      <c r="J124" s="220">
        <v>314.91000000000003</v>
      </c>
      <c r="K124" s="269">
        <f t="shared" si="12"/>
        <v>4125.3209999999999</v>
      </c>
      <c r="L124" s="275" t="s">
        <v>902</v>
      </c>
      <c r="M124" s="276" t="s">
        <v>560</v>
      </c>
      <c r="N124" s="276">
        <v>1.5</v>
      </c>
      <c r="O124" s="220">
        <v>586.4</v>
      </c>
      <c r="P124" s="412">
        <f t="shared" si="15"/>
        <v>879.59999999999991</v>
      </c>
      <c r="Q124" s="220"/>
    </row>
    <row r="125" spans="1:17" s="265" customFormat="1" ht="47.25" x14ac:dyDescent="0.25">
      <c r="A125" s="452"/>
      <c r="B125" s="453"/>
      <c r="C125" s="449"/>
      <c r="D125" s="276" t="s">
        <v>573</v>
      </c>
      <c r="E125" s="220"/>
      <c r="F125" s="276">
        <v>0.72</v>
      </c>
      <c r="G125" s="276">
        <v>12</v>
      </c>
      <c r="H125" s="276">
        <v>8.64</v>
      </c>
      <c r="I125" s="220">
        <v>6</v>
      </c>
      <c r="J125" s="220">
        <v>314.91000000000003</v>
      </c>
      <c r="K125" s="269">
        <f t="shared" si="12"/>
        <v>2720.8224000000005</v>
      </c>
      <c r="L125" s="275" t="s">
        <v>903</v>
      </c>
      <c r="M125" s="276" t="s">
        <v>1012</v>
      </c>
      <c r="N125" s="276">
        <v>0.1</v>
      </c>
      <c r="O125" s="220">
        <v>2500</v>
      </c>
      <c r="P125" s="412">
        <f t="shared" si="15"/>
        <v>250</v>
      </c>
      <c r="Q125" s="220"/>
    </row>
    <row r="126" spans="1:17" s="265" customFormat="1" ht="78.75" x14ac:dyDescent="0.25">
      <c r="A126" s="452"/>
      <c r="B126" s="453"/>
      <c r="C126" s="449"/>
      <c r="D126" s="275" t="s">
        <v>574</v>
      </c>
      <c r="E126" s="220"/>
      <c r="F126" s="276">
        <v>2.5499999999999998</v>
      </c>
      <c r="G126" s="276">
        <v>4</v>
      </c>
      <c r="H126" s="276">
        <v>10.199999999999999</v>
      </c>
      <c r="I126" s="220">
        <v>6</v>
      </c>
      <c r="J126" s="220">
        <v>314.91000000000003</v>
      </c>
      <c r="K126" s="269">
        <f t="shared" si="12"/>
        <v>3212.0819999999999</v>
      </c>
      <c r="L126" s="275" t="s">
        <v>904</v>
      </c>
      <c r="M126" s="276" t="s">
        <v>560</v>
      </c>
      <c r="N126" s="276">
        <v>0.6</v>
      </c>
      <c r="O126" s="220">
        <v>4100</v>
      </c>
      <c r="P126" s="412">
        <f t="shared" si="15"/>
        <v>2460</v>
      </c>
      <c r="Q126" s="220"/>
    </row>
    <row r="127" spans="1:17" s="265" customFormat="1" x14ac:dyDescent="0.25">
      <c r="A127" s="452"/>
      <c r="B127" s="453"/>
      <c r="C127" s="449" t="s">
        <v>896</v>
      </c>
      <c r="D127" s="276" t="s">
        <v>44</v>
      </c>
      <c r="E127" s="220"/>
      <c r="F127" s="276">
        <v>10.4</v>
      </c>
      <c r="G127" s="276">
        <v>2</v>
      </c>
      <c r="H127" s="276">
        <v>20.8</v>
      </c>
      <c r="I127" s="220">
        <v>6</v>
      </c>
      <c r="J127" s="220">
        <v>314.91000000000003</v>
      </c>
      <c r="K127" s="269">
        <f t="shared" si="12"/>
        <v>6550.1280000000006</v>
      </c>
      <c r="L127" s="275" t="s">
        <v>566</v>
      </c>
      <c r="M127" s="276" t="s">
        <v>905</v>
      </c>
      <c r="N127" s="276">
        <v>0.9</v>
      </c>
      <c r="O127" s="220">
        <v>1645.4</v>
      </c>
      <c r="P127" s="412">
        <f t="shared" si="15"/>
        <v>1480.8600000000001</v>
      </c>
      <c r="Q127" s="220"/>
    </row>
    <row r="128" spans="1:17" s="265" customFormat="1" ht="47.25" x14ac:dyDescent="0.25">
      <c r="A128" s="452"/>
      <c r="B128" s="453"/>
      <c r="C128" s="449"/>
      <c r="D128" s="276" t="s">
        <v>43</v>
      </c>
      <c r="E128" s="220"/>
      <c r="F128" s="276">
        <v>25.5</v>
      </c>
      <c r="G128" s="276">
        <v>1</v>
      </c>
      <c r="H128" s="276">
        <v>25.5</v>
      </c>
      <c r="I128" s="220">
        <v>6</v>
      </c>
      <c r="J128" s="220">
        <v>314.91000000000003</v>
      </c>
      <c r="K128" s="269">
        <f t="shared" si="12"/>
        <v>8030.2050000000008</v>
      </c>
      <c r="L128" s="275" t="s">
        <v>906</v>
      </c>
      <c r="M128" s="276" t="s">
        <v>1014</v>
      </c>
      <c r="N128" s="276">
        <v>3</v>
      </c>
      <c r="O128" s="220">
        <v>108.8</v>
      </c>
      <c r="P128" s="412">
        <f t="shared" si="15"/>
        <v>326.39999999999998</v>
      </c>
      <c r="Q128" s="220"/>
    </row>
    <row r="129" spans="1:17" s="265" customFormat="1" x14ac:dyDescent="0.25">
      <c r="A129" s="452"/>
      <c r="B129" s="453"/>
      <c r="C129" s="449"/>
      <c r="D129" s="276" t="s">
        <v>573</v>
      </c>
      <c r="E129" s="220"/>
      <c r="F129" s="276">
        <v>1.33</v>
      </c>
      <c r="G129" s="276">
        <v>12</v>
      </c>
      <c r="H129" s="276">
        <v>15.36</v>
      </c>
      <c r="I129" s="220">
        <v>6</v>
      </c>
      <c r="J129" s="220">
        <v>314.91000000000003</v>
      </c>
      <c r="K129" s="269">
        <f t="shared" si="12"/>
        <v>4837.0176000000001</v>
      </c>
      <c r="L129" s="220"/>
      <c r="M129" s="220"/>
      <c r="N129" s="220"/>
      <c r="O129" s="220"/>
      <c r="P129" s="412"/>
      <c r="Q129" s="220"/>
    </row>
    <row r="130" spans="1:17" s="265" customFormat="1" ht="78.75" x14ac:dyDescent="0.25">
      <c r="A130" s="452"/>
      <c r="B130" s="453"/>
      <c r="C130" s="449"/>
      <c r="D130" s="275" t="s">
        <v>574</v>
      </c>
      <c r="E130" s="220"/>
      <c r="F130" s="276">
        <v>4.2</v>
      </c>
      <c r="G130" s="276">
        <v>4</v>
      </c>
      <c r="H130" s="276">
        <v>16.8</v>
      </c>
      <c r="I130" s="220">
        <v>6</v>
      </c>
      <c r="J130" s="220">
        <v>314.91000000000003</v>
      </c>
      <c r="K130" s="269">
        <f t="shared" si="12"/>
        <v>5290.4880000000003</v>
      </c>
      <c r="L130" s="220"/>
      <c r="M130" s="220"/>
      <c r="N130" s="220"/>
      <c r="O130" s="220"/>
      <c r="P130" s="412"/>
      <c r="Q130" s="220"/>
    </row>
    <row r="131" spans="1:17" s="265" customFormat="1" ht="31.5" x14ac:dyDescent="0.25">
      <c r="A131" s="449">
        <v>9</v>
      </c>
      <c r="B131" s="450" t="s">
        <v>845</v>
      </c>
      <c r="C131" s="451" t="s">
        <v>912</v>
      </c>
      <c r="D131" s="276" t="s">
        <v>44</v>
      </c>
      <c r="E131" s="220"/>
      <c r="F131" s="276">
        <v>4.26</v>
      </c>
      <c r="G131" s="276">
        <v>12</v>
      </c>
      <c r="H131" s="276">
        <f t="shared" ref="H131:H158" si="17">PRODUCT(F131:G131)</f>
        <v>51.12</v>
      </c>
      <c r="I131" s="220">
        <v>6</v>
      </c>
      <c r="J131" s="220">
        <v>314.91000000000003</v>
      </c>
      <c r="K131" s="269">
        <f t="shared" si="12"/>
        <v>16098.199200000001</v>
      </c>
      <c r="L131" s="275" t="s">
        <v>897</v>
      </c>
      <c r="M131" s="276" t="s">
        <v>560</v>
      </c>
      <c r="N131" s="276">
        <v>1.3</v>
      </c>
      <c r="O131" s="220">
        <v>270.39999999999998</v>
      </c>
      <c r="P131" s="412">
        <f t="shared" ref="P131:P136" si="18">N131*O131</f>
        <v>351.52</v>
      </c>
      <c r="Q131" s="220"/>
    </row>
    <row r="132" spans="1:17" s="265" customFormat="1" ht="47.25" x14ac:dyDescent="0.25">
      <c r="A132" s="449"/>
      <c r="B132" s="450"/>
      <c r="C132" s="451"/>
      <c r="D132" s="276" t="s">
        <v>43</v>
      </c>
      <c r="E132" s="220"/>
      <c r="F132" s="276">
        <v>5.89</v>
      </c>
      <c r="G132" s="276">
        <v>1</v>
      </c>
      <c r="H132" s="276">
        <f t="shared" si="17"/>
        <v>5.89</v>
      </c>
      <c r="I132" s="220">
        <v>6</v>
      </c>
      <c r="J132" s="220">
        <v>314.91000000000003</v>
      </c>
      <c r="K132" s="269">
        <f t="shared" si="12"/>
        <v>1854.8199</v>
      </c>
      <c r="L132" s="275" t="s">
        <v>898</v>
      </c>
      <c r="M132" s="276" t="s">
        <v>560</v>
      </c>
      <c r="N132" s="276">
        <v>0.1</v>
      </c>
      <c r="O132" s="220">
        <v>2907</v>
      </c>
      <c r="P132" s="412">
        <f t="shared" si="18"/>
        <v>290.7</v>
      </c>
      <c r="Q132" s="220"/>
    </row>
    <row r="133" spans="1:17" s="265" customFormat="1" ht="47.25" x14ac:dyDescent="0.25">
      <c r="A133" s="449"/>
      <c r="B133" s="450"/>
      <c r="C133" s="449" t="s">
        <v>913</v>
      </c>
      <c r="D133" s="276" t="s">
        <v>44</v>
      </c>
      <c r="E133" s="220"/>
      <c r="F133" s="276">
        <v>2.11</v>
      </c>
      <c r="G133" s="276">
        <v>12</v>
      </c>
      <c r="H133" s="276">
        <f t="shared" si="17"/>
        <v>25.32</v>
      </c>
      <c r="I133" s="220">
        <v>6</v>
      </c>
      <c r="J133" s="220">
        <v>314.91000000000003</v>
      </c>
      <c r="K133" s="269">
        <f t="shared" si="12"/>
        <v>7973.521200000001</v>
      </c>
      <c r="L133" s="275" t="s">
        <v>899</v>
      </c>
      <c r="M133" s="276" t="s">
        <v>560</v>
      </c>
      <c r="N133" s="276">
        <v>0.4</v>
      </c>
      <c r="O133" s="220">
        <v>3210</v>
      </c>
      <c r="P133" s="412">
        <f t="shared" si="18"/>
        <v>1284</v>
      </c>
      <c r="Q133" s="220"/>
    </row>
    <row r="134" spans="1:17" s="265" customFormat="1" ht="47.25" x14ac:dyDescent="0.25">
      <c r="A134" s="449"/>
      <c r="B134" s="450"/>
      <c r="C134" s="449"/>
      <c r="D134" s="276" t="s">
        <v>43</v>
      </c>
      <c r="E134" s="220"/>
      <c r="F134" s="276">
        <v>1.51</v>
      </c>
      <c r="G134" s="276">
        <v>1</v>
      </c>
      <c r="H134" s="276">
        <f t="shared" si="17"/>
        <v>1.51</v>
      </c>
      <c r="I134" s="220">
        <v>6</v>
      </c>
      <c r="J134" s="220">
        <v>314.91000000000003</v>
      </c>
      <c r="K134" s="269">
        <f t="shared" si="12"/>
        <v>475.51410000000004</v>
      </c>
      <c r="L134" s="275" t="s">
        <v>900</v>
      </c>
      <c r="M134" s="276" t="s">
        <v>560</v>
      </c>
      <c r="N134" s="276">
        <v>0.3</v>
      </c>
      <c r="O134" s="220">
        <v>3450</v>
      </c>
      <c r="P134" s="412">
        <f t="shared" si="18"/>
        <v>1035</v>
      </c>
      <c r="Q134" s="220"/>
    </row>
    <row r="135" spans="1:17" s="265" customFormat="1" ht="31.5" x14ac:dyDescent="0.25">
      <c r="A135" s="449"/>
      <c r="B135" s="450"/>
      <c r="C135" s="449" t="s">
        <v>914</v>
      </c>
      <c r="D135" s="276" t="s">
        <v>44</v>
      </c>
      <c r="E135" s="220"/>
      <c r="F135" s="276">
        <v>2.11</v>
      </c>
      <c r="G135" s="276">
        <v>12</v>
      </c>
      <c r="H135" s="276">
        <f t="shared" si="17"/>
        <v>25.32</v>
      </c>
      <c r="I135" s="220">
        <v>6</v>
      </c>
      <c r="J135" s="220">
        <v>314.91000000000003</v>
      </c>
      <c r="K135" s="269">
        <f t="shared" si="12"/>
        <v>7973.521200000001</v>
      </c>
      <c r="L135" s="275" t="s">
        <v>901</v>
      </c>
      <c r="M135" s="276" t="s">
        <v>560</v>
      </c>
      <c r="N135" s="276">
        <v>1</v>
      </c>
      <c r="O135" s="220">
        <v>435.5</v>
      </c>
      <c r="P135" s="412">
        <f t="shared" si="18"/>
        <v>435.5</v>
      </c>
      <c r="Q135" s="220"/>
    </row>
    <row r="136" spans="1:17" s="265" customFormat="1" ht="31.5" x14ac:dyDescent="0.25">
      <c r="A136" s="449"/>
      <c r="B136" s="450"/>
      <c r="C136" s="449"/>
      <c r="D136" s="276" t="s">
        <v>567</v>
      </c>
      <c r="E136" s="220"/>
      <c r="F136" s="276">
        <v>1.51</v>
      </c>
      <c r="G136" s="276">
        <v>1</v>
      </c>
      <c r="H136" s="276">
        <f t="shared" si="17"/>
        <v>1.51</v>
      </c>
      <c r="I136" s="220">
        <v>6</v>
      </c>
      <c r="J136" s="220">
        <v>314.91000000000003</v>
      </c>
      <c r="K136" s="269">
        <f t="shared" si="12"/>
        <v>475.51410000000004</v>
      </c>
      <c r="L136" s="275" t="s">
        <v>902</v>
      </c>
      <c r="M136" s="276" t="s">
        <v>560</v>
      </c>
      <c r="N136" s="276">
        <v>1.5</v>
      </c>
      <c r="O136" s="220">
        <v>586.4</v>
      </c>
      <c r="P136" s="412">
        <f t="shared" si="18"/>
        <v>879.59999999999991</v>
      </c>
      <c r="Q136" s="220"/>
    </row>
    <row r="137" spans="1:17" s="265" customFormat="1" x14ac:dyDescent="0.25">
      <c r="A137" s="449"/>
      <c r="B137" s="450"/>
      <c r="C137" s="449" t="s">
        <v>910</v>
      </c>
      <c r="D137" s="276" t="s">
        <v>44</v>
      </c>
      <c r="E137" s="220"/>
      <c r="F137" s="276">
        <v>5.56</v>
      </c>
      <c r="G137" s="276">
        <v>2</v>
      </c>
      <c r="H137" s="276">
        <f t="shared" si="17"/>
        <v>11.12</v>
      </c>
      <c r="I137" s="220">
        <v>6</v>
      </c>
      <c r="J137" s="220">
        <v>314.91000000000003</v>
      </c>
      <c r="K137" s="269">
        <f t="shared" si="12"/>
        <v>3501.7991999999999</v>
      </c>
      <c r="L137" s="220"/>
      <c r="M137" s="220"/>
      <c r="N137" s="220"/>
      <c r="O137" s="220"/>
      <c r="P137" s="412"/>
      <c r="Q137" s="220"/>
    </row>
    <row r="138" spans="1:17" s="265" customFormat="1" x14ac:dyDescent="0.25">
      <c r="A138" s="449"/>
      <c r="B138" s="450"/>
      <c r="C138" s="449"/>
      <c r="D138" s="276" t="s">
        <v>43</v>
      </c>
      <c r="E138" s="220"/>
      <c r="F138" s="276">
        <v>13.1</v>
      </c>
      <c r="G138" s="276">
        <v>1</v>
      </c>
      <c r="H138" s="276">
        <f t="shared" si="17"/>
        <v>13.1</v>
      </c>
      <c r="I138" s="220">
        <v>6</v>
      </c>
      <c r="J138" s="220">
        <v>314.91000000000003</v>
      </c>
      <c r="K138" s="269">
        <f t="shared" si="12"/>
        <v>4125.3209999999999</v>
      </c>
      <c r="L138" s="220"/>
      <c r="M138" s="220"/>
      <c r="N138" s="220"/>
      <c r="O138" s="220"/>
      <c r="P138" s="412"/>
      <c r="Q138" s="220"/>
    </row>
    <row r="139" spans="1:17" s="265" customFormat="1" x14ac:dyDescent="0.25">
      <c r="A139" s="449"/>
      <c r="B139" s="450"/>
      <c r="C139" s="449"/>
      <c r="D139" s="276" t="s">
        <v>573</v>
      </c>
      <c r="E139" s="220"/>
      <c r="F139" s="276">
        <v>0.72</v>
      </c>
      <c r="G139" s="276">
        <v>12</v>
      </c>
      <c r="H139" s="276">
        <f t="shared" si="17"/>
        <v>8.64</v>
      </c>
      <c r="I139" s="220">
        <v>6</v>
      </c>
      <c r="J139" s="220">
        <v>314.91000000000003</v>
      </c>
      <c r="K139" s="269">
        <f t="shared" si="12"/>
        <v>2720.8224000000005</v>
      </c>
      <c r="L139" s="220"/>
      <c r="M139" s="220"/>
      <c r="N139" s="220"/>
      <c r="O139" s="220"/>
      <c r="P139" s="412"/>
      <c r="Q139" s="220"/>
    </row>
    <row r="140" spans="1:17" s="265" customFormat="1" ht="78.75" x14ac:dyDescent="0.25">
      <c r="A140" s="449"/>
      <c r="B140" s="450"/>
      <c r="C140" s="449"/>
      <c r="D140" s="275" t="s">
        <v>574</v>
      </c>
      <c r="E140" s="220"/>
      <c r="F140" s="276">
        <v>2.5499999999999998</v>
      </c>
      <c r="G140" s="276">
        <v>4</v>
      </c>
      <c r="H140" s="276">
        <f t="shared" si="17"/>
        <v>10.199999999999999</v>
      </c>
      <c r="I140" s="220">
        <v>6</v>
      </c>
      <c r="J140" s="220">
        <v>314.91000000000003</v>
      </c>
      <c r="K140" s="269">
        <f t="shared" si="12"/>
        <v>3212.0819999999999</v>
      </c>
      <c r="L140" s="220"/>
      <c r="M140" s="220"/>
      <c r="N140" s="220"/>
      <c r="O140" s="220"/>
      <c r="P140" s="412"/>
      <c r="Q140" s="220"/>
    </row>
    <row r="141" spans="1:17" s="265" customFormat="1" x14ac:dyDescent="0.25">
      <c r="A141" s="449"/>
      <c r="B141" s="450"/>
      <c r="C141" s="449" t="s">
        <v>911</v>
      </c>
      <c r="D141" s="276" t="s">
        <v>44</v>
      </c>
      <c r="E141" s="220"/>
      <c r="F141" s="276">
        <v>10.4</v>
      </c>
      <c r="G141" s="276">
        <v>2</v>
      </c>
      <c r="H141" s="276">
        <f t="shared" si="17"/>
        <v>20.8</v>
      </c>
      <c r="I141" s="220">
        <v>6</v>
      </c>
      <c r="J141" s="220">
        <v>314.91000000000003</v>
      </c>
      <c r="K141" s="269">
        <f t="shared" si="12"/>
        <v>6550.1280000000006</v>
      </c>
      <c r="L141" s="220"/>
      <c r="M141" s="220"/>
      <c r="N141" s="220"/>
      <c r="O141" s="220"/>
      <c r="P141" s="412"/>
      <c r="Q141" s="220"/>
    </row>
    <row r="142" spans="1:17" s="265" customFormat="1" x14ac:dyDescent="0.25">
      <c r="A142" s="449"/>
      <c r="B142" s="450"/>
      <c r="C142" s="449"/>
      <c r="D142" s="276" t="s">
        <v>43</v>
      </c>
      <c r="E142" s="220"/>
      <c r="F142" s="276">
        <v>25.5</v>
      </c>
      <c r="G142" s="276">
        <v>1</v>
      </c>
      <c r="H142" s="276">
        <f t="shared" si="17"/>
        <v>25.5</v>
      </c>
      <c r="I142" s="220">
        <v>6</v>
      </c>
      <c r="J142" s="220">
        <v>314.91000000000003</v>
      </c>
      <c r="K142" s="269">
        <f t="shared" si="12"/>
        <v>8030.2050000000008</v>
      </c>
      <c r="L142" s="220"/>
      <c r="M142" s="220"/>
      <c r="N142" s="220"/>
      <c r="O142" s="220"/>
      <c r="P142" s="412"/>
      <c r="Q142" s="220"/>
    </row>
    <row r="143" spans="1:17" s="265" customFormat="1" x14ac:dyDescent="0.25">
      <c r="A143" s="449"/>
      <c r="B143" s="450"/>
      <c r="C143" s="449"/>
      <c r="D143" s="276" t="s">
        <v>573</v>
      </c>
      <c r="E143" s="220"/>
      <c r="F143" s="276">
        <v>1.33</v>
      </c>
      <c r="G143" s="276">
        <v>12</v>
      </c>
      <c r="H143" s="276">
        <f t="shared" si="17"/>
        <v>15.96</v>
      </c>
      <c r="I143" s="220">
        <v>6</v>
      </c>
      <c r="J143" s="220">
        <v>314.91000000000003</v>
      </c>
      <c r="K143" s="269">
        <f t="shared" si="12"/>
        <v>5025.963600000001</v>
      </c>
      <c r="L143" s="220"/>
      <c r="M143" s="220"/>
      <c r="N143" s="220"/>
      <c r="O143" s="220"/>
      <c r="P143" s="412"/>
      <c r="Q143" s="220"/>
    </row>
    <row r="144" spans="1:17" s="265" customFormat="1" ht="78.75" x14ac:dyDescent="0.25">
      <c r="A144" s="449"/>
      <c r="B144" s="450"/>
      <c r="C144" s="449"/>
      <c r="D144" s="279" t="s">
        <v>574</v>
      </c>
      <c r="E144" s="220"/>
      <c r="F144" s="280">
        <v>4.2</v>
      </c>
      <c r="G144" s="280">
        <v>4</v>
      </c>
      <c r="H144" s="280">
        <f t="shared" si="17"/>
        <v>16.8</v>
      </c>
      <c r="I144" s="220">
        <v>6</v>
      </c>
      <c r="J144" s="220">
        <v>314.91000000000003</v>
      </c>
      <c r="K144" s="269">
        <f t="shared" si="12"/>
        <v>5290.4880000000003</v>
      </c>
      <c r="L144" s="220"/>
      <c r="M144" s="220"/>
      <c r="N144" s="220"/>
      <c r="O144" s="220"/>
      <c r="P144" s="412"/>
      <c r="Q144" s="220"/>
    </row>
    <row r="145" spans="1:17" s="265" customFormat="1" ht="31.5" x14ac:dyDescent="0.25">
      <c r="A145" s="447">
        <v>10</v>
      </c>
      <c r="B145" s="448" t="s">
        <v>1034</v>
      </c>
      <c r="C145" s="447" t="s">
        <v>907</v>
      </c>
      <c r="D145" s="220" t="s">
        <v>44</v>
      </c>
      <c r="E145" s="220"/>
      <c r="F145" s="220">
        <v>4.26</v>
      </c>
      <c r="G145" s="220">
        <v>12</v>
      </c>
      <c r="H145" s="220">
        <f t="shared" si="17"/>
        <v>51.12</v>
      </c>
      <c r="I145" s="220">
        <v>6</v>
      </c>
      <c r="J145" s="220">
        <v>314.91000000000003</v>
      </c>
      <c r="K145" s="269">
        <f t="shared" si="12"/>
        <v>16098.199200000001</v>
      </c>
      <c r="L145" s="281" t="s">
        <v>897</v>
      </c>
      <c r="M145" s="220" t="s">
        <v>560</v>
      </c>
      <c r="N145" s="220">
        <v>1.3</v>
      </c>
      <c r="O145" s="220">
        <v>270.39999999999998</v>
      </c>
      <c r="P145" s="412">
        <f t="shared" ref="P145:P150" si="19">N145*O145</f>
        <v>351.52</v>
      </c>
      <c r="Q145" s="220"/>
    </row>
    <row r="146" spans="1:17" s="265" customFormat="1" ht="47.25" x14ac:dyDescent="0.25">
      <c r="A146" s="447"/>
      <c r="B146" s="448"/>
      <c r="C146" s="447"/>
      <c r="D146" s="220" t="s">
        <v>43</v>
      </c>
      <c r="E146" s="220"/>
      <c r="F146" s="220">
        <v>5.89</v>
      </c>
      <c r="G146" s="220">
        <v>1</v>
      </c>
      <c r="H146" s="220">
        <f t="shared" si="17"/>
        <v>5.89</v>
      </c>
      <c r="I146" s="220">
        <v>6</v>
      </c>
      <c r="J146" s="220">
        <v>314.91000000000003</v>
      </c>
      <c r="K146" s="269">
        <f t="shared" si="12"/>
        <v>1854.8199</v>
      </c>
      <c r="L146" s="281" t="s">
        <v>898</v>
      </c>
      <c r="M146" s="220" t="s">
        <v>560</v>
      </c>
      <c r="N146" s="220">
        <v>0.1</v>
      </c>
      <c r="O146" s="220">
        <v>2907</v>
      </c>
      <c r="P146" s="412">
        <f t="shared" si="19"/>
        <v>290.7</v>
      </c>
      <c r="Q146" s="220"/>
    </row>
    <row r="147" spans="1:17" s="265" customFormat="1" ht="47.25" x14ac:dyDescent="0.25">
      <c r="A147" s="447"/>
      <c r="B147" s="448"/>
      <c r="C147" s="447" t="s">
        <v>908</v>
      </c>
      <c r="D147" s="220" t="s">
        <v>44</v>
      </c>
      <c r="E147" s="220"/>
      <c r="F147" s="220">
        <v>2.11</v>
      </c>
      <c r="G147" s="220">
        <v>12</v>
      </c>
      <c r="H147" s="220">
        <f t="shared" si="17"/>
        <v>25.32</v>
      </c>
      <c r="I147" s="220">
        <v>6</v>
      </c>
      <c r="J147" s="220">
        <v>314.91000000000003</v>
      </c>
      <c r="K147" s="269">
        <f t="shared" si="12"/>
        <v>7973.521200000001</v>
      </c>
      <c r="L147" s="281" t="s">
        <v>899</v>
      </c>
      <c r="M147" s="220" t="s">
        <v>560</v>
      </c>
      <c r="N147" s="220">
        <v>0.4</v>
      </c>
      <c r="O147" s="220">
        <v>3210</v>
      </c>
      <c r="P147" s="412">
        <f t="shared" si="19"/>
        <v>1284</v>
      </c>
      <c r="Q147" s="220"/>
    </row>
    <row r="148" spans="1:17" s="265" customFormat="1" ht="47.25" x14ac:dyDescent="0.25">
      <c r="A148" s="447"/>
      <c r="B148" s="448"/>
      <c r="C148" s="447"/>
      <c r="D148" s="220" t="s">
        <v>43</v>
      </c>
      <c r="E148" s="220"/>
      <c r="F148" s="220">
        <v>1.51</v>
      </c>
      <c r="G148" s="220">
        <v>1</v>
      </c>
      <c r="H148" s="220">
        <f t="shared" si="17"/>
        <v>1.51</v>
      </c>
      <c r="I148" s="220">
        <v>6</v>
      </c>
      <c r="J148" s="220">
        <v>314.91000000000003</v>
      </c>
      <c r="K148" s="269">
        <f t="shared" si="12"/>
        <v>475.51410000000004</v>
      </c>
      <c r="L148" s="281" t="s">
        <v>900</v>
      </c>
      <c r="M148" s="220" t="s">
        <v>560</v>
      </c>
      <c r="N148" s="220">
        <v>0.3</v>
      </c>
      <c r="O148" s="220">
        <v>3450</v>
      </c>
      <c r="P148" s="412">
        <f t="shared" si="19"/>
        <v>1035</v>
      </c>
      <c r="Q148" s="220"/>
    </row>
    <row r="149" spans="1:17" s="265" customFormat="1" ht="31.5" x14ac:dyDescent="0.25">
      <c r="A149" s="447"/>
      <c r="B149" s="448"/>
      <c r="C149" s="447" t="s">
        <v>909</v>
      </c>
      <c r="D149" s="220" t="s">
        <v>44</v>
      </c>
      <c r="E149" s="220"/>
      <c r="F149" s="220">
        <v>2.11</v>
      </c>
      <c r="G149" s="220">
        <v>12</v>
      </c>
      <c r="H149" s="220">
        <f t="shared" si="17"/>
        <v>25.32</v>
      </c>
      <c r="I149" s="220">
        <v>6</v>
      </c>
      <c r="J149" s="220">
        <v>314.91000000000003</v>
      </c>
      <c r="K149" s="269">
        <f t="shared" si="12"/>
        <v>7973.521200000001</v>
      </c>
      <c r="L149" s="281" t="s">
        <v>901</v>
      </c>
      <c r="M149" s="220" t="s">
        <v>560</v>
      </c>
      <c r="N149" s="220">
        <v>1</v>
      </c>
      <c r="O149" s="220">
        <v>435.5</v>
      </c>
      <c r="P149" s="412">
        <f t="shared" si="19"/>
        <v>435.5</v>
      </c>
      <c r="Q149" s="220"/>
    </row>
    <row r="150" spans="1:17" s="265" customFormat="1" ht="31.5" x14ac:dyDescent="0.25">
      <c r="A150" s="447"/>
      <c r="B150" s="448"/>
      <c r="C150" s="447"/>
      <c r="D150" s="220" t="s">
        <v>567</v>
      </c>
      <c r="E150" s="220"/>
      <c r="F150" s="220">
        <v>1.51</v>
      </c>
      <c r="G150" s="220">
        <v>1</v>
      </c>
      <c r="H150" s="220">
        <f t="shared" si="17"/>
        <v>1.51</v>
      </c>
      <c r="I150" s="220">
        <v>6</v>
      </c>
      <c r="J150" s="220">
        <v>314.91000000000003</v>
      </c>
      <c r="K150" s="269">
        <f t="shared" si="12"/>
        <v>475.51410000000004</v>
      </c>
      <c r="L150" s="281" t="s">
        <v>902</v>
      </c>
      <c r="M150" s="220" t="s">
        <v>560</v>
      </c>
      <c r="N150" s="220">
        <v>1.5</v>
      </c>
      <c r="O150" s="220">
        <v>586.4</v>
      </c>
      <c r="P150" s="412">
        <f t="shared" si="19"/>
        <v>879.59999999999991</v>
      </c>
      <c r="Q150" s="220"/>
    </row>
    <row r="151" spans="1:17" s="265" customFormat="1" x14ac:dyDescent="0.25">
      <c r="A151" s="447"/>
      <c r="B151" s="448"/>
      <c r="C151" s="447" t="s">
        <v>910</v>
      </c>
      <c r="D151" s="220" t="s">
        <v>44</v>
      </c>
      <c r="E151" s="220"/>
      <c r="F151" s="220">
        <v>5.56</v>
      </c>
      <c r="G151" s="220">
        <v>2</v>
      </c>
      <c r="H151" s="220">
        <f t="shared" si="17"/>
        <v>11.12</v>
      </c>
      <c r="I151" s="220">
        <v>6</v>
      </c>
      <c r="J151" s="220">
        <v>314.91000000000003</v>
      </c>
      <c r="K151" s="269">
        <f t="shared" si="12"/>
        <v>3501.7991999999999</v>
      </c>
      <c r="L151" s="220"/>
      <c r="M151" s="220"/>
      <c r="N151" s="220"/>
      <c r="O151" s="220"/>
      <c r="P151" s="412"/>
      <c r="Q151" s="220"/>
    </row>
    <row r="152" spans="1:17" s="265" customFormat="1" x14ac:dyDescent="0.25">
      <c r="A152" s="447"/>
      <c r="B152" s="448"/>
      <c r="C152" s="447"/>
      <c r="D152" s="220" t="s">
        <v>43</v>
      </c>
      <c r="E152" s="220"/>
      <c r="F152" s="220">
        <v>13.1</v>
      </c>
      <c r="G152" s="220">
        <v>1</v>
      </c>
      <c r="H152" s="220">
        <f t="shared" si="17"/>
        <v>13.1</v>
      </c>
      <c r="I152" s="220">
        <v>6</v>
      </c>
      <c r="J152" s="220">
        <v>314.91000000000003</v>
      </c>
      <c r="K152" s="269">
        <f t="shared" si="12"/>
        <v>4125.3209999999999</v>
      </c>
      <c r="L152" s="220"/>
      <c r="M152" s="220"/>
      <c r="N152" s="220"/>
      <c r="O152" s="220"/>
      <c r="P152" s="412"/>
      <c r="Q152" s="220"/>
    </row>
    <row r="153" spans="1:17" s="265" customFormat="1" x14ac:dyDescent="0.25">
      <c r="A153" s="447"/>
      <c r="B153" s="448"/>
      <c r="C153" s="447"/>
      <c r="D153" s="220" t="s">
        <v>573</v>
      </c>
      <c r="E153" s="220"/>
      <c r="F153" s="220">
        <v>0.72</v>
      </c>
      <c r="G153" s="220">
        <v>12</v>
      </c>
      <c r="H153" s="220">
        <f t="shared" si="17"/>
        <v>8.64</v>
      </c>
      <c r="I153" s="220">
        <v>6</v>
      </c>
      <c r="J153" s="220">
        <v>314.91000000000003</v>
      </c>
      <c r="K153" s="269">
        <f t="shared" si="12"/>
        <v>2720.8224000000005</v>
      </c>
      <c r="L153" s="220"/>
      <c r="M153" s="220"/>
      <c r="N153" s="220"/>
      <c r="O153" s="220"/>
      <c r="P153" s="412"/>
      <c r="Q153" s="220"/>
    </row>
    <row r="154" spans="1:17" s="265" customFormat="1" ht="78.75" x14ac:dyDescent="0.25">
      <c r="A154" s="447"/>
      <c r="B154" s="448"/>
      <c r="C154" s="447"/>
      <c r="D154" s="281" t="s">
        <v>574</v>
      </c>
      <c r="E154" s="220"/>
      <c r="F154" s="220">
        <v>2.5499999999999998</v>
      </c>
      <c r="G154" s="220">
        <v>4</v>
      </c>
      <c r="H154" s="220">
        <f t="shared" si="17"/>
        <v>10.199999999999999</v>
      </c>
      <c r="I154" s="220">
        <v>6</v>
      </c>
      <c r="J154" s="220">
        <v>314.91000000000003</v>
      </c>
      <c r="K154" s="269">
        <f t="shared" si="12"/>
        <v>3212.0819999999999</v>
      </c>
      <c r="L154" s="220"/>
      <c r="M154" s="220"/>
      <c r="N154" s="220"/>
      <c r="O154" s="220"/>
      <c r="P154" s="412"/>
      <c r="Q154" s="220"/>
    </row>
    <row r="155" spans="1:17" s="265" customFormat="1" x14ac:dyDescent="0.25">
      <c r="A155" s="447"/>
      <c r="B155" s="448"/>
      <c r="C155" s="447" t="s">
        <v>911</v>
      </c>
      <c r="D155" s="220" t="s">
        <v>44</v>
      </c>
      <c r="E155" s="220"/>
      <c r="F155" s="220">
        <v>10.4</v>
      </c>
      <c r="G155" s="220">
        <v>2</v>
      </c>
      <c r="H155" s="220">
        <f t="shared" si="17"/>
        <v>20.8</v>
      </c>
      <c r="I155" s="220">
        <v>6</v>
      </c>
      <c r="J155" s="220">
        <v>314.91000000000003</v>
      </c>
      <c r="K155" s="269">
        <f t="shared" si="12"/>
        <v>6550.1280000000006</v>
      </c>
      <c r="L155" s="220"/>
      <c r="M155" s="220"/>
      <c r="N155" s="220"/>
      <c r="O155" s="220"/>
      <c r="P155" s="412"/>
      <c r="Q155" s="220"/>
    </row>
    <row r="156" spans="1:17" s="265" customFormat="1" x14ac:dyDescent="0.25">
      <c r="A156" s="447"/>
      <c r="B156" s="448"/>
      <c r="C156" s="447"/>
      <c r="D156" s="220" t="s">
        <v>43</v>
      </c>
      <c r="E156" s="220"/>
      <c r="F156" s="220">
        <v>25.5</v>
      </c>
      <c r="G156" s="220">
        <v>1</v>
      </c>
      <c r="H156" s="220">
        <f t="shared" si="17"/>
        <v>25.5</v>
      </c>
      <c r="I156" s="220">
        <v>6</v>
      </c>
      <c r="J156" s="220">
        <v>314.91000000000003</v>
      </c>
      <c r="K156" s="269">
        <f t="shared" si="12"/>
        <v>8030.2050000000008</v>
      </c>
      <c r="L156" s="220"/>
      <c r="M156" s="220"/>
      <c r="N156" s="220"/>
      <c r="O156" s="220"/>
      <c r="P156" s="412"/>
      <c r="Q156" s="220"/>
    </row>
    <row r="157" spans="1:17" s="265" customFormat="1" x14ac:dyDescent="0.25">
      <c r="A157" s="447"/>
      <c r="B157" s="448"/>
      <c r="C157" s="447"/>
      <c r="D157" s="220" t="s">
        <v>573</v>
      </c>
      <c r="E157" s="220"/>
      <c r="F157" s="220">
        <v>1.33</v>
      </c>
      <c r="G157" s="220">
        <v>12</v>
      </c>
      <c r="H157" s="220">
        <f t="shared" si="17"/>
        <v>15.96</v>
      </c>
      <c r="I157" s="220">
        <v>6</v>
      </c>
      <c r="J157" s="220">
        <v>314.91000000000003</v>
      </c>
      <c r="K157" s="269">
        <f t="shared" si="12"/>
        <v>5025.963600000001</v>
      </c>
      <c r="L157" s="220"/>
      <c r="M157" s="220"/>
      <c r="N157" s="220"/>
      <c r="O157" s="220"/>
      <c r="P157" s="412"/>
      <c r="Q157" s="220"/>
    </row>
    <row r="158" spans="1:17" s="265" customFormat="1" ht="78.75" x14ac:dyDescent="0.25">
      <c r="A158" s="447"/>
      <c r="B158" s="448"/>
      <c r="C158" s="447"/>
      <c r="D158" s="282" t="s">
        <v>574</v>
      </c>
      <c r="E158" s="220"/>
      <c r="F158" s="283">
        <v>4.2</v>
      </c>
      <c r="G158" s="283">
        <v>4</v>
      </c>
      <c r="H158" s="283">
        <f t="shared" si="17"/>
        <v>16.8</v>
      </c>
      <c r="I158" s="220">
        <v>6</v>
      </c>
      <c r="J158" s="220">
        <v>314.91000000000003</v>
      </c>
      <c r="K158" s="269">
        <f t="shared" si="12"/>
        <v>5290.4880000000003</v>
      </c>
      <c r="L158" s="220"/>
      <c r="M158" s="220"/>
      <c r="N158" s="220"/>
      <c r="O158" s="220"/>
      <c r="P158" s="412"/>
      <c r="Q158" s="220"/>
    </row>
    <row r="159" spans="1:17" s="382" customFormat="1" ht="33" customHeight="1" x14ac:dyDescent="0.25">
      <c r="A159" s="466" t="s">
        <v>915</v>
      </c>
      <c r="B159" s="467"/>
      <c r="C159" s="467"/>
      <c r="D159" s="467"/>
      <c r="E159" s="467"/>
      <c r="F159" s="467"/>
      <c r="G159" s="467"/>
      <c r="H159" s="467"/>
      <c r="I159" s="467"/>
      <c r="J159" s="468"/>
      <c r="K159" s="288">
        <f>SUM(K5:K158)</f>
        <v>721183.06335387263</v>
      </c>
      <c r="L159" s="469"/>
      <c r="M159" s="470"/>
      <c r="N159" s="470"/>
      <c r="O159" s="471"/>
      <c r="P159" s="289">
        <f>SUM(P5:P158)</f>
        <v>112567.54000000002</v>
      </c>
      <c r="Q159" s="381"/>
    </row>
    <row r="160" spans="1:17" s="382" customFormat="1" ht="33" customHeight="1" x14ac:dyDescent="0.25">
      <c r="A160" s="472" t="s">
        <v>916</v>
      </c>
      <c r="B160" s="472"/>
      <c r="C160" s="472"/>
      <c r="D160" s="472"/>
      <c r="E160" s="472"/>
      <c r="F160" s="472"/>
      <c r="G160" s="472"/>
      <c r="H160" s="472"/>
      <c r="I160" s="472"/>
      <c r="J160" s="472"/>
      <c r="K160" s="472"/>
      <c r="L160" s="472"/>
      <c r="M160" s="472"/>
      <c r="N160" s="472"/>
      <c r="O160" s="472"/>
      <c r="P160" s="290">
        <f>K159+P159</f>
        <v>833750.60335387266</v>
      </c>
      <c r="Q160" s="381"/>
    </row>
    <row r="161" spans="1:17" s="292" customFormat="1" ht="33" customHeight="1" x14ac:dyDescent="0.25">
      <c r="A161" s="379"/>
      <c r="B161" s="379"/>
      <c r="C161" s="379"/>
      <c r="D161" s="379"/>
      <c r="E161" s="379"/>
      <c r="F161" s="379"/>
      <c r="G161" s="379"/>
      <c r="H161" s="379"/>
      <c r="I161" s="379"/>
      <c r="J161" s="379"/>
      <c r="K161" s="379"/>
      <c r="L161" s="379"/>
      <c r="M161" s="379"/>
      <c r="N161" s="379"/>
      <c r="O161" s="379"/>
      <c r="P161" s="380"/>
      <c r="Q161" s="291"/>
    </row>
    <row r="162" spans="1:17" s="292" customFormat="1" ht="33" customHeight="1" x14ac:dyDescent="0.25">
      <c r="A162" s="250" t="s">
        <v>278</v>
      </c>
      <c r="B162" s="473" t="s">
        <v>920</v>
      </c>
      <c r="C162" s="473"/>
      <c r="D162" s="473"/>
      <c r="E162" s="473"/>
      <c r="F162" s="473"/>
      <c r="G162" s="473"/>
      <c r="H162" s="473"/>
      <c r="I162" s="473"/>
      <c r="J162" s="379"/>
      <c r="K162" s="379"/>
      <c r="L162" s="379"/>
      <c r="M162" s="379"/>
      <c r="N162" s="379"/>
      <c r="O162" s="379"/>
      <c r="P162" s="380"/>
      <c r="Q162" s="291"/>
    </row>
    <row r="163" spans="1:17" x14ac:dyDescent="0.25">
      <c r="A163" s="15"/>
      <c r="B163" s="232" t="s">
        <v>577</v>
      </c>
      <c r="C163" s="232"/>
      <c r="D163" s="232"/>
      <c r="E163" s="232"/>
      <c r="F163" s="44"/>
      <c r="G163" s="44"/>
      <c r="H163" s="284"/>
      <c r="I163" s="44"/>
      <c r="J163" s="284"/>
      <c r="K163" s="285"/>
      <c r="L163" s="44"/>
      <c r="M163" s="286"/>
      <c r="N163" s="286"/>
      <c r="O163" s="44"/>
      <c r="P163" s="44"/>
      <c r="Q163" s="44"/>
    </row>
    <row r="164" spans="1:17" x14ac:dyDescent="0.25">
      <c r="A164" s="22" t="s">
        <v>278</v>
      </c>
      <c r="B164" s="20" t="s">
        <v>279</v>
      </c>
      <c r="C164" s="21"/>
      <c r="D164" s="22"/>
      <c r="E164" s="22"/>
      <c r="F164" s="21"/>
      <c r="G164" s="21"/>
      <c r="H164" s="21"/>
    </row>
    <row r="165" spans="1:17" s="287" customFormat="1" ht="46.5" customHeight="1" x14ac:dyDescent="0.25">
      <c r="A165" s="22" t="s">
        <v>578</v>
      </c>
      <c r="B165" s="461" t="s">
        <v>917</v>
      </c>
      <c r="C165" s="461"/>
      <c r="D165" s="461"/>
      <c r="E165" s="461"/>
      <c r="F165" s="461"/>
      <c r="G165" s="461"/>
      <c r="H165" s="461"/>
      <c r="I165" s="461"/>
      <c r="J165" s="461"/>
      <c r="K165" s="461"/>
      <c r="L165" s="461"/>
      <c r="M165" s="461"/>
      <c r="N165" s="461"/>
      <c r="O165" s="461"/>
      <c r="P165" s="461"/>
      <c r="Q165" s="461"/>
    </row>
    <row r="166" spans="1:17" ht="40.5" customHeight="1" x14ac:dyDescent="0.25">
      <c r="A166" s="22" t="s">
        <v>579</v>
      </c>
      <c r="B166" s="461" t="s">
        <v>918</v>
      </c>
      <c r="C166" s="461"/>
      <c r="D166" s="461"/>
      <c r="E166" s="461"/>
      <c r="F166" s="461"/>
      <c r="G166" s="461"/>
      <c r="H166" s="461"/>
      <c r="I166" s="461"/>
      <c r="J166" s="461"/>
      <c r="K166" s="461"/>
      <c r="L166" s="461"/>
      <c r="M166" s="461"/>
      <c r="N166" s="461"/>
      <c r="O166" s="461"/>
      <c r="P166" s="461"/>
      <c r="Q166" s="461"/>
    </row>
    <row r="167" spans="1:17" ht="42" customHeight="1" x14ac:dyDescent="0.25">
      <c r="A167" s="22" t="s">
        <v>580</v>
      </c>
      <c r="B167" s="461" t="s">
        <v>919</v>
      </c>
      <c r="C167" s="461"/>
      <c r="D167" s="461"/>
      <c r="E167" s="461"/>
      <c r="F167" s="461"/>
      <c r="G167" s="461"/>
      <c r="H167" s="461"/>
      <c r="I167" s="461"/>
      <c r="J167" s="461"/>
      <c r="K167" s="461"/>
      <c r="L167" s="461"/>
      <c r="M167" s="461"/>
      <c r="N167" s="461"/>
      <c r="O167" s="461"/>
      <c r="P167" s="461"/>
      <c r="Q167" s="461"/>
    </row>
    <row r="168" spans="1:17" x14ac:dyDescent="0.25">
      <c r="B168" s="17"/>
      <c r="D168" s="17"/>
      <c r="E168" s="17"/>
    </row>
    <row r="169" spans="1:17" x14ac:dyDescent="0.25">
      <c r="B169" s="17"/>
      <c r="D169" s="17"/>
      <c r="E169" s="17"/>
    </row>
    <row r="170" spans="1:17" x14ac:dyDescent="0.25">
      <c r="B170" s="17"/>
      <c r="D170" s="17"/>
      <c r="E170" s="17"/>
    </row>
    <row r="171" spans="1:17" x14ac:dyDescent="0.25">
      <c r="B171" s="17"/>
      <c r="D171" s="17"/>
      <c r="E171" s="17"/>
    </row>
    <row r="172" spans="1:17" x14ac:dyDescent="0.25">
      <c r="B172" s="17"/>
      <c r="D172" s="17"/>
      <c r="E172" s="17"/>
    </row>
    <row r="173" spans="1:17" x14ac:dyDescent="0.25">
      <c r="B173" s="17"/>
      <c r="D173" s="17"/>
      <c r="E173" s="17"/>
    </row>
    <row r="174" spans="1:17" x14ac:dyDescent="0.25">
      <c r="B174" s="17"/>
      <c r="D174" s="17"/>
      <c r="E174" s="17"/>
    </row>
    <row r="175" spans="1:17" x14ac:dyDescent="0.25">
      <c r="B175" s="17"/>
      <c r="D175" s="17"/>
      <c r="E175" s="17"/>
    </row>
    <row r="176" spans="1:17" x14ac:dyDescent="0.25">
      <c r="B176" s="17"/>
      <c r="D176" s="17"/>
      <c r="E176" s="17"/>
    </row>
    <row r="177" spans="2:5" x14ac:dyDescent="0.25">
      <c r="B177" s="17"/>
      <c r="D177" s="17"/>
      <c r="E177" s="17"/>
    </row>
    <row r="178" spans="2:5" x14ac:dyDescent="0.25">
      <c r="B178" s="17"/>
      <c r="D178" s="17"/>
      <c r="E178" s="17"/>
    </row>
    <row r="179" spans="2:5" x14ac:dyDescent="0.25">
      <c r="B179" s="17"/>
      <c r="D179" s="17"/>
      <c r="E179" s="17"/>
    </row>
  </sheetData>
  <mergeCells count="133">
    <mergeCell ref="N115:N116"/>
    <mergeCell ref="O115:O116"/>
    <mergeCell ref="P115:P116"/>
    <mergeCell ref="N109:N110"/>
    <mergeCell ref="O109:O110"/>
    <mergeCell ref="P109:P110"/>
    <mergeCell ref="N111:N112"/>
    <mergeCell ref="O111:O112"/>
    <mergeCell ref="P111:P112"/>
    <mergeCell ref="N113:N114"/>
    <mergeCell ref="O113:O114"/>
    <mergeCell ref="P113:P114"/>
    <mergeCell ref="N103:N104"/>
    <mergeCell ref="O103:O104"/>
    <mergeCell ref="P103:P104"/>
    <mergeCell ref="N105:N106"/>
    <mergeCell ref="O105:O106"/>
    <mergeCell ref="P105:P106"/>
    <mergeCell ref="N107:N108"/>
    <mergeCell ref="O107:O108"/>
    <mergeCell ref="P107:P108"/>
    <mergeCell ref="G3:G4"/>
    <mergeCell ref="H3:H4"/>
    <mergeCell ref="L3:P3"/>
    <mergeCell ref="Q3:Q4"/>
    <mergeCell ref="M4:N4"/>
    <mergeCell ref="F3:F4"/>
    <mergeCell ref="A3:A4"/>
    <mergeCell ref="B3:B4"/>
    <mergeCell ref="C3:C4"/>
    <mergeCell ref="D3:D4"/>
    <mergeCell ref="E3:E4"/>
    <mergeCell ref="I3:K3"/>
    <mergeCell ref="B5:B22"/>
    <mergeCell ref="C5:C6"/>
    <mergeCell ref="C7:C8"/>
    <mergeCell ref="C9:C10"/>
    <mergeCell ref="C11:C12"/>
    <mergeCell ref="C13:C14"/>
    <mergeCell ref="C15:C18"/>
    <mergeCell ref="C19:C22"/>
    <mergeCell ref="B23:B34"/>
    <mergeCell ref="C23:C24"/>
    <mergeCell ref="C25:C26"/>
    <mergeCell ref="C27:C30"/>
    <mergeCell ref="C31:C34"/>
    <mergeCell ref="B63:B78"/>
    <mergeCell ref="C63:C64"/>
    <mergeCell ref="C65:C66"/>
    <mergeCell ref="C67:C68"/>
    <mergeCell ref="C69:C70"/>
    <mergeCell ref="C71:C74"/>
    <mergeCell ref="C75:C78"/>
    <mergeCell ref="C37:C38"/>
    <mergeCell ref="C39:C40"/>
    <mergeCell ref="C41:C44"/>
    <mergeCell ref="C45:C48"/>
    <mergeCell ref="B49:B62"/>
    <mergeCell ref="C49:C50"/>
    <mergeCell ref="C51:C52"/>
    <mergeCell ref="C53:C54"/>
    <mergeCell ref="C55:C58"/>
    <mergeCell ref="C59:C62"/>
    <mergeCell ref="B35:B48"/>
    <mergeCell ref="C35:C36"/>
    <mergeCell ref="B167:Q167"/>
    <mergeCell ref="B79:B94"/>
    <mergeCell ref="C79:C80"/>
    <mergeCell ref="C81:C82"/>
    <mergeCell ref="C83:C84"/>
    <mergeCell ref="C85:C86"/>
    <mergeCell ref="C87:C90"/>
    <mergeCell ref="C91:C94"/>
    <mergeCell ref="C105:C106"/>
    <mergeCell ref="A159:J159"/>
    <mergeCell ref="L159:O159"/>
    <mergeCell ref="A160:O160"/>
    <mergeCell ref="B162:I162"/>
    <mergeCell ref="A95:A116"/>
    <mergeCell ref="B95:B116"/>
    <mergeCell ref="C95:C96"/>
    <mergeCell ref="C97:C98"/>
    <mergeCell ref="C99:C100"/>
    <mergeCell ref="C101:C102"/>
    <mergeCell ref="C103:C104"/>
    <mergeCell ref="B165:Q165"/>
    <mergeCell ref="B166:Q166"/>
    <mergeCell ref="C121:C122"/>
    <mergeCell ref="C123:C126"/>
    <mergeCell ref="C127:C130"/>
    <mergeCell ref="C115:C116"/>
    <mergeCell ref="L103:L104"/>
    <mergeCell ref="M103:M104"/>
    <mergeCell ref="L105:L106"/>
    <mergeCell ref="M105:M106"/>
    <mergeCell ref="L107:L108"/>
    <mergeCell ref="M107:M108"/>
    <mergeCell ref="L111:L112"/>
    <mergeCell ref="M111:M112"/>
    <mergeCell ref="L115:L116"/>
    <mergeCell ref="M115:M116"/>
    <mergeCell ref="C111:C112"/>
    <mergeCell ref="C113:C114"/>
    <mergeCell ref="C107:C108"/>
    <mergeCell ref="C109:C110"/>
    <mergeCell ref="L109:L110"/>
    <mergeCell ref="M109:M110"/>
    <mergeCell ref="L113:L114"/>
    <mergeCell ref="M113:M114"/>
    <mergeCell ref="A79:A94"/>
    <mergeCell ref="A5:A22"/>
    <mergeCell ref="A23:A34"/>
    <mergeCell ref="A35:A48"/>
    <mergeCell ref="A49:A62"/>
    <mergeCell ref="A63:A78"/>
    <mergeCell ref="A145:A158"/>
    <mergeCell ref="B145:B158"/>
    <mergeCell ref="C145:C146"/>
    <mergeCell ref="C147:C148"/>
    <mergeCell ref="C149:C150"/>
    <mergeCell ref="C151:C154"/>
    <mergeCell ref="C155:C158"/>
    <mergeCell ref="A131:A144"/>
    <mergeCell ref="B131:B144"/>
    <mergeCell ref="C131:C132"/>
    <mergeCell ref="C133:C134"/>
    <mergeCell ref="C135:C136"/>
    <mergeCell ref="C137:C140"/>
    <mergeCell ref="C141:C144"/>
    <mergeCell ref="A117:A130"/>
    <mergeCell ref="B117:B130"/>
    <mergeCell ref="C117:C118"/>
    <mergeCell ref="C119:C120"/>
  </mergeCells>
  <pageMargins left="0.39370078740157483" right="0.19685039370078741" top="0.78740157480314965" bottom="0.78740157480314965" header="0" footer="0"/>
  <pageSetup paperSize="8" scale="70" orientation="landscape" r:id="rId1"/>
  <rowBreaks count="3" manualBreakCount="3">
    <brk id="34" max="16" man="1"/>
    <brk id="78" max="16" man="1"/>
    <brk id="139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"/>
  <sheetViews>
    <sheetView workbookViewId="0">
      <selection activeCell="E17" sqref="E17"/>
    </sheetView>
  </sheetViews>
  <sheetFormatPr defaultRowHeight="15" x14ac:dyDescent="0.25"/>
  <cols>
    <col min="1" max="1" width="15.7109375" customWidth="1"/>
  </cols>
  <sheetData>
    <row r="1" spans="1:5" x14ac:dyDescent="0.25">
      <c r="B1" t="s">
        <v>7</v>
      </c>
      <c r="C1" t="s">
        <v>581</v>
      </c>
      <c r="D1" t="s">
        <v>582</v>
      </c>
      <c r="E1" t="s">
        <v>583</v>
      </c>
    </row>
    <row r="2" spans="1:5" x14ac:dyDescent="0.25">
      <c r="A2" t="s">
        <v>584</v>
      </c>
      <c r="B2">
        <v>51750</v>
      </c>
      <c r="C2">
        <f>B2*0.302</f>
        <v>15628.5</v>
      </c>
      <c r="D2">
        <f>B2+C2</f>
        <v>67378.5</v>
      </c>
      <c r="E2">
        <f>D2/164</f>
        <v>410.84451219512198</v>
      </c>
    </row>
    <row r="3" spans="1:5" x14ac:dyDescent="0.25">
      <c r="A3" t="s">
        <v>731</v>
      </c>
      <c r="E3">
        <f>E2*1.3</f>
        <v>534.09786585365862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R578"/>
  <sheetViews>
    <sheetView view="pageBreakPreview" topLeftCell="A239" zoomScale="80" zoomScaleNormal="90" zoomScaleSheetLayoutView="80" workbookViewId="0">
      <selection activeCell="B343" sqref="B343:B364"/>
    </sheetView>
  </sheetViews>
  <sheetFormatPr defaultColWidth="9.140625" defaultRowHeight="15.75" x14ac:dyDescent="0.25"/>
  <cols>
    <col min="1" max="1" width="4.28515625" style="38" customWidth="1"/>
    <col min="2" max="2" width="27.5703125" style="17" customWidth="1"/>
    <col min="3" max="3" width="34.140625" style="17" customWidth="1"/>
    <col min="4" max="4" width="21.42578125" style="17" customWidth="1"/>
    <col min="5" max="5" width="6.28515625" style="17" customWidth="1"/>
    <col min="6" max="6" width="7.42578125" style="17" customWidth="1"/>
    <col min="7" max="7" width="13.42578125" style="17" customWidth="1"/>
    <col min="8" max="8" width="7.7109375" style="39" customWidth="1"/>
    <col min="9" max="9" width="13.7109375" style="17" customWidth="1"/>
    <col min="10" max="11" width="9.140625" style="17" customWidth="1"/>
    <col min="12" max="12" width="10.85546875" style="17" hidden="1" customWidth="1"/>
    <col min="13" max="13" width="18.7109375" style="38" bestFit="1" customWidth="1"/>
    <col min="14" max="14" width="27.28515625" style="41" customWidth="1"/>
    <col min="15" max="16" width="9.140625" style="16"/>
    <col min="17" max="17" width="24.7109375" style="16" customWidth="1"/>
    <col min="18" max="16384" width="9.140625" style="17"/>
  </cols>
  <sheetData>
    <row r="1" spans="1:17" x14ac:dyDescent="0.25">
      <c r="A1" s="24" t="s">
        <v>367</v>
      </c>
      <c r="B1" s="24"/>
      <c r="C1" s="24"/>
      <c r="D1" s="25"/>
      <c r="E1" s="236"/>
      <c r="F1" s="25"/>
      <c r="G1" s="24"/>
      <c r="H1" s="24"/>
      <c r="I1" s="24"/>
      <c r="J1" s="24"/>
      <c r="K1" s="24"/>
      <c r="L1" s="24"/>
      <c r="M1" s="25"/>
      <c r="N1" s="24"/>
      <c r="O1" s="24"/>
      <c r="P1" s="24"/>
      <c r="Q1" s="24"/>
    </row>
    <row r="2" spans="1:17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24"/>
      <c r="O2" s="24"/>
      <c r="P2" s="24"/>
      <c r="Q2" s="24"/>
    </row>
    <row r="3" spans="1:17" ht="15.75" customHeight="1" x14ac:dyDescent="0.25">
      <c r="A3" s="554" t="s">
        <v>368</v>
      </c>
      <c r="B3" s="554" t="s">
        <v>369</v>
      </c>
      <c r="C3" s="545" t="s">
        <v>26</v>
      </c>
      <c r="D3" s="555" t="s">
        <v>370</v>
      </c>
      <c r="E3" s="555" t="s">
        <v>371</v>
      </c>
      <c r="F3" s="544" t="s">
        <v>28</v>
      </c>
      <c r="G3" s="544" t="s">
        <v>372</v>
      </c>
      <c r="H3" s="544" t="s">
        <v>373</v>
      </c>
      <c r="I3" s="545" t="s">
        <v>32</v>
      </c>
      <c r="J3" s="545"/>
      <c r="K3" s="545"/>
      <c r="L3" s="545"/>
      <c r="M3" s="545"/>
      <c r="N3" s="553" t="s">
        <v>33</v>
      </c>
      <c r="O3" s="553"/>
      <c r="P3" s="553"/>
      <c r="Q3" s="553"/>
    </row>
    <row r="4" spans="1:17" ht="178.5" x14ac:dyDescent="0.25">
      <c r="A4" s="554"/>
      <c r="B4" s="554"/>
      <c r="C4" s="545"/>
      <c r="D4" s="555"/>
      <c r="E4" s="555"/>
      <c r="F4" s="544"/>
      <c r="G4" s="544"/>
      <c r="H4" s="544"/>
      <c r="I4" s="237" t="s">
        <v>374</v>
      </c>
      <c r="J4" s="233" t="s">
        <v>375</v>
      </c>
      <c r="K4" s="233" t="s">
        <v>376</v>
      </c>
      <c r="L4" s="234" t="s">
        <v>377</v>
      </c>
      <c r="M4" s="234" t="s">
        <v>378</v>
      </c>
      <c r="N4" s="235" t="s">
        <v>38</v>
      </c>
      <c r="O4" s="233" t="s">
        <v>379</v>
      </c>
      <c r="P4" s="233" t="s">
        <v>380</v>
      </c>
      <c r="Q4" s="233" t="s">
        <v>381</v>
      </c>
    </row>
    <row r="5" spans="1:17" x14ac:dyDescent="0.25">
      <c r="A5" s="491">
        <v>1</v>
      </c>
      <c r="B5" s="515" t="s">
        <v>1030</v>
      </c>
      <c r="C5" s="512" t="s">
        <v>382</v>
      </c>
      <c r="D5" s="499" t="s">
        <v>383</v>
      </c>
      <c r="E5" s="500">
        <v>22</v>
      </c>
      <c r="F5" s="215" t="s">
        <v>384</v>
      </c>
      <c r="G5" s="222">
        <f>0.006*1.5</f>
        <v>9.0000000000000011E-3</v>
      </c>
      <c r="H5" s="215">
        <v>2</v>
      </c>
      <c r="I5" s="238">
        <f>G5*H5*1.1*351</f>
        <v>6.9498000000000015</v>
      </c>
      <c r="J5" s="215">
        <v>4</v>
      </c>
      <c r="K5" s="27">
        <v>279.92</v>
      </c>
      <c r="L5" s="27"/>
      <c r="M5" s="28">
        <f>I5*K5</f>
        <v>1945.3880160000006</v>
      </c>
      <c r="N5" s="524" t="s">
        <v>385</v>
      </c>
      <c r="O5" s="526">
        <v>2</v>
      </c>
      <c r="P5" s="489">
        <v>1345</v>
      </c>
      <c r="Q5" s="558">
        <f>P5*O5</f>
        <v>2690</v>
      </c>
    </row>
    <row r="6" spans="1:17" x14ac:dyDescent="0.25">
      <c r="A6" s="491"/>
      <c r="B6" s="515"/>
      <c r="C6" s="512"/>
      <c r="D6" s="499"/>
      <c r="E6" s="500"/>
      <c r="F6" s="215" t="s">
        <v>386</v>
      </c>
      <c r="G6" s="222">
        <f>G5*0.1</f>
        <v>9.0000000000000019E-4</v>
      </c>
      <c r="H6" s="215">
        <v>10</v>
      </c>
      <c r="I6" s="238">
        <f t="shared" ref="I6:I18" si="0">G6*H6*1.1*351</f>
        <v>3.4749000000000008</v>
      </c>
      <c r="J6" s="215">
        <v>4</v>
      </c>
      <c r="K6" s="27">
        <v>279.92</v>
      </c>
      <c r="L6" s="27"/>
      <c r="M6" s="28">
        <f t="shared" ref="M6:M69" si="1">I6*K6</f>
        <v>972.69400800000028</v>
      </c>
      <c r="N6" s="524"/>
      <c r="O6" s="526"/>
      <c r="P6" s="490"/>
      <c r="Q6" s="559">
        <f t="shared" ref="Q6:Q69" si="2">P6*O6</f>
        <v>0</v>
      </c>
    </row>
    <row r="7" spans="1:17" x14ac:dyDescent="0.25">
      <c r="A7" s="491"/>
      <c r="B7" s="515"/>
      <c r="C7" s="512" t="s">
        <v>387</v>
      </c>
      <c r="D7" s="499" t="s">
        <v>383</v>
      </c>
      <c r="E7" s="500">
        <v>22</v>
      </c>
      <c r="F7" s="215" t="s">
        <v>384</v>
      </c>
      <c r="G7" s="222">
        <f>0.006*1.5</f>
        <v>9.0000000000000011E-3</v>
      </c>
      <c r="H7" s="215">
        <v>2</v>
      </c>
      <c r="I7" s="238">
        <f t="shared" si="0"/>
        <v>6.9498000000000015</v>
      </c>
      <c r="J7" s="215">
        <v>4</v>
      </c>
      <c r="K7" s="27">
        <v>279.92</v>
      </c>
      <c r="L7" s="27"/>
      <c r="M7" s="28">
        <f t="shared" si="1"/>
        <v>1945.3880160000006</v>
      </c>
      <c r="N7" s="524" t="s">
        <v>385</v>
      </c>
      <c r="O7" s="526">
        <v>2</v>
      </c>
      <c r="P7" s="489">
        <v>1345</v>
      </c>
      <c r="Q7" s="558">
        <f t="shared" si="2"/>
        <v>2690</v>
      </c>
    </row>
    <row r="8" spans="1:17" x14ac:dyDescent="0.25">
      <c r="A8" s="491"/>
      <c r="B8" s="515"/>
      <c r="C8" s="512"/>
      <c r="D8" s="499"/>
      <c r="E8" s="500"/>
      <c r="F8" s="215" t="s">
        <v>386</v>
      </c>
      <c r="G8" s="222">
        <f>G7*0.1</f>
        <v>9.0000000000000019E-4</v>
      </c>
      <c r="H8" s="215">
        <v>10</v>
      </c>
      <c r="I8" s="238">
        <f t="shared" si="0"/>
        <v>3.4749000000000008</v>
      </c>
      <c r="J8" s="215">
        <v>4</v>
      </c>
      <c r="K8" s="27">
        <v>279.92</v>
      </c>
      <c r="L8" s="27"/>
      <c r="M8" s="28">
        <f t="shared" si="1"/>
        <v>972.69400800000028</v>
      </c>
      <c r="N8" s="524"/>
      <c r="O8" s="526"/>
      <c r="P8" s="490"/>
      <c r="Q8" s="559">
        <f t="shared" si="2"/>
        <v>0</v>
      </c>
    </row>
    <row r="9" spans="1:17" x14ac:dyDescent="0.25">
      <c r="A9" s="491"/>
      <c r="B9" s="515"/>
      <c r="C9" s="504" t="s">
        <v>388</v>
      </c>
      <c r="D9" s="499" t="s">
        <v>389</v>
      </c>
      <c r="E9" s="500">
        <v>37</v>
      </c>
      <c r="F9" s="215" t="s">
        <v>384</v>
      </c>
      <c r="G9" s="27">
        <f>0.008*1.5</f>
        <v>1.2E-2</v>
      </c>
      <c r="H9" s="215">
        <v>2</v>
      </c>
      <c r="I9" s="27">
        <f t="shared" si="0"/>
        <v>9.2664000000000009</v>
      </c>
      <c r="J9" s="215">
        <v>4</v>
      </c>
      <c r="K9" s="27">
        <v>279.92</v>
      </c>
      <c r="L9" s="27"/>
      <c r="M9" s="28">
        <f t="shared" si="1"/>
        <v>2593.8506880000004</v>
      </c>
      <c r="N9" s="524" t="s">
        <v>390</v>
      </c>
      <c r="O9" s="526">
        <v>2</v>
      </c>
      <c r="P9" s="489">
        <v>1970</v>
      </c>
      <c r="Q9" s="558">
        <f t="shared" si="2"/>
        <v>3940</v>
      </c>
    </row>
    <row r="10" spans="1:17" x14ac:dyDescent="0.25">
      <c r="A10" s="491"/>
      <c r="B10" s="515"/>
      <c r="C10" s="504"/>
      <c r="D10" s="499"/>
      <c r="E10" s="500"/>
      <c r="F10" s="215" t="s">
        <v>386</v>
      </c>
      <c r="G10" s="223">
        <f>G9*0.1</f>
        <v>1.2000000000000001E-3</v>
      </c>
      <c r="H10" s="215">
        <v>10</v>
      </c>
      <c r="I10" s="27">
        <f t="shared" si="0"/>
        <v>4.6332000000000004</v>
      </c>
      <c r="J10" s="215">
        <v>4</v>
      </c>
      <c r="K10" s="27">
        <v>279.92</v>
      </c>
      <c r="L10" s="27"/>
      <c r="M10" s="28">
        <f t="shared" si="1"/>
        <v>1296.9253440000002</v>
      </c>
      <c r="N10" s="524"/>
      <c r="O10" s="526"/>
      <c r="P10" s="490"/>
      <c r="Q10" s="559">
        <f t="shared" si="2"/>
        <v>0</v>
      </c>
    </row>
    <row r="11" spans="1:17" x14ac:dyDescent="0.25">
      <c r="A11" s="491"/>
      <c r="B11" s="515"/>
      <c r="C11" s="504" t="s">
        <v>391</v>
      </c>
      <c r="D11" s="499" t="s">
        <v>389</v>
      </c>
      <c r="E11" s="500">
        <v>37</v>
      </c>
      <c r="F11" s="215" t="s">
        <v>384</v>
      </c>
      <c r="G11" s="27">
        <f>0.008*1.5</f>
        <v>1.2E-2</v>
      </c>
      <c r="H11" s="215">
        <v>2</v>
      </c>
      <c r="I11" s="27">
        <f t="shared" si="0"/>
        <v>9.2664000000000009</v>
      </c>
      <c r="J11" s="215">
        <v>4</v>
      </c>
      <c r="K11" s="27">
        <v>279.92</v>
      </c>
      <c r="L11" s="27"/>
      <c r="M11" s="28">
        <f t="shared" si="1"/>
        <v>2593.8506880000004</v>
      </c>
      <c r="N11" s="524" t="s">
        <v>390</v>
      </c>
      <c r="O11" s="526">
        <v>2</v>
      </c>
      <c r="P11" s="489">
        <v>1970</v>
      </c>
      <c r="Q11" s="558">
        <f t="shared" si="2"/>
        <v>3940</v>
      </c>
    </row>
    <row r="12" spans="1:17" x14ac:dyDescent="0.25">
      <c r="A12" s="491"/>
      <c r="B12" s="515"/>
      <c r="C12" s="504"/>
      <c r="D12" s="499"/>
      <c r="E12" s="500"/>
      <c r="F12" s="215" t="s">
        <v>386</v>
      </c>
      <c r="G12" s="223">
        <f>G11*0.1</f>
        <v>1.2000000000000001E-3</v>
      </c>
      <c r="H12" s="215">
        <v>10</v>
      </c>
      <c r="I12" s="27">
        <f t="shared" si="0"/>
        <v>4.6332000000000004</v>
      </c>
      <c r="J12" s="215">
        <v>4</v>
      </c>
      <c r="K12" s="27">
        <v>279.92</v>
      </c>
      <c r="L12" s="27"/>
      <c r="M12" s="28">
        <f t="shared" si="1"/>
        <v>1296.9253440000002</v>
      </c>
      <c r="N12" s="524"/>
      <c r="O12" s="526"/>
      <c r="P12" s="490"/>
      <c r="Q12" s="559">
        <f t="shared" si="2"/>
        <v>0</v>
      </c>
    </row>
    <row r="13" spans="1:17" x14ac:dyDescent="0.25">
      <c r="A13" s="491"/>
      <c r="B13" s="515"/>
      <c r="C13" s="504" t="s">
        <v>392</v>
      </c>
      <c r="D13" s="504" t="s">
        <v>393</v>
      </c>
      <c r="E13" s="500">
        <v>45</v>
      </c>
      <c r="F13" s="215" t="s">
        <v>384</v>
      </c>
      <c r="G13" s="27">
        <f>0.01*1.5</f>
        <v>1.4999999999999999E-2</v>
      </c>
      <c r="H13" s="215">
        <v>2</v>
      </c>
      <c r="I13" s="27">
        <f t="shared" si="0"/>
        <v>11.583</v>
      </c>
      <c r="J13" s="215">
        <v>4</v>
      </c>
      <c r="K13" s="27">
        <v>279.92</v>
      </c>
      <c r="L13" s="27"/>
      <c r="M13" s="28">
        <f t="shared" si="1"/>
        <v>3242.3133600000001</v>
      </c>
      <c r="N13" s="524" t="s">
        <v>394</v>
      </c>
      <c r="O13" s="526">
        <v>2</v>
      </c>
      <c r="P13" s="489">
        <v>2315</v>
      </c>
      <c r="Q13" s="558">
        <f t="shared" si="2"/>
        <v>4630</v>
      </c>
    </row>
    <row r="14" spans="1:17" x14ac:dyDescent="0.25">
      <c r="A14" s="491"/>
      <c r="B14" s="515"/>
      <c r="C14" s="504"/>
      <c r="D14" s="504"/>
      <c r="E14" s="500"/>
      <c r="F14" s="215" t="s">
        <v>386</v>
      </c>
      <c r="G14" s="223">
        <f>G13*0.1</f>
        <v>1.5E-3</v>
      </c>
      <c r="H14" s="215">
        <v>10</v>
      </c>
      <c r="I14" s="27">
        <f t="shared" si="0"/>
        <v>5.7915000000000001</v>
      </c>
      <c r="J14" s="215">
        <v>4</v>
      </c>
      <c r="K14" s="27">
        <v>279.92</v>
      </c>
      <c r="L14" s="27"/>
      <c r="M14" s="28">
        <f t="shared" si="1"/>
        <v>1621.1566800000001</v>
      </c>
      <c r="N14" s="524"/>
      <c r="O14" s="526"/>
      <c r="P14" s="490"/>
      <c r="Q14" s="559">
        <f t="shared" si="2"/>
        <v>0</v>
      </c>
    </row>
    <row r="15" spans="1:17" x14ac:dyDescent="0.25">
      <c r="A15" s="491"/>
      <c r="B15" s="515"/>
      <c r="C15" s="504" t="s">
        <v>392</v>
      </c>
      <c r="D15" s="504" t="s">
        <v>393</v>
      </c>
      <c r="E15" s="500">
        <v>45</v>
      </c>
      <c r="F15" s="215" t="s">
        <v>384</v>
      </c>
      <c r="G15" s="27">
        <f>0.01*1.5</f>
        <v>1.4999999999999999E-2</v>
      </c>
      <c r="H15" s="215">
        <v>2</v>
      </c>
      <c r="I15" s="27">
        <f t="shared" si="0"/>
        <v>11.583</v>
      </c>
      <c r="J15" s="215">
        <v>4</v>
      </c>
      <c r="K15" s="27">
        <v>279.92</v>
      </c>
      <c r="L15" s="27"/>
      <c r="M15" s="28">
        <f t="shared" si="1"/>
        <v>3242.3133600000001</v>
      </c>
      <c r="N15" s="524" t="s">
        <v>394</v>
      </c>
      <c r="O15" s="526">
        <v>2</v>
      </c>
      <c r="P15" s="489">
        <v>2315</v>
      </c>
      <c r="Q15" s="558">
        <f t="shared" si="2"/>
        <v>4630</v>
      </c>
    </row>
    <row r="16" spans="1:17" x14ac:dyDescent="0.25">
      <c r="A16" s="491"/>
      <c r="B16" s="515"/>
      <c r="C16" s="504"/>
      <c r="D16" s="504"/>
      <c r="E16" s="500"/>
      <c r="F16" s="215" t="s">
        <v>386</v>
      </c>
      <c r="G16" s="223">
        <f>G15*0.1</f>
        <v>1.5E-3</v>
      </c>
      <c r="H16" s="215">
        <v>10</v>
      </c>
      <c r="I16" s="27">
        <f t="shared" si="0"/>
        <v>5.7915000000000001</v>
      </c>
      <c r="J16" s="215">
        <v>4</v>
      </c>
      <c r="K16" s="27">
        <v>279.92</v>
      </c>
      <c r="L16" s="27"/>
      <c r="M16" s="28">
        <f t="shared" si="1"/>
        <v>1621.1566800000001</v>
      </c>
      <c r="N16" s="524"/>
      <c r="O16" s="526"/>
      <c r="P16" s="490"/>
      <c r="Q16" s="559">
        <f t="shared" si="2"/>
        <v>0</v>
      </c>
    </row>
    <row r="17" spans="1:17" x14ac:dyDescent="0.25">
      <c r="A17" s="491"/>
      <c r="B17" s="515"/>
      <c r="C17" s="504" t="s">
        <v>392</v>
      </c>
      <c r="D17" s="504" t="s">
        <v>393</v>
      </c>
      <c r="E17" s="500">
        <v>45</v>
      </c>
      <c r="F17" s="215" t="s">
        <v>384</v>
      </c>
      <c r="G17" s="27">
        <f>0.01*1.5</f>
        <v>1.4999999999999999E-2</v>
      </c>
      <c r="H17" s="215">
        <v>2</v>
      </c>
      <c r="I17" s="27">
        <f>G17*H17*1.1*351</f>
        <v>11.583</v>
      </c>
      <c r="J17" s="215">
        <v>4</v>
      </c>
      <c r="K17" s="27">
        <v>279.92</v>
      </c>
      <c r="L17" s="27"/>
      <c r="M17" s="28">
        <f t="shared" si="1"/>
        <v>3242.3133600000001</v>
      </c>
      <c r="N17" s="524" t="s">
        <v>394</v>
      </c>
      <c r="O17" s="526">
        <v>2</v>
      </c>
      <c r="P17" s="489">
        <v>2315</v>
      </c>
      <c r="Q17" s="558">
        <f t="shared" si="2"/>
        <v>4630</v>
      </c>
    </row>
    <row r="18" spans="1:17" x14ac:dyDescent="0.25">
      <c r="A18" s="491"/>
      <c r="B18" s="515"/>
      <c r="C18" s="504"/>
      <c r="D18" s="504"/>
      <c r="E18" s="500"/>
      <c r="F18" s="215" t="s">
        <v>386</v>
      </c>
      <c r="G18" s="223">
        <f>G17*0.1</f>
        <v>1.5E-3</v>
      </c>
      <c r="H18" s="215">
        <v>10</v>
      </c>
      <c r="I18" s="27">
        <f t="shared" si="0"/>
        <v>5.7915000000000001</v>
      </c>
      <c r="J18" s="215">
        <v>4</v>
      </c>
      <c r="K18" s="27">
        <v>279.92</v>
      </c>
      <c r="L18" s="27"/>
      <c r="M18" s="28">
        <f t="shared" si="1"/>
        <v>1621.1566800000001</v>
      </c>
      <c r="N18" s="524"/>
      <c r="O18" s="526"/>
      <c r="P18" s="490"/>
      <c r="Q18" s="559">
        <f t="shared" si="2"/>
        <v>0</v>
      </c>
    </row>
    <row r="19" spans="1:17" x14ac:dyDescent="0.25">
      <c r="A19" s="491"/>
      <c r="B19" s="515"/>
      <c r="C19" s="504" t="s">
        <v>392</v>
      </c>
      <c r="D19" s="504" t="s">
        <v>395</v>
      </c>
      <c r="E19" s="500">
        <v>55</v>
      </c>
      <c r="F19" s="215" t="s">
        <v>384</v>
      </c>
      <c r="G19" s="27">
        <f>0.01*1.5</f>
        <v>1.4999999999999999E-2</v>
      </c>
      <c r="H19" s="215">
        <v>2</v>
      </c>
      <c r="I19" s="27">
        <f>G19*H19*1.1*351</f>
        <v>11.583</v>
      </c>
      <c r="J19" s="215">
        <v>4</v>
      </c>
      <c r="K19" s="27">
        <v>279.92</v>
      </c>
      <c r="L19" s="27"/>
      <c r="M19" s="28">
        <f t="shared" si="1"/>
        <v>3242.3133600000001</v>
      </c>
      <c r="N19" s="524" t="s">
        <v>396</v>
      </c>
      <c r="O19" s="526">
        <v>2</v>
      </c>
      <c r="P19" s="489">
        <v>3450</v>
      </c>
      <c r="Q19" s="558">
        <f t="shared" si="2"/>
        <v>6900</v>
      </c>
    </row>
    <row r="20" spans="1:17" x14ac:dyDescent="0.25">
      <c r="A20" s="491"/>
      <c r="B20" s="515"/>
      <c r="C20" s="504"/>
      <c r="D20" s="504"/>
      <c r="E20" s="500"/>
      <c r="F20" s="215" t="s">
        <v>386</v>
      </c>
      <c r="G20" s="223">
        <f>G19*0.1</f>
        <v>1.5E-3</v>
      </c>
      <c r="H20" s="215">
        <v>10</v>
      </c>
      <c r="I20" s="27">
        <f t="shared" ref="I20" si="3">G20*H20*1.1*351</f>
        <v>5.7915000000000001</v>
      </c>
      <c r="J20" s="215">
        <v>4</v>
      </c>
      <c r="K20" s="27">
        <v>279.92</v>
      </c>
      <c r="L20" s="27"/>
      <c r="M20" s="28">
        <f t="shared" si="1"/>
        <v>1621.1566800000001</v>
      </c>
      <c r="N20" s="524"/>
      <c r="O20" s="526"/>
      <c r="P20" s="490"/>
      <c r="Q20" s="559">
        <f t="shared" si="2"/>
        <v>0</v>
      </c>
    </row>
    <row r="21" spans="1:17" x14ac:dyDescent="0.25">
      <c r="A21" s="491"/>
      <c r="B21" s="515"/>
      <c r="C21" s="504" t="s">
        <v>392</v>
      </c>
      <c r="D21" s="504" t="s">
        <v>395</v>
      </c>
      <c r="E21" s="500">
        <v>55</v>
      </c>
      <c r="F21" s="215" t="s">
        <v>384</v>
      </c>
      <c r="G21" s="27">
        <f>0.01*1.5</f>
        <v>1.4999999999999999E-2</v>
      </c>
      <c r="H21" s="215">
        <v>2</v>
      </c>
      <c r="I21" s="27">
        <f>G21*H21*1.1*351</f>
        <v>11.583</v>
      </c>
      <c r="J21" s="215">
        <v>4</v>
      </c>
      <c r="K21" s="27">
        <v>279.92</v>
      </c>
      <c r="L21" s="27"/>
      <c r="M21" s="28">
        <f t="shared" si="1"/>
        <v>3242.3133600000001</v>
      </c>
      <c r="N21" s="524" t="s">
        <v>396</v>
      </c>
      <c r="O21" s="526">
        <v>2</v>
      </c>
      <c r="P21" s="489">
        <v>3450</v>
      </c>
      <c r="Q21" s="558">
        <f t="shared" si="2"/>
        <v>6900</v>
      </c>
    </row>
    <row r="22" spans="1:17" x14ac:dyDescent="0.25">
      <c r="A22" s="491"/>
      <c r="B22" s="515"/>
      <c r="C22" s="504"/>
      <c r="D22" s="504"/>
      <c r="E22" s="500"/>
      <c r="F22" s="215" t="s">
        <v>386</v>
      </c>
      <c r="G22" s="223">
        <f>G21*0.1</f>
        <v>1.5E-3</v>
      </c>
      <c r="H22" s="215">
        <v>10</v>
      </c>
      <c r="I22" s="27">
        <f t="shared" ref="I22" si="4">G22*H22*1.1*351</f>
        <v>5.7915000000000001</v>
      </c>
      <c r="J22" s="215">
        <v>4</v>
      </c>
      <c r="K22" s="27">
        <v>279.92</v>
      </c>
      <c r="L22" s="27"/>
      <c r="M22" s="28">
        <f t="shared" si="1"/>
        <v>1621.1566800000001</v>
      </c>
      <c r="N22" s="524"/>
      <c r="O22" s="526"/>
      <c r="P22" s="490"/>
      <c r="Q22" s="559">
        <f t="shared" si="2"/>
        <v>0</v>
      </c>
    </row>
    <row r="23" spans="1:17" x14ac:dyDescent="0.25">
      <c r="A23" s="491"/>
      <c r="B23" s="515"/>
      <c r="C23" s="504" t="s">
        <v>397</v>
      </c>
      <c r="D23" s="504" t="s">
        <v>398</v>
      </c>
      <c r="E23" s="500">
        <v>1.5</v>
      </c>
      <c r="F23" s="215" t="s">
        <v>384</v>
      </c>
      <c r="G23" s="27">
        <f>0.001*1.5</f>
        <v>1.5E-3</v>
      </c>
      <c r="H23" s="215">
        <v>2</v>
      </c>
      <c r="I23" s="27">
        <f>G23*H23*1.1*351</f>
        <v>1.1583000000000001</v>
      </c>
      <c r="J23" s="215">
        <v>4</v>
      </c>
      <c r="K23" s="27">
        <v>279.92</v>
      </c>
      <c r="L23" s="27"/>
      <c r="M23" s="28">
        <f t="shared" si="1"/>
        <v>324.23133600000006</v>
      </c>
      <c r="N23" s="218" t="s">
        <v>399</v>
      </c>
      <c r="O23" s="215">
        <v>1</v>
      </c>
      <c r="P23" s="215">
        <v>450</v>
      </c>
      <c r="Q23" s="29">
        <f t="shared" si="2"/>
        <v>450</v>
      </c>
    </row>
    <row r="24" spans="1:17" x14ac:dyDescent="0.25">
      <c r="A24" s="491"/>
      <c r="B24" s="515"/>
      <c r="C24" s="504"/>
      <c r="D24" s="504"/>
      <c r="E24" s="500"/>
      <c r="F24" s="215" t="s">
        <v>386</v>
      </c>
      <c r="G24" s="223">
        <f>G23*0.1</f>
        <v>1.5000000000000001E-4</v>
      </c>
      <c r="H24" s="215">
        <v>10</v>
      </c>
      <c r="I24" s="27">
        <f t="shared" ref="I24" si="5">G24*H24*1.1*351</f>
        <v>0.57915000000000005</v>
      </c>
      <c r="J24" s="215">
        <v>4</v>
      </c>
      <c r="K24" s="27">
        <v>279.92</v>
      </c>
      <c r="L24" s="27"/>
      <c r="M24" s="28">
        <f t="shared" si="1"/>
        <v>162.11566800000003</v>
      </c>
      <c r="N24" s="218" t="s">
        <v>400</v>
      </c>
      <c r="O24" s="215">
        <v>1</v>
      </c>
      <c r="P24" s="215">
        <v>345</v>
      </c>
      <c r="Q24" s="29">
        <f t="shared" si="2"/>
        <v>345</v>
      </c>
    </row>
    <row r="25" spans="1:17" x14ac:dyDescent="0.25">
      <c r="A25" s="491"/>
      <c r="B25" s="515"/>
      <c r="C25" s="504" t="s">
        <v>397</v>
      </c>
      <c r="D25" s="504" t="s">
        <v>398</v>
      </c>
      <c r="E25" s="500">
        <v>1.5</v>
      </c>
      <c r="F25" s="215" t="s">
        <v>384</v>
      </c>
      <c r="G25" s="27">
        <f>0.001*1.5</f>
        <v>1.5E-3</v>
      </c>
      <c r="H25" s="215">
        <v>2</v>
      </c>
      <c r="I25" s="27">
        <f>G25*H25*1.1*351</f>
        <v>1.1583000000000001</v>
      </c>
      <c r="J25" s="215">
        <v>4</v>
      </c>
      <c r="K25" s="27">
        <v>279.92</v>
      </c>
      <c r="L25" s="27"/>
      <c r="M25" s="28">
        <f t="shared" si="1"/>
        <v>324.23133600000006</v>
      </c>
      <c r="N25" s="218" t="s">
        <v>399</v>
      </c>
      <c r="O25" s="215">
        <v>1</v>
      </c>
      <c r="P25" s="215">
        <v>450</v>
      </c>
      <c r="Q25" s="29">
        <f t="shared" si="2"/>
        <v>450</v>
      </c>
    </row>
    <row r="26" spans="1:17" x14ac:dyDescent="0.25">
      <c r="A26" s="491"/>
      <c r="B26" s="515"/>
      <c r="C26" s="504"/>
      <c r="D26" s="504"/>
      <c r="E26" s="500"/>
      <c r="F26" s="215" t="s">
        <v>386</v>
      </c>
      <c r="G26" s="223">
        <f>G25*0.1</f>
        <v>1.5000000000000001E-4</v>
      </c>
      <c r="H26" s="215">
        <v>10</v>
      </c>
      <c r="I26" s="27">
        <f t="shared" ref="I26" si="6">G26*H26*1.1*351</f>
        <v>0.57915000000000005</v>
      </c>
      <c r="J26" s="215">
        <v>4</v>
      </c>
      <c r="K26" s="27">
        <v>279.92</v>
      </c>
      <c r="L26" s="27"/>
      <c r="M26" s="28">
        <f t="shared" si="1"/>
        <v>162.11566800000003</v>
      </c>
      <c r="N26" s="218" t="s">
        <v>400</v>
      </c>
      <c r="O26" s="215">
        <v>1</v>
      </c>
      <c r="P26" s="215">
        <v>345</v>
      </c>
      <c r="Q26" s="29">
        <f t="shared" si="2"/>
        <v>345</v>
      </c>
    </row>
    <row r="27" spans="1:17" x14ac:dyDescent="0.25">
      <c r="A27" s="491"/>
      <c r="B27" s="515"/>
      <c r="C27" s="504" t="s">
        <v>397</v>
      </c>
      <c r="D27" s="504" t="s">
        <v>401</v>
      </c>
      <c r="E27" s="500">
        <v>2.2000000000000002</v>
      </c>
      <c r="F27" s="215" t="s">
        <v>384</v>
      </c>
      <c r="G27" s="27">
        <f>0.002*1.5</f>
        <v>3.0000000000000001E-3</v>
      </c>
      <c r="H27" s="215">
        <v>2</v>
      </c>
      <c r="I27" s="27">
        <f>G27*H27*1.1*351</f>
        <v>2.3166000000000002</v>
      </c>
      <c r="J27" s="215">
        <v>4</v>
      </c>
      <c r="K27" s="27">
        <v>279.92</v>
      </c>
      <c r="L27" s="27"/>
      <c r="M27" s="28">
        <f t="shared" si="1"/>
        <v>648.46267200000011</v>
      </c>
      <c r="N27" s="219" t="s">
        <v>402</v>
      </c>
      <c r="O27" s="215">
        <v>1</v>
      </c>
      <c r="P27" s="215">
        <v>570</v>
      </c>
      <c r="Q27" s="29">
        <f>P27*O27</f>
        <v>570</v>
      </c>
    </row>
    <row r="28" spans="1:17" x14ac:dyDescent="0.25">
      <c r="A28" s="491"/>
      <c r="B28" s="515"/>
      <c r="C28" s="504"/>
      <c r="D28" s="504"/>
      <c r="E28" s="500"/>
      <c r="F28" s="215" t="s">
        <v>386</v>
      </c>
      <c r="G28" s="223">
        <f>G27*0.1</f>
        <v>3.0000000000000003E-4</v>
      </c>
      <c r="H28" s="215">
        <v>10</v>
      </c>
      <c r="I28" s="27">
        <f t="shared" ref="I28" si="7">G28*H28*1.1*351</f>
        <v>1.1583000000000001</v>
      </c>
      <c r="J28" s="215">
        <v>4</v>
      </c>
      <c r="K28" s="27">
        <v>279.92</v>
      </c>
      <c r="L28" s="27"/>
      <c r="M28" s="28">
        <f t="shared" si="1"/>
        <v>324.23133600000006</v>
      </c>
      <c r="N28" s="219" t="s">
        <v>399</v>
      </c>
      <c r="O28" s="215">
        <v>1</v>
      </c>
      <c r="P28" s="215">
        <v>450</v>
      </c>
      <c r="Q28" s="29">
        <f t="shared" si="2"/>
        <v>450</v>
      </c>
    </row>
    <row r="29" spans="1:17" x14ac:dyDescent="0.25">
      <c r="A29" s="491"/>
      <c r="B29" s="515"/>
      <c r="C29" s="504" t="s">
        <v>397</v>
      </c>
      <c r="D29" s="504" t="s">
        <v>401</v>
      </c>
      <c r="E29" s="500">
        <v>2.2000000000000002</v>
      </c>
      <c r="F29" s="215" t="s">
        <v>384</v>
      </c>
      <c r="G29" s="27">
        <f>0.002*1.5</f>
        <v>3.0000000000000001E-3</v>
      </c>
      <c r="H29" s="215">
        <v>2</v>
      </c>
      <c r="I29" s="27">
        <f>G29*H29*1.1*351</f>
        <v>2.3166000000000002</v>
      </c>
      <c r="J29" s="215">
        <v>4</v>
      </c>
      <c r="K29" s="27">
        <v>279.92</v>
      </c>
      <c r="L29" s="27"/>
      <c r="M29" s="28">
        <f t="shared" si="1"/>
        <v>648.46267200000011</v>
      </c>
      <c r="N29" s="219" t="s">
        <v>402</v>
      </c>
      <c r="O29" s="215">
        <v>1</v>
      </c>
      <c r="P29" s="215">
        <v>570</v>
      </c>
      <c r="Q29" s="29">
        <f t="shared" si="2"/>
        <v>570</v>
      </c>
    </row>
    <row r="30" spans="1:17" x14ac:dyDescent="0.25">
      <c r="A30" s="491"/>
      <c r="B30" s="515"/>
      <c r="C30" s="504"/>
      <c r="D30" s="504"/>
      <c r="E30" s="500"/>
      <c r="F30" s="215" t="s">
        <v>386</v>
      </c>
      <c r="G30" s="223">
        <f>G29*0.1</f>
        <v>3.0000000000000003E-4</v>
      </c>
      <c r="H30" s="215">
        <v>10</v>
      </c>
      <c r="I30" s="27">
        <f t="shared" ref="I30" si="8">G30*H30*1.1*351</f>
        <v>1.1583000000000001</v>
      </c>
      <c r="J30" s="215">
        <v>4</v>
      </c>
      <c r="K30" s="27">
        <v>279.92</v>
      </c>
      <c r="L30" s="27"/>
      <c r="M30" s="28">
        <f t="shared" si="1"/>
        <v>324.23133600000006</v>
      </c>
      <c r="N30" s="219" t="s">
        <v>399</v>
      </c>
      <c r="O30" s="215">
        <v>1</v>
      </c>
      <c r="P30" s="215">
        <v>450</v>
      </c>
      <c r="Q30" s="29">
        <f t="shared" si="2"/>
        <v>450</v>
      </c>
    </row>
    <row r="31" spans="1:17" x14ac:dyDescent="0.25">
      <c r="A31" s="491"/>
      <c r="B31" s="515"/>
      <c r="C31" s="504" t="s">
        <v>403</v>
      </c>
      <c r="D31" s="510" t="s">
        <v>404</v>
      </c>
      <c r="E31" s="500">
        <v>2.2000000000000002</v>
      </c>
      <c r="F31" s="215" t="s">
        <v>384</v>
      </c>
      <c r="G31" s="27">
        <f>0.002*1.5</f>
        <v>3.0000000000000001E-3</v>
      </c>
      <c r="H31" s="215">
        <v>2</v>
      </c>
      <c r="I31" s="27">
        <f>G31*H31*1.1*351</f>
        <v>2.3166000000000002</v>
      </c>
      <c r="J31" s="215">
        <v>4</v>
      </c>
      <c r="K31" s="27">
        <v>279.92</v>
      </c>
      <c r="L31" s="27"/>
      <c r="M31" s="28">
        <f t="shared" si="1"/>
        <v>648.46267200000011</v>
      </c>
      <c r="N31" s="219" t="s">
        <v>402</v>
      </c>
      <c r="O31" s="215">
        <v>1</v>
      </c>
      <c r="P31" s="215">
        <v>570</v>
      </c>
      <c r="Q31" s="29">
        <f t="shared" si="2"/>
        <v>570</v>
      </c>
    </row>
    <row r="32" spans="1:17" x14ac:dyDescent="0.25">
      <c r="A32" s="491"/>
      <c r="B32" s="515"/>
      <c r="C32" s="504"/>
      <c r="D32" s="510"/>
      <c r="E32" s="500"/>
      <c r="F32" s="215" t="s">
        <v>386</v>
      </c>
      <c r="G32" s="223">
        <f>G31*0.1</f>
        <v>3.0000000000000003E-4</v>
      </c>
      <c r="H32" s="215">
        <v>10</v>
      </c>
      <c r="I32" s="27">
        <f t="shared" ref="I32" si="9">G32*H32*1.1*351</f>
        <v>1.1583000000000001</v>
      </c>
      <c r="J32" s="215">
        <v>4</v>
      </c>
      <c r="K32" s="27">
        <v>279.92</v>
      </c>
      <c r="L32" s="27"/>
      <c r="M32" s="28">
        <f t="shared" si="1"/>
        <v>324.23133600000006</v>
      </c>
      <c r="N32" s="219" t="s">
        <v>399</v>
      </c>
      <c r="O32" s="215">
        <v>1</v>
      </c>
      <c r="P32" s="215">
        <v>450</v>
      </c>
      <c r="Q32" s="29">
        <f t="shared" si="2"/>
        <v>450</v>
      </c>
    </row>
    <row r="33" spans="1:17" x14ac:dyDescent="0.25">
      <c r="A33" s="491"/>
      <c r="B33" s="515"/>
      <c r="C33" s="504" t="s">
        <v>403</v>
      </c>
      <c r="D33" s="510" t="s">
        <v>404</v>
      </c>
      <c r="E33" s="500">
        <v>2.2000000000000002</v>
      </c>
      <c r="F33" s="215" t="s">
        <v>384</v>
      </c>
      <c r="G33" s="27">
        <f>0.002*1.5</f>
        <v>3.0000000000000001E-3</v>
      </c>
      <c r="H33" s="215">
        <v>2</v>
      </c>
      <c r="I33" s="27">
        <f>G33*H33*1.1*351</f>
        <v>2.3166000000000002</v>
      </c>
      <c r="J33" s="215">
        <v>4</v>
      </c>
      <c r="K33" s="27">
        <v>279.92</v>
      </c>
      <c r="L33" s="27"/>
      <c r="M33" s="28">
        <f t="shared" si="1"/>
        <v>648.46267200000011</v>
      </c>
      <c r="N33" s="219" t="s">
        <v>402</v>
      </c>
      <c r="O33" s="215">
        <v>1</v>
      </c>
      <c r="P33" s="215">
        <v>570</v>
      </c>
      <c r="Q33" s="29">
        <f t="shared" si="2"/>
        <v>570</v>
      </c>
    </row>
    <row r="34" spans="1:17" x14ac:dyDescent="0.25">
      <c r="A34" s="491"/>
      <c r="B34" s="515"/>
      <c r="C34" s="504"/>
      <c r="D34" s="510"/>
      <c r="E34" s="500"/>
      <c r="F34" s="215" t="s">
        <v>386</v>
      </c>
      <c r="G34" s="223">
        <f>G33*0.1</f>
        <v>3.0000000000000003E-4</v>
      </c>
      <c r="H34" s="215">
        <v>10</v>
      </c>
      <c r="I34" s="27">
        <f t="shared" ref="I34" si="10">G34*H34*1.1*351</f>
        <v>1.1583000000000001</v>
      </c>
      <c r="J34" s="215">
        <v>4</v>
      </c>
      <c r="K34" s="27">
        <v>279.92</v>
      </c>
      <c r="L34" s="27"/>
      <c r="M34" s="28">
        <f t="shared" si="1"/>
        <v>324.23133600000006</v>
      </c>
      <c r="N34" s="219" t="s">
        <v>399</v>
      </c>
      <c r="O34" s="215">
        <v>1</v>
      </c>
      <c r="P34" s="215">
        <v>450</v>
      </c>
      <c r="Q34" s="29">
        <f t="shared" si="2"/>
        <v>450</v>
      </c>
    </row>
    <row r="35" spans="1:17" x14ac:dyDescent="0.25">
      <c r="A35" s="491"/>
      <c r="B35" s="515"/>
      <c r="C35" s="504" t="s">
        <v>405</v>
      </c>
      <c r="D35" s="543" t="s">
        <v>404</v>
      </c>
      <c r="E35" s="500">
        <v>2.2000000000000002</v>
      </c>
      <c r="F35" s="215" t="s">
        <v>384</v>
      </c>
      <c r="G35" s="27">
        <f>0.002*1.5</f>
        <v>3.0000000000000001E-3</v>
      </c>
      <c r="H35" s="215">
        <v>2</v>
      </c>
      <c r="I35" s="27">
        <f>G35*H35*1.1*351</f>
        <v>2.3166000000000002</v>
      </c>
      <c r="J35" s="215">
        <v>4</v>
      </c>
      <c r="K35" s="27">
        <v>279.92</v>
      </c>
      <c r="L35" s="27"/>
      <c r="M35" s="28">
        <f t="shared" si="1"/>
        <v>648.46267200000011</v>
      </c>
      <c r="N35" s="219" t="s">
        <v>402</v>
      </c>
      <c r="O35" s="215">
        <v>1</v>
      </c>
      <c r="P35" s="215">
        <v>570</v>
      </c>
      <c r="Q35" s="29">
        <f t="shared" si="2"/>
        <v>570</v>
      </c>
    </row>
    <row r="36" spans="1:17" x14ac:dyDescent="0.25">
      <c r="A36" s="491"/>
      <c r="B36" s="515"/>
      <c r="C36" s="504"/>
      <c r="D36" s="543"/>
      <c r="E36" s="500"/>
      <c r="F36" s="215" t="s">
        <v>386</v>
      </c>
      <c r="G36" s="223">
        <f>G35*0.1</f>
        <v>3.0000000000000003E-4</v>
      </c>
      <c r="H36" s="215">
        <v>10</v>
      </c>
      <c r="I36" s="27">
        <f t="shared" ref="I36" si="11">G36*H36*1.1*351</f>
        <v>1.1583000000000001</v>
      </c>
      <c r="J36" s="215">
        <v>4</v>
      </c>
      <c r="K36" s="27">
        <v>279.92</v>
      </c>
      <c r="L36" s="27"/>
      <c r="M36" s="28">
        <f t="shared" si="1"/>
        <v>324.23133600000006</v>
      </c>
      <c r="N36" s="219" t="s">
        <v>399</v>
      </c>
      <c r="O36" s="215">
        <v>1</v>
      </c>
      <c r="P36" s="215">
        <v>450</v>
      </c>
      <c r="Q36" s="29">
        <f t="shared" si="2"/>
        <v>450</v>
      </c>
    </row>
    <row r="37" spans="1:17" x14ac:dyDescent="0.25">
      <c r="A37" s="491"/>
      <c r="B37" s="515"/>
      <c r="C37" s="504" t="s">
        <v>405</v>
      </c>
      <c r="D37" s="510" t="s">
        <v>404</v>
      </c>
      <c r="E37" s="500">
        <v>2.2000000000000002</v>
      </c>
      <c r="F37" s="215" t="s">
        <v>384</v>
      </c>
      <c r="G37" s="27">
        <f>0.002*1.5</f>
        <v>3.0000000000000001E-3</v>
      </c>
      <c r="H37" s="215">
        <v>2</v>
      </c>
      <c r="I37" s="27">
        <f>G37*H37*1.1*351</f>
        <v>2.3166000000000002</v>
      </c>
      <c r="J37" s="215">
        <v>4</v>
      </c>
      <c r="K37" s="27">
        <v>279.92</v>
      </c>
      <c r="L37" s="27"/>
      <c r="M37" s="28">
        <f t="shared" si="1"/>
        <v>648.46267200000011</v>
      </c>
      <c r="N37" s="219" t="s">
        <v>402</v>
      </c>
      <c r="O37" s="215">
        <v>1</v>
      </c>
      <c r="P37" s="215">
        <v>570</v>
      </c>
      <c r="Q37" s="29">
        <f t="shared" si="2"/>
        <v>570</v>
      </c>
    </row>
    <row r="38" spans="1:17" x14ac:dyDescent="0.25">
      <c r="A38" s="491"/>
      <c r="B38" s="515"/>
      <c r="C38" s="504"/>
      <c r="D38" s="510"/>
      <c r="E38" s="500"/>
      <c r="F38" s="215" t="s">
        <v>386</v>
      </c>
      <c r="G38" s="223">
        <f>G37*0.1</f>
        <v>3.0000000000000003E-4</v>
      </c>
      <c r="H38" s="215">
        <v>10</v>
      </c>
      <c r="I38" s="27">
        <f t="shared" ref="I38" si="12">G38*H38*1.1*351</f>
        <v>1.1583000000000001</v>
      </c>
      <c r="J38" s="215">
        <v>4</v>
      </c>
      <c r="K38" s="27">
        <v>279.92</v>
      </c>
      <c r="L38" s="27"/>
      <c r="M38" s="28">
        <f t="shared" si="1"/>
        <v>324.23133600000006</v>
      </c>
      <c r="N38" s="219" t="s">
        <v>399</v>
      </c>
      <c r="O38" s="215">
        <v>1</v>
      </c>
      <c r="P38" s="32">
        <v>450</v>
      </c>
      <c r="Q38" s="29">
        <f t="shared" si="2"/>
        <v>450</v>
      </c>
    </row>
    <row r="39" spans="1:17" x14ac:dyDescent="0.25">
      <c r="A39" s="491"/>
      <c r="B39" s="515"/>
      <c r="C39" s="510" t="s">
        <v>406</v>
      </c>
      <c r="D39" s="510" t="s">
        <v>407</v>
      </c>
      <c r="E39" s="500"/>
      <c r="F39" s="215" t="s">
        <v>384</v>
      </c>
      <c r="G39" s="27">
        <f>0.001*9*1.6</f>
        <v>1.4400000000000003E-2</v>
      </c>
      <c r="H39" s="215">
        <v>1</v>
      </c>
      <c r="I39" s="27">
        <f>G39*H39*1.1*351</f>
        <v>5.5598400000000012</v>
      </c>
      <c r="J39" s="215">
        <v>4</v>
      </c>
      <c r="K39" s="27">
        <v>279.92</v>
      </c>
      <c r="L39" s="27"/>
      <c r="M39" s="28">
        <f t="shared" si="1"/>
        <v>1556.3104128000004</v>
      </c>
      <c r="N39" s="524" t="s">
        <v>408</v>
      </c>
      <c r="O39" s="526">
        <v>3</v>
      </c>
      <c r="P39" s="489">
        <v>15</v>
      </c>
      <c r="Q39" s="558">
        <f>P39*O39</f>
        <v>45</v>
      </c>
    </row>
    <row r="40" spans="1:17" x14ac:dyDescent="0.25">
      <c r="A40" s="491"/>
      <c r="B40" s="515"/>
      <c r="C40" s="510"/>
      <c r="D40" s="510"/>
      <c r="E40" s="500"/>
      <c r="F40" s="215" t="s">
        <v>386</v>
      </c>
      <c r="G40" s="223">
        <f>G39*0.1</f>
        <v>1.4400000000000003E-3</v>
      </c>
      <c r="H40" s="215">
        <v>11</v>
      </c>
      <c r="I40" s="27">
        <f t="shared" ref="I40" si="13">G40*H40*1.1*351</f>
        <v>6.1158240000000017</v>
      </c>
      <c r="J40" s="215">
        <v>4</v>
      </c>
      <c r="K40" s="27">
        <v>279.92</v>
      </c>
      <c r="L40" s="27"/>
      <c r="M40" s="28">
        <f t="shared" si="1"/>
        <v>1711.9414540800005</v>
      </c>
      <c r="N40" s="524"/>
      <c r="O40" s="526"/>
      <c r="P40" s="490"/>
      <c r="Q40" s="559">
        <f t="shared" si="2"/>
        <v>0</v>
      </c>
    </row>
    <row r="41" spans="1:17" x14ac:dyDescent="0.25">
      <c r="A41" s="491"/>
      <c r="B41" s="515"/>
      <c r="C41" s="510" t="s">
        <v>409</v>
      </c>
      <c r="D41" s="515"/>
      <c r="E41" s="500"/>
      <c r="F41" s="215" t="s">
        <v>384</v>
      </c>
      <c r="G41" s="27">
        <f>0.002*6*1.6</f>
        <v>1.9200000000000002E-2</v>
      </c>
      <c r="H41" s="215">
        <v>2</v>
      </c>
      <c r="I41" s="27">
        <f>G41*H41*1.1*351</f>
        <v>14.826240000000002</v>
      </c>
      <c r="J41" s="215">
        <v>4</v>
      </c>
      <c r="K41" s="27">
        <v>279.92</v>
      </c>
      <c r="L41" s="27"/>
      <c r="M41" s="28">
        <f t="shared" si="1"/>
        <v>4150.1611008000009</v>
      </c>
      <c r="N41" s="524" t="s">
        <v>410</v>
      </c>
      <c r="O41" s="526">
        <v>2</v>
      </c>
      <c r="P41" s="489">
        <v>15</v>
      </c>
      <c r="Q41" s="558">
        <f t="shared" si="2"/>
        <v>30</v>
      </c>
    </row>
    <row r="42" spans="1:17" x14ac:dyDescent="0.25">
      <c r="A42" s="491"/>
      <c r="B42" s="515"/>
      <c r="C42" s="510"/>
      <c r="D42" s="515"/>
      <c r="E42" s="500"/>
      <c r="F42" s="215" t="s">
        <v>386</v>
      </c>
      <c r="G42" s="223">
        <f>G41*0.1</f>
        <v>1.9200000000000003E-3</v>
      </c>
      <c r="H42" s="215">
        <v>10</v>
      </c>
      <c r="I42" s="27">
        <f t="shared" ref="I42:I44" si="14">G42*H42*1.1*351</f>
        <v>7.413120000000001</v>
      </c>
      <c r="J42" s="215">
        <v>4</v>
      </c>
      <c r="K42" s="27">
        <v>279.92</v>
      </c>
      <c r="L42" s="27"/>
      <c r="M42" s="28">
        <f t="shared" si="1"/>
        <v>2075.0805504000004</v>
      </c>
      <c r="N42" s="524"/>
      <c r="O42" s="526"/>
      <c r="P42" s="490"/>
      <c r="Q42" s="559">
        <f t="shared" si="2"/>
        <v>0</v>
      </c>
    </row>
    <row r="43" spans="1:17" ht="15.75" customHeight="1" x14ac:dyDescent="0.25">
      <c r="A43" s="491"/>
      <c r="B43" s="515"/>
      <c r="C43" s="504" t="s">
        <v>411</v>
      </c>
      <c r="D43" s="510" t="s">
        <v>412</v>
      </c>
      <c r="E43" s="500"/>
      <c r="F43" s="215" t="s">
        <v>384</v>
      </c>
      <c r="G43" s="223">
        <f>0.006*4</f>
        <v>2.4E-2</v>
      </c>
      <c r="H43" s="215">
        <v>2</v>
      </c>
      <c r="I43" s="27">
        <f t="shared" si="14"/>
        <v>18.532800000000002</v>
      </c>
      <c r="J43" s="215">
        <v>5</v>
      </c>
      <c r="K43" s="27">
        <v>297.57</v>
      </c>
      <c r="L43" s="27"/>
      <c r="M43" s="28">
        <f t="shared" si="1"/>
        <v>5514.8052960000005</v>
      </c>
      <c r="N43" s="524" t="s">
        <v>413</v>
      </c>
      <c r="O43" s="526"/>
      <c r="P43" s="489"/>
      <c r="Q43" s="558"/>
    </row>
    <row r="44" spans="1:17" x14ac:dyDescent="0.25">
      <c r="A44" s="491"/>
      <c r="B44" s="515"/>
      <c r="C44" s="504"/>
      <c r="D44" s="510"/>
      <c r="E44" s="500"/>
      <c r="F44" s="215" t="s">
        <v>386</v>
      </c>
      <c r="G44" s="223">
        <f>G43*0.1</f>
        <v>2.4000000000000002E-3</v>
      </c>
      <c r="H44" s="215">
        <v>10</v>
      </c>
      <c r="I44" s="27">
        <f t="shared" si="14"/>
        <v>9.2664000000000009</v>
      </c>
      <c r="J44" s="215">
        <v>5</v>
      </c>
      <c r="K44" s="27">
        <v>297.57</v>
      </c>
      <c r="L44" s="27"/>
      <c r="M44" s="28">
        <f t="shared" si="1"/>
        <v>2757.4026480000002</v>
      </c>
      <c r="N44" s="524"/>
      <c r="O44" s="526"/>
      <c r="P44" s="490"/>
      <c r="Q44" s="559"/>
    </row>
    <row r="45" spans="1:17" ht="15.75" customHeight="1" x14ac:dyDescent="0.25">
      <c r="A45" s="491"/>
      <c r="B45" s="515"/>
      <c r="C45" s="504" t="s">
        <v>414</v>
      </c>
      <c r="D45" s="515"/>
      <c r="E45" s="500"/>
      <c r="F45" s="215" t="s">
        <v>384</v>
      </c>
      <c r="G45" s="27">
        <f>0.005*1.6</f>
        <v>8.0000000000000002E-3</v>
      </c>
      <c r="H45" s="215">
        <v>1</v>
      </c>
      <c r="I45" s="27">
        <f>G45*H45*1.1*351</f>
        <v>3.0888</v>
      </c>
      <c r="J45" s="215">
        <v>4</v>
      </c>
      <c r="K45" s="27">
        <v>279.92</v>
      </c>
      <c r="L45" s="27"/>
      <c r="M45" s="28">
        <f t="shared" si="1"/>
        <v>864.616896</v>
      </c>
      <c r="N45" s="524" t="s">
        <v>415</v>
      </c>
      <c r="O45" s="526">
        <v>4</v>
      </c>
      <c r="P45" s="489">
        <v>145.88999999999999</v>
      </c>
      <c r="Q45" s="558">
        <f>P45*O45</f>
        <v>583.55999999999995</v>
      </c>
    </row>
    <row r="46" spans="1:17" x14ac:dyDescent="0.25">
      <c r="A46" s="491"/>
      <c r="B46" s="515"/>
      <c r="C46" s="504"/>
      <c r="D46" s="515"/>
      <c r="E46" s="500"/>
      <c r="F46" s="215" t="s">
        <v>386</v>
      </c>
      <c r="G46" s="223">
        <f>G45*0.1</f>
        <v>8.0000000000000004E-4</v>
      </c>
      <c r="H46" s="215">
        <v>11</v>
      </c>
      <c r="I46" s="27">
        <f t="shared" ref="I46" si="15">G46*H46*1.1*351</f>
        <v>3.3976800000000003</v>
      </c>
      <c r="J46" s="215">
        <v>4</v>
      </c>
      <c r="K46" s="27">
        <v>279.92</v>
      </c>
      <c r="L46" s="27"/>
      <c r="M46" s="28">
        <f t="shared" si="1"/>
        <v>951.07858560000011</v>
      </c>
      <c r="N46" s="524"/>
      <c r="O46" s="526"/>
      <c r="P46" s="490"/>
      <c r="Q46" s="559">
        <f t="shared" si="2"/>
        <v>0</v>
      </c>
    </row>
    <row r="47" spans="1:17" ht="15.75" customHeight="1" x14ac:dyDescent="0.25">
      <c r="A47" s="491"/>
      <c r="B47" s="515"/>
      <c r="C47" s="510" t="s">
        <v>416</v>
      </c>
      <c r="D47" s="239"/>
      <c r="E47" s="231"/>
      <c r="F47" s="215" t="s">
        <v>384</v>
      </c>
      <c r="G47" s="27">
        <f>0.006*1.6</f>
        <v>9.6000000000000009E-3</v>
      </c>
      <c r="H47" s="215">
        <v>1</v>
      </c>
      <c r="I47" s="27">
        <f>G47*H47*1.1*351</f>
        <v>3.7065600000000005</v>
      </c>
      <c r="J47" s="215">
        <v>4</v>
      </c>
      <c r="K47" s="27">
        <v>279.92</v>
      </c>
      <c r="L47" s="27"/>
      <c r="M47" s="28">
        <f t="shared" si="1"/>
        <v>1037.5402752000002</v>
      </c>
      <c r="N47" s="524" t="s">
        <v>415</v>
      </c>
      <c r="O47" s="526">
        <v>8</v>
      </c>
      <c r="P47" s="489">
        <v>145.88999999999999</v>
      </c>
      <c r="Q47" s="558">
        <f t="shared" si="2"/>
        <v>1167.1199999999999</v>
      </c>
    </row>
    <row r="48" spans="1:17" x14ac:dyDescent="0.25">
      <c r="A48" s="491"/>
      <c r="B48" s="515"/>
      <c r="C48" s="510"/>
      <c r="D48" s="239"/>
      <c r="E48" s="231"/>
      <c r="F48" s="215" t="s">
        <v>386</v>
      </c>
      <c r="G48" s="223">
        <f>G47*0.1</f>
        <v>9.6000000000000013E-4</v>
      </c>
      <c r="H48" s="215">
        <v>11</v>
      </c>
      <c r="I48" s="27">
        <f t="shared" ref="I48" si="16">G48*H48*1.1*351</f>
        <v>4.0772160000000008</v>
      </c>
      <c r="J48" s="215">
        <v>4</v>
      </c>
      <c r="K48" s="27">
        <v>279.92</v>
      </c>
      <c r="L48" s="27"/>
      <c r="M48" s="28">
        <f t="shared" si="1"/>
        <v>1141.2943027200004</v>
      </c>
      <c r="N48" s="524"/>
      <c r="O48" s="526"/>
      <c r="P48" s="490"/>
      <c r="Q48" s="559">
        <f t="shared" si="2"/>
        <v>0</v>
      </c>
    </row>
    <row r="49" spans="1:17" ht="15.75" customHeight="1" x14ac:dyDescent="0.25">
      <c r="A49" s="491"/>
      <c r="B49" s="515"/>
      <c r="C49" s="504" t="s">
        <v>417</v>
      </c>
      <c r="D49" s="515"/>
      <c r="E49" s="500"/>
      <c r="F49" s="215" t="s">
        <v>384</v>
      </c>
      <c r="G49" s="27">
        <f>0.004*0.9*1.6</f>
        <v>5.7600000000000012E-3</v>
      </c>
      <c r="H49" s="215">
        <v>1</v>
      </c>
      <c r="I49" s="27">
        <f>G49*H49*1.1*351</f>
        <v>2.2239360000000006</v>
      </c>
      <c r="J49" s="215">
        <v>4</v>
      </c>
      <c r="K49" s="27">
        <v>279.92</v>
      </c>
      <c r="L49" s="27"/>
      <c r="M49" s="28">
        <f t="shared" si="1"/>
        <v>622.52416512000025</v>
      </c>
      <c r="N49" s="524" t="s">
        <v>418</v>
      </c>
      <c r="O49" s="526">
        <v>9</v>
      </c>
      <c r="P49" s="489">
        <v>6897</v>
      </c>
      <c r="Q49" s="558">
        <f t="shared" si="2"/>
        <v>62073</v>
      </c>
    </row>
    <row r="50" spans="1:17" x14ac:dyDescent="0.25">
      <c r="A50" s="491"/>
      <c r="B50" s="515"/>
      <c r="C50" s="504"/>
      <c r="D50" s="515"/>
      <c r="E50" s="500"/>
      <c r="F50" s="215" t="s">
        <v>386</v>
      </c>
      <c r="G50" s="223">
        <f>G49*0.1</f>
        <v>5.7600000000000012E-4</v>
      </c>
      <c r="H50" s="215">
        <v>11</v>
      </c>
      <c r="I50" s="27">
        <f t="shared" ref="I50" si="17">G50*H50*1.1*351</f>
        <v>2.4463296000000008</v>
      </c>
      <c r="J50" s="215">
        <v>4</v>
      </c>
      <c r="K50" s="27">
        <v>279.92</v>
      </c>
      <c r="L50" s="27"/>
      <c r="M50" s="28">
        <f t="shared" si="1"/>
        <v>684.77658163200022</v>
      </c>
      <c r="N50" s="524"/>
      <c r="O50" s="526"/>
      <c r="P50" s="490"/>
      <c r="Q50" s="559">
        <f t="shared" si="2"/>
        <v>0</v>
      </c>
    </row>
    <row r="51" spans="1:17" ht="15.75" customHeight="1" x14ac:dyDescent="0.25">
      <c r="A51" s="491"/>
      <c r="B51" s="515"/>
      <c r="C51" s="504" t="s">
        <v>419</v>
      </c>
      <c r="D51" s="515"/>
      <c r="E51" s="500"/>
      <c r="F51" s="215" t="s">
        <v>384</v>
      </c>
      <c r="G51" s="27">
        <f>0.004*2.1*1.6</f>
        <v>1.3440000000000002E-2</v>
      </c>
      <c r="H51" s="215">
        <v>1</v>
      </c>
      <c r="I51" s="27">
        <f>G51*H51*1.1*351</f>
        <v>5.1891840000000009</v>
      </c>
      <c r="J51" s="215">
        <v>4</v>
      </c>
      <c r="K51" s="27">
        <v>279.92</v>
      </c>
      <c r="L51" s="27"/>
      <c r="M51" s="28">
        <f t="shared" si="1"/>
        <v>1452.5563852800003</v>
      </c>
      <c r="N51" s="524" t="s">
        <v>420</v>
      </c>
      <c r="O51" s="526">
        <v>42</v>
      </c>
      <c r="P51" s="489">
        <v>219.92</v>
      </c>
      <c r="Q51" s="558">
        <f t="shared" si="2"/>
        <v>9236.64</v>
      </c>
    </row>
    <row r="52" spans="1:17" x14ac:dyDescent="0.25">
      <c r="A52" s="491"/>
      <c r="B52" s="515"/>
      <c r="C52" s="504"/>
      <c r="D52" s="515"/>
      <c r="E52" s="500"/>
      <c r="F52" s="215" t="s">
        <v>386</v>
      </c>
      <c r="G52" s="223">
        <f>G51*0.1</f>
        <v>1.3440000000000004E-3</v>
      </c>
      <c r="H52" s="215">
        <v>11</v>
      </c>
      <c r="I52" s="27">
        <f t="shared" ref="I52" si="18">G52*H52*1.1*351</f>
        <v>5.7081024000000022</v>
      </c>
      <c r="J52" s="215">
        <v>4</v>
      </c>
      <c r="K52" s="27">
        <v>279.92</v>
      </c>
      <c r="L52" s="27"/>
      <c r="M52" s="28">
        <f t="shared" si="1"/>
        <v>1597.8120238080007</v>
      </c>
      <c r="N52" s="524"/>
      <c r="O52" s="526"/>
      <c r="P52" s="490"/>
      <c r="Q52" s="559">
        <f t="shared" si="2"/>
        <v>0</v>
      </c>
    </row>
    <row r="53" spans="1:17" ht="47.25" x14ac:dyDescent="0.25">
      <c r="A53" s="491"/>
      <c r="B53" s="515"/>
      <c r="C53" s="504" t="s">
        <v>421</v>
      </c>
      <c r="D53" s="507"/>
      <c r="E53" s="507"/>
      <c r="F53" s="215" t="s">
        <v>384</v>
      </c>
      <c r="G53" s="27">
        <f>0.004*0.4*1.6</f>
        <v>2.5600000000000002E-3</v>
      </c>
      <c r="H53" s="215">
        <v>1</v>
      </c>
      <c r="I53" s="27">
        <f>G53*H53*1.1*351</f>
        <v>0.98841600000000007</v>
      </c>
      <c r="J53" s="215">
        <v>4</v>
      </c>
      <c r="K53" s="27">
        <v>279.92</v>
      </c>
      <c r="L53" s="27"/>
      <c r="M53" s="28">
        <f t="shared" si="1"/>
        <v>276.67740672000002</v>
      </c>
      <c r="N53" s="219" t="s">
        <v>422</v>
      </c>
      <c r="O53" s="215">
        <v>2</v>
      </c>
      <c r="P53" s="215">
        <v>726.86</v>
      </c>
      <c r="Q53" s="29">
        <f t="shared" si="2"/>
        <v>1453.72</v>
      </c>
    </row>
    <row r="54" spans="1:17" ht="47.25" x14ac:dyDescent="0.25">
      <c r="A54" s="491"/>
      <c r="B54" s="515"/>
      <c r="C54" s="504"/>
      <c r="D54" s="507"/>
      <c r="E54" s="507"/>
      <c r="F54" s="215" t="s">
        <v>386</v>
      </c>
      <c r="G54" s="223">
        <f>G53*0.1</f>
        <v>2.5600000000000004E-4</v>
      </c>
      <c r="H54" s="215">
        <v>11</v>
      </c>
      <c r="I54" s="27">
        <f t="shared" ref="I54" si="19">G54*H54*1.1*351</f>
        <v>1.0872576000000003</v>
      </c>
      <c r="J54" s="215">
        <v>4</v>
      </c>
      <c r="K54" s="27">
        <v>279.92</v>
      </c>
      <c r="L54" s="27"/>
      <c r="M54" s="28">
        <f t="shared" si="1"/>
        <v>304.34514739200011</v>
      </c>
      <c r="N54" s="219" t="s">
        <v>423</v>
      </c>
      <c r="O54" s="215">
        <v>2</v>
      </c>
      <c r="P54" s="215">
        <v>866</v>
      </c>
      <c r="Q54" s="29">
        <f t="shared" si="2"/>
        <v>1732</v>
      </c>
    </row>
    <row r="55" spans="1:17" x14ac:dyDescent="0.25">
      <c r="A55" s="491"/>
      <c r="B55" s="515"/>
      <c r="C55" s="510" t="s">
        <v>424</v>
      </c>
      <c r="D55" s="507"/>
      <c r="E55" s="507"/>
      <c r="F55" s="215" t="s">
        <v>384</v>
      </c>
      <c r="G55" s="27">
        <f>0.028*0.382</f>
        <v>1.0696000000000001E-2</v>
      </c>
      <c r="H55" s="215">
        <v>1</v>
      </c>
      <c r="I55" s="27">
        <f>G55*H55*1.1*351</f>
        <v>4.1297256000000004</v>
      </c>
      <c r="J55" s="215">
        <v>4</v>
      </c>
      <c r="K55" s="27">
        <v>279.92</v>
      </c>
      <c r="L55" s="27"/>
      <c r="M55" s="28">
        <f t="shared" si="1"/>
        <v>1155.9927899520003</v>
      </c>
      <c r="N55" s="218" t="s">
        <v>425</v>
      </c>
      <c r="O55" s="215">
        <v>1</v>
      </c>
      <c r="P55" s="215">
        <v>102</v>
      </c>
      <c r="Q55" s="29">
        <f t="shared" si="2"/>
        <v>102</v>
      </c>
    </row>
    <row r="56" spans="1:17" x14ac:dyDescent="0.25">
      <c r="A56" s="491"/>
      <c r="B56" s="515"/>
      <c r="C56" s="502"/>
      <c r="D56" s="507"/>
      <c r="E56" s="507"/>
      <c r="F56" s="215" t="s">
        <v>386</v>
      </c>
      <c r="G56" s="223">
        <f>G55*0.1</f>
        <v>1.0696000000000002E-3</v>
      </c>
      <c r="H56" s="215">
        <v>11</v>
      </c>
      <c r="I56" s="27">
        <f t="shared" ref="I56" si="20">G56*H56*1.1*351</f>
        <v>4.5426981600000014</v>
      </c>
      <c r="J56" s="215">
        <v>4</v>
      </c>
      <c r="K56" s="27">
        <v>279.92</v>
      </c>
      <c r="L56" s="27"/>
      <c r="M56" s="28">
        <f t="shared" si="1"/>
        <v>1271.5920689472005</v>
      </c>
      <c r="N56" s="218" t="s">
        <v>426</v>
      </c>
      <c r="O56" s="31">
        <v>1</v>
      </c>
      <c r="P56" s="215">
        <v>15</v>
      </c>
      <c r="Q56" s="29">
        <f t="shared" si="2"/>
        <v>15</v>
      </c>
    </row>
    <row r="57" spans="1:17" x14ac:dyDescent="0.25">
      <c r="A57" s="491"/>
      <c r="B57" s="515"/>
      <c r="C57" s="510" t="s">
        <v>427</v>
      </c>
      <c r="D57" s="507"/>
      <c r="E57" s="507"/>
      <c r="F57" s="215" t="s">
        <v>384</v>
      </c>
      <c r="G57" s="27">
        <f>0.04*0.05</f>
        <v>2E-3</v>
      </c>
      <c r="H57" s="215">
        <v>1</v>
      </c>
      <c r="I57" s="27">
        <f>G57*H57*1.1*351</f>
        <v>0.7722</v>
      </c>
      <c r="J57" s="215">
        <v>4</v>
      </c>
      <c r="K57" s="27">
        <v>279.92</v>
      </c>
      <c r="L57" s="27"/>
      <c r="M57" s="28">
        <f t="shared" si="1"/>
        <v>216.154224</v>
      </c>
      <c r="N57" s="218" t="s">
        <v>314</v>
      </c>
      <c r="O57" s="215">
        <v>1</v>
      </c>
      <c r="P57" s="215">
        <v>102</v>
      </c>
      <c r="Q57" s="29">
        <f t="shared" si="2"/>
        <v>102</v>
      </c>
    </row>
    <row r="58" spans="1:17" x14ac:dyDescent="0.25">
      <c r="A58" s="491"/>
      <c r="B58" s="515"/>
      <c r="C58" s="502"/>
      <c r="D58" s="507"/>
      <c r="E58" s="507"/>
      <c r="F58" s="215" t="s">
        <v>386</v>
      </c>
      <c r="G58" s="223">
        <f>G57*0.1</f>
        <v>2.0000000000000001E-4</v>
      </c>
      <c r="H58" s="215">
        <v>11</v>
      </c>
      <c r="I58" s="27">
        <f t="shared" ref="I58" si="21">G58*H58*1.1*351</f>
        <v>0.84942000000000006</v>
      </c>
      <c r="J58" s="215">
        <v>4</v>
      </c>
      <c r="K58" s="27">
        <v>279.92</v>
      </c>
      <c r="L58" s="27"/>
      <c r="M58" s="28">
        <f t="shared" si="1"/>
        <v>237.76964640000003</v>
      </c>
      <c r="N58" s="218" t="s">
        <v>426</v>
      </c>
      <c r="O58" s="31">
        <v>1</v>
      </c>
      <c r="P58" s="215">
        <v>15</v>
      </c>
      <c r="Q58" s="29">
        <f t="shared" si="2"/>
        <v>15</v>
      </c>
    </row>
    <row r="59" spans="1:17" x14ac:dyDescent="0.25">
      <c r="A59" s="491"/>
      <c r="B59" s="515"/>
      <c r="C59" s="510" t="s">
        <v>428</v>
      </c>
      <c r="D59" s="507"/>
      <c r="E59" s="507"/>
      <c r="F59" s="215" t="s">
        <v>384</v>
      </c>
      <c r="G59" s="27">
        <f>0.048*0.094</f>
        <v>4.5120000000000004E-3</v>
      </c>
      <c r="H59" s="215">
        <v>1</v>
      </c>
      <c r="I59" s="27">
        <f>G59*H59*1.1*351</f>
        <v>1.7420832000000004</v>
      </c>
      <c r="J59" s="215">
        <v>4</v>
      </c>
      <c r="K59" s="27">
        <v>279.92</v>
      </c>
      <c r="L59" s="27"/>
      <c r="M59" s="28">
        <f t="shared" si="1"/>
        <v>487.64392934400013</v>
      </c>
      <c r="N59" s="218" t="s">
        <v>314</v>
      </c>
      <c r="O59" s="215">
        <v>1</v>
      </c>
      <c r="P59" s="215">
        <v>102</v>
      </c>
      <c r="Q59" s="29">
        <f t="shared" si="2"/>
        <v>102</v>
      </c>
    </row>
    <row r="60" spans="1:17" x14ac:dyDescent="0.25">
      <c r="A60" s="491"/>
      <c r="B60" s="515"/>
      <c r="C60" s="502"/>
      <c r="D60" s="507"/>
      <c r="E60" s="507"/>
      <c r="F60" s="215" t="s">
        <v>386</v>
      </c>
      <c r="G60" s="223">
        <f>G59*0.1</f>
        <v>4.5120000000000007E-4</v>
      </c>
      <c r="H60" s="215">
        <v>11</v>
      </c>
      <c r="I60" s="27">
        <f t="shared" ref="I60" si="22">G60*H60*1.1*351</f>
        <v>1.9162915200000006</v>
      </c>
      <c r="J60" s="215">
        <v>4</v>
      </c>
      <c r="K60" s="27">
        <v>279.92</v>
      </c>
      <c r="L60" s="27"/>
      <c r="M60" s="28">
        <f t="shared" si="1"/>
        <v>536.40832227840019</v>
      </c>
      <c r="N60" s="218" t="s">
        <v>426</v>
      </c>
      <c r="O60" s="31">
        <v>1</v>
      </c>
      <c r="P60" s="215">
        <v>15</v>
      </c>
      <c r="Q60" s="29">
        <f t="shared" si="2"/>
        <v>15</v>
      </c>
    </row>
    <row r="61" spans="1:17" x14ac:dyDescent="0.25">
      <c r="A61" s="491"/>
      <c r="B61" s="515"/>
      <c r="C61" s="502" t="s">
        <v>429</v>
      </c>
      <c r="D61" s="507"/>
      <c r="E61" s="507"/>
      <c r="F61" s="215" t="s">
        <v>384</v>
      </c>
      <c r="G61" s="27">
        <f>0.04*0.708</f>
        <v>2.8319999999999998E-2</v>
      </c>
      <c r="H61" s="215">
        <v>1</v>
      </c>
      <c r="I61" s="27">
        <f>G61*H61*1.1*351</f>
        <v>10.934352000000001</v>
      </c>
      <c r="J61" s="215">
        <v>4</v>
      </c>
      <c r="K61" s="27">
        <v>279.92</v>
      </c>
      <c r="L61" s="27"/>
      <c r="M61" s="28">
        <f t="shared" si="1"/>
        <v>3060.7438118400005</v>
      </c>
      <c r="N61" s="218" t="s">
        <v>314</v>
      </c>
      <c r="O61" s="215">
        <v>1</v>
      </c>
      <c r="P61" s="215">
        <v>102</v>
      </c>
      <c r="Q61" s="29">
        <f t="shared" si="2"/>
        <v>102</v>
      </c>
    </row>
    <row r="62" spans="1:17" x14ac:dyDescent="0.25">
      <c r="A62" s="491"/>
      <c r="B62" s="515"/>
      <c r="C62" s="502"/>
      <c r="D62" s="507"/>
      <c r="E62" s="507"/>
      <c r="F62" s="215" t="s">
        <v>386</v>
      </c>
      <c r="G62" s="223">
        <f>G61*0.1</f>
        <v>2.8319999999999999E-3</v>
      </c>
      <c r="H62" s="215">
        <v>11</v>
      </c>
      <c r="I62" s="27">
        <f t="shared" ref="I62" si="23">G62*H62*1.1*351</f>
        <v>12.027787200000002</v>
      </c>
      <c r="J62" s="215">
        <v>4</v>
      </c>
      <c r="K62" s="27">
        <v>279.92</v>
      </c>
      <c r="L62" s="27"/>
      <c r="M62" s="28">
        <f t="shared" si="1"/>
        <v>3366.8181930240007</v>
      </c>
      <c r="N62" s="218" t="s">
        <v>426</v>
      </c>
      <c r="O62" s="31">
        <v>1</v>
      </c>
      <c r="P62" s="215">
        <v>15</v>
      </c>
      <c r="Q62" s="29">
        <f t="shared" si="2"/>
        <v>15</v>
      </c>
    </row>
    <row r="63" spans="1:17" x14ac:dyDescent="0.25">
      <c r="A63" s="491"/>
      <c r="B63" s="515"/>
      <c r="C63" s="502" t="s">
        <v>430</v>
      </c>
      <c r="D63" s="507"/>
      <c r="E63" s="507"/>
      <c r="F63" s="215" t="s">
        <v>384</v>
      </c>
      <c r="G63" s="27">
        <f>0.014*4*1.6</f>
        <v>8.9600000000000013E-2</v>
      </c>
      <c r="H63" s="215">
        <v>1</v>
      </c>
      <c r="I63" s="27">
        <f>G63*H63*1.1*351</f>
        <v>34.594560000000008</v>
      </c>
      <c r="J63" s="215">
        <v>4</v>
      </c>
      <c r="K63" s="27">
        <v>279.92</v>
      </c>
      <c r="L63" s="27"/>
      <c r="M63" s="28">
        <f t="shared" si="1"/>
        <v>9683.7092352000036</v>
      </c>
      <c r="N63" s="524" t="s">
        <v>426</v>
      </c>
      <c r="O63" s="526">
        <v>2</v>
      </c>
      <c r="P63" s="489">
        <v>15</v>
      </c>
      <c r="Q63" s="558">
        <f t="shared" si="2"/>
        <v>30</v>
      </c>
    </row>
    <row r="64" spans="1:17" x14ac:dyDescent="0.25">
      <c r="A64" s="491"/>
      <c r="B64" s="515"/>
      <c r="C64" s="502"/>
      <c r="D64" s="507"/>
      <c r="E64" s="507"/>
      <c r="F64" s="215" t="s">
        <v>386</v>
      </c>
      <c r="G64" s="223">
        <f>G63*0.1</f>
        <v>8.9600000000000009E-3</v>
      </c>
      <c r="H64" s="215">
        <v>11</v>
      </c>
      <c r="I64" s="27">
        <f t="shared" ref="I64:I66" si="24">G64*H64*1.1*351</f>
        <v>38.054016000000004</v>
      </c>
      <c r="J64" s="215">
        <v>4</v>
      </c>
      <c r="K64" s="27">
        <v>279.92</v>
      </c>
      <c r="L64" s="27"/>
      <c r="M64" s="28">
        <f t="shared" si="1"/>
        <v>10652.080158720002</v>
      </c>
      <c r="N64" s="524"/>
      <c r="O64" s="526"/>
      <c r="P64" s="490"/>
      <c r="Q64" s="559">
        <f t="shared" si="2"/>
        <v>0</v>
      </c>
    </row>
    <row r="65" spans="1:17" x14ac:dyDescent="0.25">
      <c r="A65" s="491">
        <v>2</v>
      </c>
      <c r="B65" s="515" t="s">
        <v>1033</v>
      </c>
      <c r="C65" s="512" t="s">
        <v>431</v>
      </c>
      <c r="D65" s="512" t="s">
        <v>432</v>
      </c>
      <c r="E65" s="513">
        <v>45</v>
      </c>
      <c r="F65" s="215" t="s">
        <v>384</v>
      </c>
      <c r="G65" s="27">
        <f>0.01*1.5</f>
        <v>1.4999999999999999E-2</v>
      </c>
      <c r="H65" s="215">
        <v>2</v>
      </c>
      <c r="I65" s="27">
        <f t="shared" si="24"/>
        <v>11.583</v>
      </c>
      <c r="J65" s="215">
        <v>4</v>
      </c>
      <c r="K65" s="27">
        <v>279.92</v>
      </c>
      <c r="L65" s="27"/>
      <c r="M65" s="28">
        <f t="shared" si="1"/>
        <v>3242.3133600000001</v>
      </c>
      <c r="N65" s="524" t="s">
        <v>394</v>
      </c>
      <c r="O65" s="526">
        <v>2</v>
      </c>
      <c r="P65" s="489">
        <v>2315</v>
      </c>
      <c r="Q65" s="558">
        <f t="shared" si="2"/>
        <v>4630</v>
      </c>
    </row>
    <row r="66" spans="1:17" x14ac:dyDescent="0.25">
      <c r="A66" s="491"/>
      <c r="B66" s="515"/>
      <c r="C66" s="512"/>
      <c r="D66" s="512"/>
      <c r="E66" s="513"/>
      <c r="F66" s="215" t="s">
        <v>386</v>
      </c>
      <c r="G66" s="223">
        <f>G65*0.1</f>
        <v>1.5E-3</v>
      </c>
      <c r="H66" s="215">
        <v>10</v>
      </c>
      <c r="I66" s="27">
        <f t="shared" si="24"/>
        <v>5.7915000000000001</v>
      </c>
      <c r="J66" s="215">
        <v>4</v>
      </c>
      <c r="K66" s="27">
        <v>279.92</v>
      </c>
      <c r="L66" s="27"/>
      <c r="M66" s="28">
        <f t="shared" si="1"/>
        <v>1621.1566800000001</v>
      </c>
      <c r="N66" s="524"/>
      <c r="O66" s="526"/>
      <c r="P66" s="490"/>
      <c r="Q66" s="559">
        <f t="shared" si="2"/>
        <v>0</v>
      </c>
    </row>
    <row r="67" spans="1:17" x14ac:dyDescent="0.25">
      <c r="A67" s="491"/>
      <c r="B67" s="515"/>
      <c r="C67" s="512" t="s">
        <v>433</v>
      </c>
      <c r="D67" s="508"/>
      <c r="E67" s="513">
        <v>0.5</v>
      </c>
      <c r="F67" s="215" t="s">
        <v>384</v>
      </c>
      <c r="G67" s="27">
        <f>0.014*1.6</f>
        <v>2.2400000000000003E-2</v>
      </c>
      <c r="H67" s="215">
        <v>1</v>
      </c>
      <c r="I67" s="27">
        <f>G67*H67*1.1*351</f>
        <v>8.6486400000000021</v>
      </c>
      <c r="J67" s="215">
        <v>4</v>
      </c>
      <c r="K67" s="27">
        <v>279.92</v>
      </c>
      <c r="L67" s="27"/>
      <c r="M67" s="28">
        <f t="shared" si="1"/>
        <v>2420.9273088000009</v>
      </c>
      <c r="N67" s="524" t="s">
        <v>426</v>
      </c>
      <c r="O67" s="526">
        <v>2</v>
      </c>
      <c r="P67" s="489">
        <v>15</v>
      </c>
      <c r="Q67" s="558">
        <f t="shared" si="2"/>
        <v>30</v>
      </c>
    </row>
    <row r="68" spans="1:17" x14ac:dyDescent="0.25">
      <c r="A68" s="491"/>
      <c r="B68" s="515"/>
      <c r="C68" s="512"/>
      <c r="D68" s="508"/>
      <c r="E68" s="513"/>
      <c r="F68" s="215" t="s">
        <v>386</v>
      </c>
      <c r="G68" s="223">
        <f>G67*0.1</f>
        <v>2.2400000000000002E-3</v>
      </c>
      <c r="H68" s="215">
        <v>11</v>
      </c>
      <c r="I68" s="27">
        <f t="shared" ref="I68:I72" si="25">G68*H68*1.1*351</f>
        <v>9.5135040000000011</v>
      </c>
      <c r="J68" s="215">
        <v>4</v>
      </c>
      <c r="K68" s="27">
        <v>279.92</v>
      </c>
      <c r="L68" s="27"/>
      <c r="M68" s="28">
        <f t="shared" si="1"/>
        <v>2663.0200396800005</v>
      </c>
      <c r="N68" s="524"/>
      <c r="O68" s="526"/>
      <c r="P68" s="490"/>
      <c r="Q68" s="559">
        <f t="shared" si="2"/>
        <v>0</v>
      </c>
    </row>
    <row r="69" spans="1:17" x14ac:dyDescent="0.25">
      <c r="A69" s="491"/>
      <c r="B69" s="515"/>
      <c r="C69" s="512" t="s">
        <v>434</v>
      </c>
      <c r="D69" s="512" t="s">
        <v>435</v>
      </c>
      <c r="E69" s="513">
        <v>4</v>
      </c>
      <c r="F69" s="215" t="s">
        <v>384</v>
      </c>
      <c r="G69" s="27">
        <f>0.003*1.5</f>
        <v>4.5000000000000005E-3</v>
      </c>
      <c r="H69" s="215">
        <v>2</v>
      </c>
      <c r="I69" s="27">
        <f t="shared" si="25"/>
        <v>3.4749000000000008</v>
      </c>
      <c r="J69" s="215">
        <v>4</v>
      </c>
      <c r="K69" s="27">
        <v>279.92</v>
      </c>
      <c r="L69" s="27"/>
      <c r="M69" s="28">
        <f t="shared" si="1"/>
        <v>972.69400800000028</v>
      </c>
      <c r="N69" s="219" t="s">
        <v>436</v>
      </c>
      <c r="O69" s="215">
        <v>1</v>
      </c>
      <c r="P69" s="215">
        <v>570</v>
      </c>
      <c r="Q69" s="29">
        <f t="shared" si="2"/>
        <v>570</v>
      </c>
    </row>
    <row r="70" spans="1:17" x14ac:dyDescent="0.25">
      <c r="A70" s="491"/>
      <c r="B70" s="515"/>
      <c r="C70" s="512"/>
      <c r="D70" s="512"/>
      <c r="E70" s="513"/>
      <c r="F70" s="215" t="s">
        <v>386</v>
      </c>
      <c r="G70" s="223">
        <f>G69*0.1</f>
        <v>4.500000000000001E-4</v>
      </c>
      <c r="H70" s="215">
        <v>10</v>
      </c>
      <c r="I70" s="27">
        <f t="shared" si="25"/>
        <v>1.7374500000000004</v>
      </c>
      <c r="J70" s="215">
        <v>4</v>
      </c>
      <c r="K70" s="27">
        <v>279.92</v>
      </c>
      <c r="L70" s="27"/>
      <c r="M70" s="28">
        <f t="shared" ref="M70:M133" si="26">I70*K70</f>
        <v>486.34700400000014</v>
      </c>
      <c r="N70" s="219" t="s">
        <v>402</v>
      </c>
      <c r="O70" s="215">
        <v>1</v>
      </c>
      <c r="P70" s="215">
        <v>570</v>
      </c>
      <c r="Q70" s="29">
        <f t="shared" ref="Q70:Q133" si="27">P70*O70</f>
        <v>570</v>
      </c>
    </row>
    <row r="71" spans="1:17" x14ac:dyDescent="0.25">
      <c r="A71" s="491"/>
      <c r="B71" s="515"/>
      <c r="C71" s="512" t="s">
        <v>437</v>
      </c>
      <c r="D71" s="512" t="s">
        <v>432</v>
      </c>
      <c r="E71" s="513">
        <v>45</v>
      </c>
      <c r="F71" s="215" t="s">
        <v>384</v>
      </c>
      <c r="G71" s="27">
        <f>0.01*1.5</f>
        <v>1.4999999999999999E-2</v>
      </c>
      <c r="H71" s="215">
        <v>2</v>
      </c>
      <c r="I71" s="27">
        <f t="shared" si="25"/>
        <v>11.583</v>
      </c>
      <c r="J71" s="215">
        <v>4</v>
      </c>
      <c r="K71" s="27">
        <v>279.92</v>
      </c>
      <c r="L71" s="27"/>
      <c r="M71" s="28">
        <f t="shared" si="26"/>
        <v>3242.3133600000001</v>
      </c>
      <c r="N71" s="524" t="s">
        <v>394</v>
      </c>
      <c r="O71" s="526">
        <v>2</v>
      </c>
      <c r="P71" s="489">
        <v>1600</v>
      </c>
      <c r="Q71" s="558">
        <f t="shared" si="27"/>
        <v>3200</v>
      </c>
    </row>
    <row r="72" spans="1:17" x14ac:dyDescent="0.25">
      <c r="A72" s="491"/>
      <c r="B72" s="515"/>
      <c r="C72" s="512"/>
      <c r="D72" s="512"/>
      <c r="E72" s="513"/>
      <c r="F72" s="215" t="s">
        <v>386</v>
      </c>
      <c r="G72" s="223">
        <f>G71*0.1</f>
        <v>1.5E-3</v>
      </c>
      <c r="H72" s="215">
        <v>10</v>
      </c>
      <c r="I72" s="27">
        <f t="shared" si="25"/>
        <v>5.7915000000000001</v>
      </c>
      <c r="J72" s="215">
        <v>4</v>
      </c>
      <c r="K72" s="27">
        <v>279.92</v>
      </c>
      <c r="L72" s="27"/>
      <c r="M72" s="28">
        <f t="shared" si="26"/>
        <v>1621.1566800000001</v>
      </c>
      <c r="N72" s="524"/>
      <c r="O72" s="526"/>
      <c r="P72" s="490"/>
      <c r="Q72" s="559">
        <f t="shared" si="27"/>
        <v>0</v>
      </c>
    </row>
    <row r="73" spans="1:17" x14ac:dyDescent="0.25">
      <c r="A73" s="491"/>
      <c r="B73" s="515"/>
      <c r="C73" s="512" t="s">
        <v>438</v>
      </c>
      <c r="D73" s="513"/>
      <c r="E73" s="513">
        <v>0.5</v>
      </c>
      <c r="F73" s="215" t="s">
        <v>384</v>
      </c>
      <c r="G73" s="27">
        <f>0.014*1.6</f>
        <v>2.2400000000000003E-2</v>
      </c>
      <c r="H73" s="215">
        <v>1</v>
      </c>
      <c r="I73" s="27">
        <f>G73*H73*1.1*351</f>
        <v>8.6486400000000021</v>
      </c>
      <c r="J73" s="215">
        <v>4</v>
      </c>
      <c r="K73" s="27">
        <v>279.92</v>
      </c>
      <c r="L73" s="27"/>
      <c r="M73" s="28">
        <f t="shared" si="26"/>
        <v>2420.9273088000009</v>
      </c>
      <c r="N73" s="524" t="s">
        <v>426</v>
      </c>
      <c r="O73" s="526">
        <v>2</v>
      </c>
      <c r="P73" s="489">
        <v>15</v>
      </c>
      <c r="Q73" s="558">
        <f t="shared" si="27"/>
        <v>30</v>
      </c>
    </row>
    <row r="74" spans="1:17" x14ac:dyDescent="0.25">
      <c r="A74" s="491"/>
      <c r="B74" s="515"/>
      <c r="C74" s="512"/>
      <c r="D74" s="513"/>
      <c r="E74" s="513"/>
      <c r="F74" s="215" t="s">
        <v>386</v>
      </c>
      <c r="G74" s="223">
        <f>G73*0.1</f>
        <v>2.2400000000000002E-3</v>
      </c>
      <c r="H74" s="215">
        <v>11</v>
      </c>
      <c r="I74" s="27">
        <f t="shared" ref="I74:I94" si="28">G74*H74*1.1*351</f>
        <v>9.5135040000000011</v>
      </c>
      <c r="J74" s="215">
        <v>4</v>
      </c>
      <c r="K74" s="27">
        <v>279.92</v>
      </c>
      <c r="L74" s="27"/>
      <c r="M74" s="28">
        <f t="shared" si="26"/>
        <v>2663.0200396800005</v>
      </c>
      <c r="N74" s="524"/>
      <c r="O74" s="526"/>
      <c r="P74" s="490"/>
      <c r="Q74" s="559">
        <f t="shared" si="27"/>
        <v>0</v>
      </c>
    </row>
    <row r="75" spans="1:17" x14ac:dyDescent="0.25">
      <c r="A75" s="491"/>
      <c r="B75" s="515"/>
      <c r="C75" s="512" t="s">
        <v>434</v>
      </c>
      <c r="D75" s="512" t="s">
        <v>435</v>
      </c>
      <c r="E75" s="513">
        <v>4</v>
      </c>
      <c r="F75" s="215" t="s">
        <v>384</v>
      </c>
      <c r="G75" s="27">
        <f>0.003*1.5</f>
        <v>4.5000000000000005E-3</v>
      </c>
      <c r="H75" s="215">
        <v>2</v>
      </c>
      <c r="I75" s="27">
        <f t="shared" si="28"/>
        <v>3.4749000000000008</v>
      </c>
      <c r="J75" s="215">
        <v>4</v>
      </c>
      <c r="K75" s="27">
        <v>279.92</v>
      </c>
      <c r="L75" s="27"/>
      <c r="M75" s="28">
        <f t="shared" si="26"/>
        <v>972.69400800000028</v>
      </c>
      <c r="N75" s="224" t="s">
        <v>436</v>
      </c>
      <c r="O75" s="215">
        <v>1</v>
      </c>
      <c r="P75" s="215">
        <v>965</v>
      </c>
      <c r="Q75" s="29">
        <f t="shared" si="27"/>
        <v>965</v>
      </c>
    </row>
    <row r="76" spans="1:17" x14ac:dyDescent="0.25">
      <c r="A76" s="491"/>
      <c r="B76" s="515"/>
      <c r="C76" s="512"/>
      <c r="D76" s="512"/>
      <c r="E76" s="513"/>
      <c r="F76" s="215" t="s">
        <v>386</v>
      </c>
      <c r="G76" s="223">
        <f>G75*0.1</f>
        <v>4.500000000000001E-4</v>
      </c>
      <c r="H76" s="215">
        <v>10</v>
      </c>
      <c r="I76" s="27">
        <f t="shared" si="28"/>
        <v>1.7374500000000004</v>
      </c>
      <c r="J76" s="215">
        <v>4</v>
      </c>
      <c r="K76" s="27">
        <v>279.92</v>
      </c>
      <c r="L76" s="27"/>
      <c r="M76" s="28">
        <f t="shared" si="26"/>
        <v>486.34700400000014</v>
      </c>
      <c r="N76" s="224" t="s">
        <v>402</v>
      </c>
      <c r="O76" s="215">
        <v>1</v>
      </c>
      <c r="P76" s="215">
        <v>570</v>
      </c>
      <c r="Q76" s="29">
        <f t="shared" si="27"/>
        <v>570</v>
      </c>
    </row>
    <row r="77" spans="1:17" x14ac:dyDescent="0.25">
      <c r="A77" s="491"/>
      <c r="B77" s="515"/>
      <c r="C77" s="512" t="s">
        <v>439</v>
      </c>
      <c r="D77" s="512" t="s">
        <v>440</v>
      </c>
      <c r="E77" s="513">
        <v>0.55000000000000004</v>
      </c>
      <c r="F77" s="215" t="s">
        <v>384</v>
      </c>
      <c r="G77" s="27">
        <f>0.001*1.5</f>
        <v>1.5E-3</v>
      </c>
      <c r="H77" s="215">
        <v>2</v>
      </c>
      <c r="I77" s="27">
        <f t="shared" si="28"/>
        <v>1.1583000000000001</v>
      </c>
      <c r="J77" s="215">
        <v>4</v>
      </c>
      <c r="K77" s="27">
        <v>279.92</v>
      </c>
      <c r="L77" s="27"/>
      <c r="M77" s="28">
        <f t="shared" si="26"/>
        <v>324.23133600000006</v>
      </c>
      <c r="N77" s="524" t="s">
        <v>441</v>
      </c>
      <c r="O77" s="526">
        <v>2</v>
      </c>
      <c r="P77" s="489">
        <v>220</v>
      </c>
      <c r="Q77" s="558">
        <f t="shared" si="27"/>
        <v>440</v>
      </c>
    </row>
    <row r="78" spans="1:17" x14ac:dyDescent="0.25">
      <c r="A78" s="491"/>
      <c r="B78" s="515"/>
      <c r="C78" s="512"/>
      <c r="D78" s="512"/>
      <c r="E78" s="513"/>
      <c r="F78" s="215" t="s">
        <v>386</v>
      </c>
      <c r="G78" s="223">
        <f>G77*0.1</f>
        <v>1.5000000000000001E-4</v>
      </c>
      <c r="H78" s="215">
        <v>10</v>
      </c>
      <c r="I78" s="27">
        <f t="shared" si="28"/>
        <v>0.57915000000000005</v>
      </c>
      <c r="J78" s="215">
        <v>4</v>
      </c>
      <c r="K78" s="27">
        <v>279.92</v>
      </c>
      <c r="L78" s="27"/>
      <c r="M78" s="28">
        <f t="shared" si="26"/>
        <v>162.11566800000003</v>
      </c>
      <c r="N78" s="524"/>
      <c r="O78" s="526"/>
      <c r="P78" s="490"/>
      <c r="Q78" s="559">
        <f t="shared" si="27"/>
        <v>0</v>
      </c>
    </row>
    <row r="79" spans="1:17" x14ac:dyDescent="0.25">
      <c r="A79" s="491"/>
      <c r="B79" s="515"/>
      <c r="C79" s="512" t="s">
        <v>442</v>
      </c>
      <c r="D79" s="512" t="s">
        <v>440</v>
      </c>
      <c r="E79" s="513">
        <v>0.55000000000000004</v>
      </c>
      <c r="F79" s="215" t="s">
        <v>384</v>
      </c>
      <c r="G79" s="27">
        <f>0.001*1.5</f>
        <v>1.5E-3</v>
      </c>
      <c r="H79" s="215">
        <v>2</v>
      </c>
      <c r="I79" s="27">
        <f t="shared" si="28"/>
        <v>1.1583000000000001</v>
      </c>
      <c r="J79" s="215">
        <v>4</v>
      </c>
      <c r="K79" s="27">
        <v>279.92</v>
      </c>
      <c r="L79" s="27"/>
      <c r="M79" s="28">
        <f t="shared" si="26"/>
        <v>324.23133600000006</v>
      </c>
      <c r="N79" s="524" t="s">
        <v>441</v>
      </c>
      <c r="O79" s="526">
        <v>2</v>
      </c>
      <c r="P79" s="489">
        <v>220</v>
      </c>
      <c r="Q79" s="558">
        <f t="shared" si="27"/>
        <v>440</v>
      </c>
    </row>
    <row r="80" spans="1:17" x14ac:dyDescent="0.25">
      <c r="A80" s="491"/>
      <c r="B80" s="515"/>
      <c r="C80" s="512"/>
      <c r="D80" s="512"/>
      <c r="E80" s="513"/>
      <c r="F80" s="215" t="s">
        <v>386</v>
      </c>
      <c r="G80" s="223">
        <f>G79*0.1</f>
        <v>1.5000000000000001E-4</v>
      </c>
      <c r="H80" s="215">
        <v>10</v>
      </c>
      <c r="I80" s="27">
        <f t="shared" si="28"/>
        <v>0.57915000000000005</v>
      </c>
      <c r="J80" s="215">
        <v>4</v>
      </c>
      <c r="K80" s="27">
        <v>279.92</v>
      </c>
      <c r="L80" s="27"/>
      <c r="M80" s="28">
        <f t="shared" si="26"/>
        <v>162.11566800000003</v>
      </c>
      <c r="N80" s="524"/>
      <c r="O80" s="526"/>
      <c r="P80" s="490"/>
      <c r="Q80" s="559">
        <f t="shared" si="27"/>
        <v>0</v>
      </c>
    </row>
    <row r="81" spans="1:17" x14ac:dyDescent="0.25">
      <c r="A81" s="491"/>
      <c r="B81" s="515"/>
      <c r="C81" s="512" t="s">
        <v>443</v>
      </c>
      <c r="D81" s="512" t="s">
        <v>444</v>
      </c>
      <c r="E81" s="513">
        <v>0.75</v>
      </c>
      <c r="F81" s="215" t="s">
        <v>384</v>
      </c>
      <c r="G81" s="27">
        <f>0.001*1.5</f>
        <v>1.5E-3</v>
      </c>
      <c r="H81" s="215">
        <v>2</v>
      </c>
      <c r="I81" s="27">
        <f t="shared" si="28"/>
        <v>1.1583000000000001</v>
      </c>
      <c r="J81" s="215">
        <v>4</v>
      </c>
      <c r="K81" s="27">
        <v>279.92</v>
      </c>
      <c r="L81" s="27"/>
      <c r="M81" s="28">
        <f t="shared" si="26"/>
        <v>324.23133600000006</v>
      </c>
      <c r="N81" s="524" t="s">
        <v>441</v>
      </c>
      <c r="O81" s="526">
        <v>2</v>
      </c>
      <c r="P81" s="489">
        <v>220</v>
      </c>
      <c r="Q81" s="558">
        <f t="shared" si="27"/>
        <v>440</v>
      </c>
    </row>
    <row r="82" spans="1:17" x14ac:dyDescent="0.25">
      <c r="A82" s="491"/>
      <c r="B82" s="515"/>
      <c r="C82" s="512"/>
      <c r="D82" s="512"/>
      <c r="E82" s="513"/>
      <c r="F82" s="215" t="s">
        <v>386</v>
      </c>
      <c r="G82" s="223">
        <f>G81*0.1</f>
        <v>1.5000000000000001E-4</v>
      </c>
      <c r="H82" s="215">
        <v>10</v>
      </c>
      <c r="I82" s="27">
        <f t="shared" si="28"/>
        <v>0.57915000000000005</v>
      </c>
      <c r="J82" s="215">
        <v>4</v>
      </c>
      <c r="K82" s="27">
        <v>279.92</v>
      </c>
      <c r="L82" s="27"/>
      <c r="M82" s="28">
        <f t="shared" si="26"/>
        <v>162.11566800000003</v>
      </c>
      <c r="N82" s="524"/>
      <c r="O82" s="526"/>
      <c r="P82" s="490"/>
      <c r="Q82" s="559">
        <f t="shared" si="27"/>
        <v>0</v>
      </c>
    </row>
    <row r="83" spans="1:17" x14ac:dyDescent="0.25">
      <c r="A83" s="491"/>
      <c r="B83" s="515"/>
      <c r="C83" s="512" t="s">
        <v>445</v>
      </c>
      <c r="D83" s="512" t="s">
        <v>444</v>
      </c>
      <c r="E83" s="513">
        <v>0.75</v>
      </c>
      <c r="F83" s="215" t="s">
        <v>384</v>
      </c>
      <c r="G83" s="27">
        <f>0.001*1.5</f>
        <v>1.5E-3</v>
      </c>
      <c r="H83" s="215">
        <v>2</v>
      </c>
      <c r="I83" s="27">
        <f t="shared" si="28"/>
        <v>1.1583000000000001</v>
      </c>
      <c r="J83" s="215">
        <v>4</v>
      </c>
      <c r="K83" s="27">
        <v>279.92</v>
      </c>
      <c r="L83" s="27"/>
      <c r="M83" s="28">
        <f t="shared" si="26"/>
        <v>324.23133600000006</v>
      </c>
      <c r="N83" s="524" t="s">
        <v>441</v>
      </c>
      <c r="O83" s="526">
        <v>2</v>
      </c>
      <c r="P83" s="489">
        <v>220</v>
      </c>
      <c r="Q83" s="558">
        <f t="shared" si="27"/>
        <v>440</v>
      </c>
    </row>
    <row r="84" spans="1:17" x14ac:dyDescent="0.25">
      <c r="A84" s="491"/>
      <c r="B84" s="515"/>
      <c r="C84" s="512"/>
      <c r="D84" s="512"/>
      <c r="E84" s="513"/>
      <c r="F84" s="215" t="s">
        <v>386</v>
      </c>
      <c r="G84" s="223">
        <f>G83*0.1</f>
        <v>1.5000000000000001E-4</v>
      </c>
      <c r="H84" s="215">
        <v>10</v>
      </c>
      <c r="I84" s="27">
        <f t="shared" si="28"/>
        <v>0.57915000000000005</v>
      </c>
      <c r="J84" s="215">
        <v>4</v>
      </c>
      <c r="K84" s="27">
        <v>279.92</v>
      </c>
      <c r="L84" s="27"/>
      <c r="M84" s="28">
        <f t="shared" si="26"/>
        <v>162.11566800000003</v>
      </c>
      <c r="N84" s="524"/>
      <c r="O84" s="526"/>
      <c r="P84" s="490"/>
      <c r="Q84" s="559">
        <f t="shared" si="27"/>
        <v>0</v>
      </c>
    </row>
    <row r="85" spans="1:17" x14ac:dyDescent="0.25">
      <c r="A85" s="491"/>
      <c r="B85" s="515"/>
      <c r="C85" s="512" t="s">
        <v>446</v>
      </c>
      <c r="D85" s="512" t="s">
        <v>447</v>
      </c>
      <c r="E85" s="513">
        <v>75</v>
      </c>
      <c r="F85" s="215" t="s">
        <v>384</v>
      </c>
      <c r="G85" s="27">
        <f>0.011*1.5</f>
        <v>1.6500000000000001E-2</v>
      </c>
      <c r="H85" s="215">
        <v>2</v>
      </c>
      <c r="I85" s="27">
        <f t="shared" si="28"/>
        <v>12.741300000000003</v>
      </c>
      <c r="J85" s="215">
        <v>4</v>
      </c>
      <c r="K85" s="27">
        <v>279.92</v>
      </c>
      <c r="L85" s="27"/>
      <c r="M85" s="28">
        <f t="shared" si="26"/>
        <v>3566.5446960000008</v>
      </c>
      <c r="N85" s="524" t="s">
        <v>448</v>
      </c>
      <c r="O85" s="526">
        <v>2</v>
      </c>
      <c r="P85" s="489">
        <v>13165</v>
      </c>
      <c r="Q85" s="558">
        <f t="shared" si="27"/>
        <v>26330</v>
      </c>
    </row>
    <row r="86" spans="1:17" x14ac:dyDescent="0.25">
      <c r="A86" s="491"/>
      <c r="B86" s="515"/>
      <c r="C86" s="512"/>
      <c r="D86" s="512"/>
      <c r="E86" s="513"/>
      <c r="F86" s="215" t="s">
        <v>386</v>
      </c>
      <c r="G86" s="223">
        <f>G85*0.1</f>
        <v>1.6500000000000002E-3</v>
      </c>
      <c r="H86" s="215">
        <v>10</v>
      </c>
      <c r="I86" s="27">
        <f t="shared" si="28"/>
        <v>6.3706500000000013</v>
      </c>
      <c r="J86" s="215">
        <v>4</v>
      </c>
      <c r="K86" s="27">
        <v>279.92</v>
      </c>
      <c r="L86" s="27"/>
      <c r="M86" s="28">
        <f t="shared" si="26"/>
        <v>1783.2723480000004</v>
      </c>
      <c r="N86" s="524"/>
      <c r="O86" s="526"/>
      <c r="P86" s="490"/>
      <c r="Q86" s="559">
        <f t="shared" si="27"/>
        <v>0</v>
      </c>
    </row>
    <row r="87" spans="1:17" x14ac:dyDescent="0.25">
      <c r="A87" s="491"/>
      <c r="B87" s="515"/>
      <c r="C87" s="512" t="s">
        <v>449</v>
      </c>
      <c r="D87" s="512" t="s">
        <v>447</v>
      </c>
      <c r="E87" s="513">
        <v>75</v>
      </c>
      <c r="F87" s="215" t="s">
        <v>384</v>
      </c>
      <c r="G87" s="27">
        <f>0.011*1.5</f>
        <v>1.6500000000000001E-2</v>
      </c>
      <c r="H87" s="215">
        <v>1</v>
      </c>
      <c r="I87" s="27">
        <f t="shared" si="28"/>
        <v>6.3706500000000013</v>
      </c>
      <c r="J87" s="215">
        <v>4</v>
      </c>
      <c r="K87" s="27">
        <v>279.92</v>
      </c>
      <c r="L87" s="27"/>
      <c r="M87" s="28">
        <f t="shared" si="26"/>
        <v>1783.2723480000004</v>
      </c>
      <c r="N87" s="524" t="s">
        <v>448</v>
      </c>
      <c r="O87" s="526">
        <v>2</v>
      </c>
      <c r="P87" s="489">
        <v>13165</v>
      </c>
      <c r="Q87" s="558">
        <f t="shared" si="27"/>
        <v>26330</v>
      </c>
    </row>
    <row r="88" spans="1:17" x14ac:dyDescent="0.25">
      <c r="A88" s="491"/>
      <c r="B88" s="515"/>
      <c r="C88" s="512"/>
      <c r="D88" s="512"/>
      <c r="E88" s="513"/>
      <c r="F88" s="215" t="s">
        <v>386</v>
      </c>
      <c r="G88" s="223">
        <f>G87*0.1</f>
        <v>1.6500000000000002E-3</v>
      </c>
      <c r="H88" s="215">
        <v>11</v>
      </c>
      <c r="I88" s="27">
        <f t="shared" si="28"/>
        <v>7.007715000000001</v>
      </c>
      <c r="J88" s="215">
        <v>4</v>
      </c>
      <c r="K88" s="27">
        <v>279.92</v>
      </c>
      <c r="L88" s="27"/>
      <c r="M88" s="28">
        <f t="shared" si="26"/>
        <v>1961.5995828000005</v>
      </c>
      <c r="N88" s="524"/>
      <c r="O88" s="526"/>
      <c r="P88" s="490"/>
      <c r="Q88" s="559">
        <f t="shared" si="27"/>
        <v>0</v>
      </c>
    </row>
    <row r="89" spans="1:17" x14ac:dyDescent="0.25">
      <c r="A89" s="491"/>
      <c r="B89" s="515"/>
      <c r="C89" s="512" t="s">
        <v>449</v>
      </c>
      <c r="D89" s="512" t="s">
        <v>447</v>
      </c>
      <c r="E89" s="513">
        <v>75</v>
      </c>
      <c r="F89" s="215" t="s">
        <v>384</v>
      </c>
      <c r="G89" s="27">
        <f>0.011*1.5</f>
        <v>1.6500000000000001E-2</v>
      </c>
      <c r="H89" s="215">
        <v>1</v>
      </c>
      <c r="I89" s="27">
        <f t="shared" si="28"/>
        <v>6.3706500000000013</v>
      </c>
      <c r="J89" s="215">
        <v>4</v>
      </c>
      <c r="K89" s="27">
        <v>279.92</v>
      </c>
      <c r="L89" s="27"/>
      <c r="M89" s="28">
        <f t="shared" si="26"/>
        <v>1783.2723480000004</v>
      </c>
      <c r="N89" s="524" t="s">
        <v>448</v>
      </c>
      <c r="O89" s="526">
        <v>2</v>
      </c>
      <c r="P89" s="489">
        <v>13165</v>
      </c>
      <c r="Q89" s="558">
        <f t="shared" si="27"/>
        <v>26330</v>
      </c>
    </row>
    <row r="90" spans="1:17" x14ac:dyDescent="0.25">
      <c r="A90" s="491"/>
      <c r="B90" s="515"/>
      <c r="C90" s="512"/>
      <c r="D90" s="512"/>
      <c r="E90" s="513"/>
      <c r="F90" s="215" t="s">
        <v>386</v>
      </c>
      <c r="G90" s="223">
        <f>G89*0.1</f>
        <v>1.6500000000000002E-3</v>
      </c>
      <c r="H90" s="215">
        <v>11</v>
      </c>
      <c r="I90" s="27">
        <f t="shared" si="28"/>
        <v>7.007715000000001</v>
      </c>
      <c r="J90" s="215">
        <v>4</v>
      </c>
      <c r="K90" s="27">
        <v>279.92</v>
      </c>
      <c r="L90" s="27"/>
      <c r="M90" s="28">
        <f t="shared" si="26"/>
        <v>1961.5995828000005</v>
      </c>
      <c r="N90" s="524"/>
      <c r="O90" s="526"/>
      <c r="P90" s="490"/>
      <c r="Q90" s="559">
        <f t="shared" si="27"/>
        <v>0</v>
      </c>
    </row>
    <row r="91" spans="1:17" x14ac:dyDescent="0.25">
      <c r="A91" s="491"/>
      <c r="B91" s="515"/>
      <c r="C91" s="512" t="s">
        <v>449</v>
      </c>
      <c r="D91" s="512" t="s">
        <v>447</v>
      </c>
      <c r="E91" s="513">
        <v>75</v>
      </c>
      <c r="F91" s="215" t="s">
        <v>384</v>
      </c>
      <c r="G91" s="27">
        <f>0.011*1.5</f>
        <v>1.6500000000000001E-2</v>
      </c>
      <c r="H91" s="215">
        <v>1</v>
      </c>
      <c r="I91" s="27">
        <f t="shared" si="28"/>
        <v>6.3706500000000013</v>
      </c>
      <c r="J91" s="215">
        <v>4</v>
      </c>
      <c r="K91" s="27">
        <v>279.92</v>
      </c>
      <c r="L91" s="27"/>
      <c r="M91" s="28">
        <f t="shared" si="26"/>
        <v>1783.2723480000004</v>
      </c>
      <c r="N91" s="524" t="s">
        <v>448</v>
      </c>
      <c r="O91" s="526">
        <v>2</v>
      </c>
      <c r="P91" s="489">
        <v>13165</v>
      </c>
      <c r="Q91" s="558">
        <f t="shared" si="27"/>
        <v>26330</v>
      </c>
    </row>
    <row r="92" spans="1:17" x14ac:dyDescent="0.25">
      <c r="A92" s="491"/>
      <c r="B92" s="515"/>
      <c r="C92" s="512"/>
      <c r="D92" s="512"/>
      <c r="E92" s="513"/>
      <c r="F92" s="215" t="s">
        <v>386</v>
      </c>
      <c r="G92" s="223">
        <f>G91*0.1</f>
        <v>1.6500000000000002E-3</v>
      </c>
      <c r="H92" s="215">
        <v>11</v>
      </c>
      <c r="I92" s="27">
        <f t="shared" si="28"/>
        <v>7.007715000000001</v>
      </c>
      <c r="J92" s="215">
        <v>4</v>
      </c>
      <c r="K92" s="27">
        <v>279.92</v>
      </c>
      <c r="L92" s="27"/>
      <c r="M92" s="28">
        <f t="shared" si="26"/>
        <v>1961.5995828000005</v>
      </c>
      <c r="N92" s="524"/>
      <c r="O92" s="526"/>
      <c r="P92" s="490"/>
      <c r="Q92" s="559">
        <f t="shared" si="27"/>
        <v>0</v>
      </c>
    </row>
    <row r="93" spans="1:17" x14ac:dyDescent="0.25">
      <c r="A93" s="491"/>
      <c r="B93" s="515"/>
      <c r="C93" s="512" t="s">
        <v>450</v>
      </c>
      <c r="D93" s="512" t="s">
        <v>432</v>
      </c>
      <c r="E93" s="513">
        <v>45</v>
      </c>
      <c r="F93" s="215" t="s">
        <v>384</v>
      </c>
      <c r="G93" s="27">
        <f>0.01*1.5</f>
        <v>1.4999999999999999E-2</v>
      </c>
      <c r="H93" s="215">
        <v>2</v>
      </c>
      <c r="I93" s="27">
        <f t="shared" si="28"/>
        <v>11.583</v>
      </c>
      <c r="J93" s="215">
        <v>4</v>
      </c>
      <c r="K93" s="27">
        <v>279.92</v>
      </c>
      <c r="L93" s="27"/>
      <c r="M93" s="28">
        <f t="shared" si="26"/>
        <v>3242.3133600000001</v>
      </c>
      <c r="N93" s="524" t="s">
        <v>394</v>
      </c>
      <c r="O93" s="526">
        <v>2</v>
      </c>
      <c r="P93" s="489">
        <v>1600</v>
      </c>
      <c r="Q93" s="558">
        <f t="shared" si="27"/>
        <v>3200</v>
      </c>
    </row>
    <row r="94" spans="1:17" x14ac:dyDescent="0.25">
      <c r="A94" s="491"/>
      <c r="B94" s="515"/>
      <c r="C94" s="512"/>
      <c r="D94" s="512"/>
      <c r="E94" s="513"/>
      <c r="F94" s="215" t="s">
        <v>386</v>
      </c>
      <c r="G94" s="223">
        <f>G93*0.1</f>
        <v>1.5E-3</v>
      </c>
      <c r="H94" s="215">
        <v>10</v>
      </c>
      <c r="I94" s="27">
        <f t="shared" si="28"/>
        <v>5.7915000000000001</v>
      </c>
      <c r="J94" s="215">
        <v>4</v>
      </c>
      <c r="K94" s="27">
        <v>279.92</v>
      </c>
      <c r="L94" s="27"/>
      <c r="M94" s="28">
        <f t="shared" si="26"/>
        <v>1621.1566800000001</v>
      </c>
      <c r="N94" s="524"/>
      <c r="O94" s="526"/>
      <c r="P94" s="490"/>
      <c r="Q94" s="559">
        <f t="shared" si="27"/>
        <v>0</v>
      </c>
    </row>
    <row r="95" spans="1:17" x14ac:dyDescent="0.25">
      <c r="A95" s="491"/>
      <c r="B95" s="515"/>
      <c r="C95" s="512" t="s">
        <v>451</v>
      </c>
      <c r="D95" s="513"/>
      <c r="E95" s="513">
        <v>0.5</v>
      </c>
      <c r="F95" s="215" t="s">
        <v>384</v>
      </c>
      <c r="G95" s="27">
        <f>0.014*1.6</f>
        <v>2.2400000000000003E-2</v>
      </c>
      <c r="H95" s="215">
        <v>1</v>
      </c>
      <c r="I95" s="27">
        <f>G95*H95*1.1*351</f>
        <v>8.6486400000000021</v>
      </c>
      <c r="J95" s="215">
        <v>4</v>
      </c>
      <c r="K95" s="27">
        <v>279.92</v>
      </c>
      <c r="L95" s="27"/>
      <c r="M95" s="28">
        <f t="shared" si="26"/>
        <v>2420.9273088000009</v>
      </c>
      <c r="N95" s="524" t="s">
        <v>426</v>
      </c>
      <c r="O95" s="526">
        <v>2</v>
      </c>
      <c r="P95" s="489">
        <v>15</v>
      </c>
      <c r="Q95" s="558">
        <f t="shared" si="27"/>
        <v>30</v>
      </c>
    </row>
    <row r="96" spans="1:17" x14ac:dyDescent="0.25">
      <c r="A96" s="491"/>
      <c r="B96" s="515"/>
      <c r="C96" s="512"/>
      <c r="D96" s="513"/>
      <c r="E96" s="513"/>
      <c r="F96" s="215" t="s">
        <v>386</v>
      </c>
      <c r="G96" s="223">
        <f>G95*0.1</f>
        <v>2.2400000000000002E-3</v>
      </c>
      <c r="H96" s="215">
        <v>11</v>
      </c>
      <c r="I96" s="27">
        <f t="shared" ref="I96:I100" si="29">G96*H96*1.1*351</f>
        <v>9.5135040000000011</v>
      </c>
      <c r="J96" s="215">
        <v>4</v>
      </c>
      <c r="K96" s="27">
        <v>279.92</v>
      </c>
      <c r="L96" s="27"/>
      <c r="M96" s="28">
        <f t="shared" si="26"/>
        <v>2663.0200396800005</v>
      </c>
      <c r="N96" s="524"/>
      <c r="O96" s="526"/>
      <c r="P96" s="490"/>
      <c r="Q96" s="559">
        <f t="shared" si="27"/>
        <v>0</v>
      </c>
    </row>
    <row r="97" spans="1:17" x14ac:dyDescent="0.25">
      <c r="A97" s="491"/>
      <c r="B97" s="515"/>
      <c r="C97" s="512" t="s">
        <v>434</v>
      </c>
      <c r="D97" s="512" t="s">
        <v>435</v>
      </c>
      <c r="E97" s="513">
        <v>4</v>
      </c>
      <c r="F97" s="215" t="s">
        <v>384</v>
      </c>
      <c r="G97" s="27">
        <f>0.003*1.5</f>
        <v>4.5000000000000005E-3</v>
      </c>
      <c r="H97" s="215">
        <v>2</v>
      </c>
      <c r="I97" s="27">
        <f t="shared" si="29"/>
        <v>3.4749000000000008</v>
      </c>
      <c r="J97" s="215">
        <v>4</v>
      </c>
      <c r="K97" s="27">
        <v>279.92</v>
      </c>
      <c r="L97" s="27"/>
      <c r="M97" s="28">
        <f t="shared" si="26"/>
        <v>972.69400800000028</v>
      </c>
      <c r="N97" s="224" t="s">
        <v>436</v>
      </c>
      <c r="O97" s="215">
        <v>1</v>
      </c>
      <c r="P97" s="215">
        <v>965</v>
      </c>
      <c r="Q97" s="29">
        <f t="shared" si="27"/>
        <v>965</v>
      </c>
    </row>
    <row r="98" spans="1:17" x14ac:dyDescent="0.25">
      <c r="A98" s="491"/>
      <c r="B98" s="515"/>
      <c r="C98" s="512"/>
      <c r="D98" s="512"/>
      <c r="E98" s="513"/>
      <c r="F98" s="215" t="s">
        <v>386</v>
      </c>
      <c r="G98" s="223">
        <f>G97*0.1</f>
        <v>4.500000000000001E-4</v>
      </c>
      <c r="H98" s="215">
        <v>10</v>
      </c>
      <c r="I98" s="27">
        <f t="shared" si="29"/>
        <v>1.7374500000000004</v>
      </c>
      <c r="J98" s="215">
        <v>4</v>
      </c>
      <c r="K98" s="27">
        <v>279.92</v>
      </c>
      <c r="L98" s="27"/>
      <c r="M98" s="28">
        <f t="shared" si="26"/>
        <v>486.34700400000014</v>
      </c>
      <c r="N98" s="224" t="s">
        <v>402</v>
      </c>
      <c r="O98" s="215">
        <v>1</v>
      </c>
      <c r="P98" s="215">
        <v>570</v>
      </c>
      <c r="Q98" s="29">
        <f t="shared" si="27"/>
        <v>570</v>
      </c>
    </row>
    <row r="99" spans="1:17" x14ac:dyDescent="0.25">
      <c r="A99" s="491"/>
      <c r="B99" s="515"/>
      <c r="C99" s="512" t="s">
        <v>452</v>
      </c>
      <c r="D99" s="512" t="s">
        <v>432</v>
      </c>
      <c r="E99" s="513">
        <v>45</v>
      </c>
      <c r="F99" s="215" t="s">
        <v>384</v>
      </c>
      <c r="G99" s="27">
        <f>0.01*1.5</f>
        <v>1.4999999999999999E-2</v>
      </c>
      <c r="H99" s="215">
        <v>2</v>
      </c>
      <c r="I99" s="27">
        <f t="shared" si="29"/>
        <v>11.583</v>
      </c>
      <c r="J99" s="215">
        <v>4</v>
      </c>
      <c r="K99" s="27">
        <v>279.92</v>
      </c>
      <c r="L99" s="27"/>
      <c r="M99" s="28">
        <f t="shared" si="26"/>
        <v>3242.3133600000001</v>
      </c>
      <c r="N99" s="524" t="s">
        <v>394</v>
      </c>
      <c r="O99" s="526">
        <v>2</v>
      </c>
      <c r="P99" s="489">
        <v>2315</v>
      </c>
      <c r="Q99" s="558">
        <f t="shared" si="27"/>
        <v>4630</v>
      </c>
    </row>
    <row r="100" spans="1:17" x14ac:dyDescent="0.25">
      <c r="A100" s="491"/>
      <c r="B100" s="515"/>
      <c r="C100" s="512"/>
      <c r="D100" s="512"/>
      <c r="E100" s="513"/>
      <c r="F100" s="215" t="s">
        <v>386</v>
      </c>
      <c r="G100" s="223">
        <f>G99*0.1</f>
        <v>1.5E-3</v>
      </c>
      <c r="H100" s="215">
        <v>10</v>
      </c>
      <c r="I100" s="27">
        <f t="shared" si="29"/>
        <v>5.7915000000000001</v>
      </c>
      <c r="J100" s="215">
        <v>4</v>
      </c>
      <c r="K100" s="27">
        <v>279.92</v>
      </c>
      <c r="L100" s="27"/>
      <c r="M100" s="28">
        <f t="shared" si="26"/>
        <v>1621.1566800000001</v>
      </c>
      <c r="N100" s="524"/>
      <c r="O100" s="526"/>
      <c r="P100" s="490"/>
      <c r="Q100" s="559">
        <f t="shared" si="27"/>
        <v>0</v>
      </c>
    </row>
    <row r="101" spans="1:17" x14ac:dyDescent="0.25">
      <c r="A101" s="491"/>
      <c r="B101" s="515"/>
      <c r="C101" s="512" t="s">
        <v>453</v>
      </c>
      <c r="D101" s="513"/>
      <c r="E101" s="513">
        <v>0.5</v>
      </c>
      <c r="F101" s="215" t="s">
        <v>384</v>
      </c>
      <c r="G101" s="27">
        <f>0.014*1.6</f>
        <v>2.2400000000000003E-2</v>
      </c>
      <c r="H101" s="215">
        <v>1</v>
      </c>
      <c r="I101" s="27">
        <f>G101*H101*1.1*351</f>
        <v>8.6486400000000021</v>
      </c>
      <c r="J101" s="215">
        <v>4</v>
      </c>
      <c r="K101" s="27">
        <v>279.92</v>
      </c>
      <c r="L101" s="27"/>
      <c r="M101" s="28">
        <f t="shared" si="26"/>
        <v>2420.9273088000009</v>
      </c>
      <c r="N101" s="524" t="s">
        <v>426</v>
      </c>
      <c r="O101" s="526">
        <v>2</v>
      </c>
      <c r="P101" s="489">
        <v>15</v>
      </c>
      <c r="Q101" s="558">
        <f t="shared" si="27"/>
        <v>30</v>
      </c>
    </row>
    <row r="102" spans="1:17" x14ac:dyDescent="0.25">
      <c r="A102" s="491"/>
      <c r="B102" s="515"/>
      <c r="C102" s="512"/>
      <c r="D102" s="513"/>
      <c r="E102" s="513"/>
      <c r="F102" s="215" t="s">
        <v>386</v>
      </c>
      <c r="G102" s="223">
        <f>G101*0.1</f>
        <v>2.2400000000000002E-3</v>
      </c>
      <c r="H102" s="215">
        <v>11</v>
      </c>
      <c r="I102" s="27">
        <f t="shared" ref="I102:I108" si="30">G102*H102*1.1*351</f>
        <v>9.5135040000000011</v>
      </c>
      <c r="J102" s="215">
        <v>4</v>
      </c>
      <c r="K102" s="27">
        <v>279.92</v>
      </c>
      <c r="L102" s="27"/>
      <c r="M102" s="28">
        <f t="shared" si="26"/>
        <v>2663.0200396800005</v>
      </c>
      <c r="N102" s="524"/>
      <c r="O102" s="526"/>
      <c r="P102" s="490"/>
      <c r="Q102" s="559">
        <f t="shared" si="27"/>
        <v>0</v>
      </c>
    </row>
    <row r="103" spans="1:17" x14ac:dyDescent="0.25">
      <c r="A103" s="491"/>
      <c r="B103" s="515"/>
      <c r="C103" s="512" t="s">
        <v>434</v>
      </c>
      <c r="D103" s="512" t="s">
        <v>435</v>
      </c>
      <c r="E103" s="513">
        <v>4</v>
      </c>
      <c r="F103" s="215" t="s">
        <v>384</v>
      </c>
      <c r="G103" s="27">
        <f>0.003*1.5</f>
        <v>4.5000000000000005E-3</v>
      </c>
      <c r="H103" s="215">
        <v>2</v>
      </c>
      <c r="I103" s="27">
        <f t="shared" si="30"/>
        <v>3.4749000000000008</v>
      </c>
      <c r="J103" s="215">
        <v>4</v>
      </c>
      <c r="K103" s="27">
        <v>279.92</v>
      </c>
      <c r="L103" s="27"/>
      <c r="M103" s="28">
        <f t="shared" si="26"/>
        <v>972.69400800000028</v>
      </c>
      <c r="N103" s="224" t="s">
        <v>436</v>
      </c>
      <c r="O103" s="215">
        <v>1</v>
      </c>
      <c r="P103" s="215">
        <v>965</v>
      </c>
      <c r="Q103" s="29">
        <f t="shared" si="27"/>
        <v>965</v>
      </c>
    </row>
    <row r="104" spans="1:17" x14ac:dyDescent="0.25">
      <c r="A104" s="491"/>
      <c r="B104" s="515"/>
      <c r="C104" s="512"/>
      <c r="D104" s="512"/>
      <c r="E104" s="513"/>
      <c r="F104" s="215" t="s">
        <v>386</v>
      </c>
      <c r="G104" s="223">
        <f>G103*0.1</f>
        <v>4.500000000000001E-4</v>
      </c>
      <c r="H104" s="215">
        <v>10</v>
      </c>
      <c r="I104" s="27">
        <f t="shared" si="30"/>
        <v>1.7374500000000004</v>
      </c>
      <c r="J104" s="215">
        <v>4</v>
      </c>
      <c r="K104" s="27">
        <v>279.92</v>
      </c>
      <c r="L104" s="27"/>
      <c r="M104" s="28">
        <f t="shared" si="26"/>
        <v>486.34700400000014</v>
      </c>
      <c r="N104" s="224" t="s">
        <v>402</v>
      </c>
      <c r="O104" s="215">
        <v>1</v>
      </c>
      <c r="P104" s="215">
        <v>570</v>
      </c>
      <c r="Q104" s="29">
        <f t="shared" si="27"/>
        <v>570</v>
      </c>
    </row>
    <row r="105" spans="1:17" x14ac:dyDescent="0.25">
      <c r="A105" s="491"/>
      <c r="B105" s="515"/>
      <c r="C105" s="512" t="s">
        <v>454</v>
      </c>
      <c r="D105" s="499" t="s">
        <v>455</v>
      </c>
      <c r="E105" s="513">
        <v>5.5</v>
      </c>
      <c r="F105" s="215" t="s">
        <v>384</v>
      </c>
      <c r="G105" s="27">
        <f>0.003*1.5</f>
        <v>4.5000000000000005E-3</v>
      </c>
      <c r="H105" s="215">
        <v>2</v>
      </c>
      <c r="I105" s="27">
        <f t="shared" si="30"/>
        <v>3.4749000000000008</v>
      </c>
      <c r="J105" s="215">
        <v>4</v>
      </c>
      <c r="K105" s="27">
        <v>279.92</v>
      </c>
      <c r="L105" s="27"/>
      <c r="M105" s="28">
        <f t="shared" si="26"/>
        <v>972.69400800000028</v>
      </c>
      <c r="N105" s="224" t="s">
        <v>436</v>
      </c>
      <c r="O105" s="215">
        <v>1</v>
      </c>
      <c r="P105" s="215">
        <v>965</v>
      </c>
      <c r="Q105" s="29">
        <f t="shared" si="27"/>
        <v>965</v>
      </c>
    </row>
    <row r="106" spans="1:17" x14ac:dyDescent="0.25">
      <c r="A106" s="491"/>
      <c r="B106" s="515"/>
      <c r="C106" s="512"/>
      <c r="D106" s="499"/>
      <c r="E106" s="513"/>
      <c r="F106" s="215" t="s">
        <v>386</v>
      </c>
      <c r="G106" s="223">
        <f>G105*0.1</f>
        <v>4.500000000000001E-4</v>
      </c>
      <c r="H106" s="215">
        <v>10</v>
      </c>
      <c r="I106" s="27">
        <f t="shared" si="30"/>
        <v>1.7374500000000004</v>
      </c>
      <c r="J106" s="215">
        <v>4</v>
      </c>
      <c r="K106" s="27">
        <v>279.92</v>
      </c>
      <c r="L106" s="27"/>
      <c r="M106" s="28">
        <f t="shared" si="26"/>
        <v>486.34700400000014</v>
      </c>
      <c r="N106" s="224" t="s">
        <v>402</v>
      </c>
      <c r="O106" s="215">
        <v>1</v>
      </c>
      <c r="P106" s="215">
        <v>570</v>
      </c>
      <c r="Q106" s="29">
        <f t="shared" si="27"/>
        <v>570</v>
      </c>
    </row>
    <row r="107" spans="1:17" x14ac:dyDescent="0.25">
      <c r="A107" s="491"/>
      <c r="B107" s="515"/>
      <c r="C107" s="512" t="s">
        <v>454</v>
      </c>
      <c r="D107" s="541" t="s">
        <v>455</v>
      </c>
      <c r="E107" s="513">
        <v>5.5</v>
      </c>
      <c r="F107" s="215" t="s">
        <v>384</v>
      </c>
      <c r="G107" s="27">
        <f>0.003*1.5</f>
        <v>4.5000000000000005E-3</v>
      </c>
      <c r="H107" s="215">
        <v>2</v>
      </c>
      <c r="I107" s="27">
        <f t="shared" si="30"/>
        <v>3.4749000000000008</v>
      </c>
      <c r="J107" s="215">
        <v>4</v>
      </c>
      <c r="K107" s="27">
        <v>279.92</v>
      </c>
      <c r="L107" s="27"/>
      <c r="M107" s="28">
        <f t="shared" si="26"/>
        <v>972.69400800000028</v>
      </c>
      <c r="N107" s="224" t="s">
        <v>436</v>
      </c>
      <c r="O107" s="215">
        <v>1</v>
      </c>
      <c r="P107" s="215">
        <v>965</v>
      </c>
      <c r="Q107" s="29">
        <f t="shared" si="27"/>
        <v>965</v>
      </c>
    </row>
    <row r="108" spans="1:17" x14ac:dyDescent="0.25">
      <c r="A108" s="491"/>
      <c r="B108" s="515"/>
      <c r="C108" s="512"/>
      <c r="D108" s="541"/>
      <c r="E108" s="513"/>
      <c r="F108" s="215" t="s">
        <v>386</v>
      </c>
      <c r="G108" s="223">
        <f>G107*0.1</f>
        <v>4.500000000000001E-4</v>
      </c>
      <c r="H108" s="215">
        <v>10</v>
      </c>
      <c r="I108" s="27">
        <f t="shared" si="30"/>
        <v>1.7374500000000004</v>
      </c>
      <c r="J108" s="215">
        <v>4</v>
      </c>
      <c r="K108" s="27">
        <v>279.92</v>
      </c>
      <c r="L108" s="27"/>
      <c r="M108" s="28">
        <f t="shared" si="26"/>
        <v>486.34700400000014</v>
      </c>
      <c r="N108" s="224" t="s">
        <v>402</v>
      </c>
      <c r="O108" s="215">
        <v>1</v>
      </c>
      <c r="P108" s="215">
        <v>570</v>
      </c>
      <c r="Q108" s="29">
        <f t="shared" si="27"/>
        <v>570</v>
      </c>
    </row>
    <row r="109" spans="1:17" x14ac:dyDescent="0.25">
      <c r="A109" s="491"/>
      <c r="B109" s="515"/>
      <c r="C109" s="499" t="s">
        <v>456</v>
      </c>
      <c r="D109" s="542"/>
      <c r="E109" s="513"/>
      <c r="F109" s="215" t="s">
        <v>384</v>
      </c>
      <c r="G109" s="27">
        <f>0.014*2*1.6</f>
        <v>4.4800000000000006E-2</v>
      </c>
      <c r="H109" s="215">
        <v>1</v>
      </c>
      <c r="I109" s="27">
        <f>G109*H109*1.1*351</f>
        <v>17.297280000000004</v>
      </c>
      <c r="J109" s="215">
        <v>5</v>
      </c>
      <c r="K109" s="27">
        <v>297.57</v>
      </c>
      <c r="L109" s="27"/>
      <c r="M109" s="28">
        <f t="shared" si="26"/>
        <v>5147.1516096000014</v>
      </c>
      <c r="N109" s="524" t="s">
        <v>426</v>
      </c>
      <c r="O109" s="526">
        <v>2</v>
      </c>
      <c r="P109" s="489">
        <v>15</v>
      </c>
      <c r="Q109" s="558">
        <f t="shared" si="27"/>
        <v>30</v>
      </c>
    </row>
    <row r="110" spans="1:17" x14ac:dyDescent="0.25">
      <c r="A110" s="491"/>
      <c r="B110" s="515"/>
      <c r="C110" s="499"/>
      <c r="D110" s="542"/>
      <c r="E110" s="513"/>
      <c r="F110" s="215" t="s">
        <v>386</v>
      </c>
      <c r="G110" s="223">
        <f>G109*0.1</f>
        <v>4.4800000000000005E-3</v>
      </c>
      <c r="H110" s="215">
        <v>11</v>
      </c>
      <c r="I110" s="27">
        <f t="shared" ref="I110:I118" si="31">G110*H110*1.1*351</f>
        <v>19.027008000000002</v>
      </c>
      <c r="J110" s="215">
        <v>5</v>
      </c>
      <c r="K110" s="27">
        <v>297.57</v>
      </c>
      <c r="L110" s="27"/>
      <c r="M110" s="28">
        <f t="shared" si="26"/>
        <v>5661.8667705600001</v>
      </c>
      <c r="N110" s="524"/>
      <c r="O110" s="526"/>
      <c r="P110" s="490"/>
      <c r="Q110" s="559">
        <f t="shared" si="27"/>
        <v>0</v>
      </c>
    </row>
    <row r="111" spans="1:17" x14ac:dyDescent="0.25">
      <c r="A111" s="491"/>
      <c r="B111" s="515"/>
      <c r="C111" s="510" t="s">
        <v>457</v>
      </c>
      <c r="D111" s="515"/>
      <c r="E111" s="500"/>
      <c r="F111" s="215" t="s">
        <v>384</v>
      </c>
      <c r="G111" s="27">
        <f>0.002*8*1.6</f>
        <v>2.5600000000000001E-2</v>
      </c>
      <c r="H111" s="215">
        <v>2</v>
      </c>
      <c r="I111" s="27">
        <f>G111*H111*1.1*351</f>
        <v>19.768320000000003</v>
      </c>
      <c r="J111" s="215">
        <v>4</v>
      </c>
      <c r="K111" s="27">
        <v>279.92</v>
      </c>
      <c r="L111" s="27"/>
      <c r="M111" s="28">
        <f t="shared" si="26"/>
        <v>5533.5481344000009</v>
      </c>
      <c r="N111" s="524" t="s">
        <v>426</v>
      </c>
      <c r="O111" s="526">
        <v>2</v>
      </c>
      <c r="P111" s="489">
        <v>15</v>
      </c>
      <c r="Q111" s="558">
        <f t="shared" si="27"/>
        <v>30</v>
      </c>
    </row>
    <row r="112" spans="1:17" x14ac:dyDescent="0.25">
      <c r="A112" s="491"/>
      <c r="B112" s="515"/>
      <c r="C112" s="510"/>
      <c r="D112" s="515"/>
      <c r="E112" s="500"/>
      <c r="F112" s="215" t="s">
        <v>386</v>
      </c>
      <c r="G112" s="223">
        <f>G111*0.1</f>
        <v>2.5600000000000002E-3</v>
      </c>
      <c r="H112" s="215">
        <v>10</v>
      </c>
      <c r="I112" s="27">
        <f t="shared" ref="I112" si="32">G112*H112*1.1*351</f>
        <v>9.8841600000000014</v>
      </c>
      <c r="J112" s="215">
        <v>4</v>
      </c>
      <c r="K112" s="27">
        <v>279.92</v>
      </c>
      <c r="L112" s="27"/>
      <c r="M112" s="28">
        <f t="shared" si="26"/>
        <v>2766.7740672000004</v>
      </c>
      <c r="N112" s="524"/>
      <c r="O112" s="526"/>
      <c r="P112" s="490"/>
      <c r="Q112" s="559">
        <f t="shared" si="27"/>
        <v>0</v>
      </c>
    </row>
    <row r="113" spans="1:17" ht="15.75" customHeight="1" x14ac:dyDescent="0.25">
      <c r="A113" s="491"/>
      <c r="B113" s="515"/>
      <c r="C113" s="512" t="s">
        <v>458</v>
      </c>
      <c r="D113" s="533"/>
      <c r="E113" s="513"/>
      <c r="F113" s="215" t="s">
        <v>384</v>
      </c>
      <c r="G113" s="27">
        <f>0.006*1.6</f>
        <v>9.6000000000000009E-3</v>
      </c>
      <c r="H113" s="215">
        <v>1</v>
      </c>
      <c r="I113" s="27">
        <f t="shared" si="31"/>
        <v>3.7065600000000005</v>
      </c>
      <c r="J113" s="215">
        <v>4</v>
      </c>
      <c r="K113" s="27">
        <v>279.92</v>
      </c>
      <c r="L113" s="27"/>
      <c r="M113" s="28">
        <f t="shared" si="26"/>
        <v>1037.5402752000002</v>
      </c>
      <c r="N113" s="524" t="s">
        <v>415</v>
      </c>
      <c r="O113" s="526">
        <v>9</v>
      </c>
      <c r="P113" s="489">
        <v>145.88999999999999</v>
      </c>
      <c r="Q113" s="558">
        <f t="shared" si="27"/>
        <v>1313.0099999999998</v>
      </c>
    </row>
    <row r="114" spans="1:17" x14ac:dyDescent="0.25">
      <c r="A114" s="491"/>
      <c r="B114" s="515"/>
      <c r="C114" s="512"/>
      <c r="D114" s="533"/>
      <c r="E114" s="513"/>
      <c r="F114" s="215" t="s">
        <v>386</v>
      </c>
      <c r="G114" s="223">
        <f>G113*0.1</f>
        <v>9.6000000000000013E-4</v>
      </c>
      <c r="H114" s="215">
        <v>11</v>
      </c>
      <c r="I114" s="27">
        <f t="shared" si="31"/>
        <v>4.0772160000000008</v>
      </c>
      <c r="J114" s="215">
        <v>4</v>
      </c>
      <c r="K114" s="27">
        <v>279.92</v>
      </c>
      <c r="L114" s="27"/>
      <c r="M114" s="28">
        <f t="shared" si="26"/>
        <v>1141.2943027200004</v>
      </c>
      <c r="N114" s="524"/>
      <c r="O114" s="526"/>
      <c r="P114" s="490"/>
      <c r="Q114" s="559">
        <f t="shared" si="27"/>
        <v>0</v>
      </c>
    </row>
    <row r="115" spans="1:17" ht="15.75" customHeight="1" x14ac:dyDescent="0.25">
      <c r="A115" s="491"/>
      <c r="B115" s="515"/>
      <c r="C115" s="512" t="s">
        <v>459</v>
      </c>
      <c r="D115" s="508"/>
      <c r="E115" s="509"/>
      <c r="F115" s="215" t="s">
        <v>384</v>
      </c>
      <c r="G115" s="27">
        <f>0.005*1.6</f>
        <v>8.0000000000000002E-3</v>
      </c>
      <c r="H115" s="215">
        <v>1</v>
      </c>
      <c r="I115" s="27">
        <f t="shared" si="31"/>
        <v>3.0888</v>
      </c>
      <c r="J115" s="215">
        <v>4</v>
      </c>
      <c r="K115" s="27">
        <v>279.92</v>
      </c>
      <c r="L115" s="27"/>
      <c r="M115" s="28">
        <f t="shared" si="26"/>
        <v>864.616896</v>
      </c>
      <c r="N115" s="524" t="s">
        <v>415</v>
      </c>
      <c r="O115" s="526">
        <v>2</v>
      </c>
      <c r="P115" s="489">
        <v>145.88999999999999</v>
      </c>
      <c r="Q115" s="558">
        <f t="shared" si="27"/>
        <v>291.77999999999997</v>
      </c>
    </row>
    <row r="116" spans="1:17" x14ac:dyDescent="0.25">
      <c r="A116" s="491"/>
      <c r="B116" s="515"/>
      <c r="C116" s="512"/>
      <c r="D116" s="508"/>
      <c r="E116" s="509"/>
      <c r="F116" s="215" t="s">
        <v>386</v>
      </c>
      <c r="G116" s="223">
        <f>G115*0.1</f>
        <v>8.0000000000000004E-4</v>
      </c>
      <c r="H116" s="215">
        <v>11</v>
      </c>
      <c r="I116" s="27">
        <f t="shared" si="31"/>
        <v>3.3976800000000003</v>
      </c>
      <c r="J116" s="215">
        <v>4</v>
      </c>
      <c r="K116" s="27">
        <v>279.92</v>
      </c>
      <c r="L116" s="27"/>
      <c r="M116" s="28">
        <f t="shared" si="26"/>
        <v>951.07858560000011</v>
      </c>
      <c r="N116" s="524"/>
      <c r="O116" s="526"/>
      <c r="P116" s="490"/>
      <c r="Q116" s="559">
        <f t="shared" si="27"/>
        <v>0</v>
      </c>
    </row>
    <row r="117" spans="1:17" x14ac:dyDescent="0.25">
      <c r="A117" s="491"/>
      <c r="B117" s="515"/>
      <c r="C117" s="499" t="s">
        <v>460</v>
      </c>
      <c r="D117" s="512" t="s">
        <v>461</v>
      </c>
      <c r="E117" s="513">
        <v>0.25</v>
      </c>
      <c r="F117" s="215" t="s">
        <v>384</v>
      </c>
      <c r="G117" s="27">
        <f>0.007*2*1.6</f>
        <v>2.2400000000000003E-2</v>
      </c>
      <c r="H117" s="215">
        <v>1</v>
      </c>
      <c r="I117" s="27">
        <f t="shared" si="31"/>
        <v>8.6486400000000021</v>
      </c>
      <c r="J117" s="215">
        <v>4</v>
      </c>
      <c r="K117" s="27">
        <v>279.92</v>
      </c>
      <c r="L117" s="27"/>
      <c r="M117" s="28">
        <f t="shared" si="26"/>
        <v>2420.9273088000009</v>
      </c>
      <c r="N117" s="524" t="s">
        <v>426</v>
      </c>
      <c r="O117" s="526">
        <v>1</v>
      </c>
      <c r="P117" s="489">
        <v>15</v>
      </c>
      <c r="Q117" s="558">
        <f t="shared" si="27"/>
        <v>15</v>
      </c>
    </row>
    <row r="118" spans="1:17" x14ac:dyDescent="0.25">
      <c r="A118" s="491"/>
      <c r="B118" s="515"/>
      <c r="C118" s="499"/>
      <c r="D118" s="512"/>
      <c r="E118" s="513"/>
      <c r="F118" s="215" t="s">
        <v>386</v>
      </c>
      <c r="G118" s="223">
        <f>G117*0.1</f>
        <v>2.2400000000000002E-3</v>
      </c>
      <c r="H118" s="215">
        <v>11</v>
      </c>
      <c r="I118" s="27">
        <f t="shared" si="31"/>
        <v>9.5135040000000011</v>
      </c>
      <c r="J118" s="215">
        <v>4</v>
      </c>
      <c r="K118" s="27">
        <v>279.92</v>
      </c>
      <c r="L118" s="27"/>
      <c r="M118" s="28">
        <f t="shared" si="26"/>
        <v>2663.0200396800005</v>
      </c>
      <c r="N118" s="524"/>
      <c r="O118" s="526"/>
      <c r="P118" s="490"/>
      <c r="Q118" s="559">
        <f t="shared" si="27"/>
        <v>0</v>
      </c>
    </row>
    <row r="119" spans="1:17" x14ac:dyDescent="0.25">
      <c r="A119" s="491"/>
      <c r="B119" s="515"/>
      <c r="C119" s="504" t="s">
        <v>417</v>
      </c>
      <c r="D119" s="515"/>
      <c r="E119" s="500"/>
      <c r="F119" s="215" t="s">
        <v>384</v>
      </c>
      <c r="G119" s="27">
        <f>0.004*1.3*1.6</f>
        <v>8.320000000000001E-3</v>
      </c>
      <c r="H119" s="215">
        <v>1</v>
      </c>
      <c r="I119" s="27">
        <f>G119*H119*1.1*351</f>
        <v>3.2123520000000005</v>
      </c>
      <c r="J119" s="215">
        <v>4</v>
      </c>
      <c r="K119" s="27">
        <v>279.92</v>
      </c>
      <c r="L119" s="27"/>
      <c r="M119" s="28">
        <f t="shared" si="26"/>
        <v>899.20157184000016</v>
      </c>
      <c r="N119" s="524" t="s">
        <v>418</v>
      </c>
      <c r="O119" s="526">
        <v>13</v>
      </c>
      <c r="P119" s="489">
        <v>6897</v>
      </c>
      <c r="Q119" s="558">
        <f t="shared" si="27"/>
        <v>89661</v>
      </c>
    </row>
    <row r="120" spans="1:17" x14ac:dyDescent="0.25">
      <c r="A120" s="491"/>
      <c r="B120" s="515"/>
      <c r="C120" s="504"/>
      <c r="D120" s="515"/>
      <c r="E120" s="500"/>
      <c r="F120" s="215" t="s">
        <v>386</v>
      </c>
      <c r="G120" s="223">
        <f>G119*0.1</f>
        <v>8.3200000000000017E-4</v>
      </c>
      <c r="H120" s="215">
        <v>11</v>
      </c>
      <c r="I120" s="27">
        <f t="shared" ref="I120" si="33">G120*H120*1.1*351</f>
        <v>3.5335872000000013</v>
      </c>
      <c r="J120" s="215">
        <v>4</v>
      </c>
      <c r="K120" s="27">
        <v>279.92</v>
      </c>
      <c r="L120" s="27"/>
      <c r="M120" s="28">
        <f t="shared" si="26"/>
        <v>989.12172902400039</v>
      </c>
      <c r="N120" s="524"/>
      <c r="O120" s="526"/>
      <c r="P120" s="490"/>
      <c r="Q120" s="559"/>
    </row>
    <row r="121" spans="1:17" x14ac:dyDescent="0.25">
      <c r="A121" s="491"/>
      <c r="B121" s="515"/>
      <c r="C121" s="504" t="s">
        <v>419</v>
      </c>
      <c r="D121" s="515"/>
      <c r="E121" s="500"/>
      <c r="F121" s="215" t="s">
        <v>384</v>
      </c>
      <c r="G121" s="27">
        <f>0.004*3.7*1.6</f>
        <v>2.3680000000000003E-2</v>
      </c>
      <c r="H121" s="215">
        <v>1</v>
      </c>
      <c r="I121" s="27">
        <f>G121*H121*1.1*351</f>
        <v>9.1428480000000025</v>
      </c>
      <c r="J121" s="215">
        <v>4</v>
      </c>
      <c r="K121" s="27">
        <v>279.92</v>
      </c>
      <c r="L121" s="27"/>
      <c r="M121" s="28">
        <f t="shared" si="26"/>
        <v>2559.2660121600006</v>
      </c>
      <c r="N121" s="524" t="s">
        <v>420</v>
      </c>
      <c r="O121" s="526">
        <v>74</v>
      </c>
      <c r="P121" s="489">
        <v>219.92</v>
      </c>
      <c r="Q121" s="558">
        <f t="shared" si="27"/>
        <v>16274.08</v>
      </c>
    </row>
    <row r="122" spans="1:17" x14ac:dyDescent="0.25">
      <c r="A122" s="491"/>
      <c r="B122" s="515"/>
      <c r="C122" s="504"/>
      <c r="D122" s="515"/>
      <c r="E122" s="500"/>
      <c r="F122" s="215" t="s">
        <v>386</v>
      </c>
      <c r="G122" s="223">
        <f>G121*0.1</f>
        <v>2.3680000000000003E-3</v>
      </c>
      <c r="H122" s="215">
        <v>11</v>
      </c>
      <c r="I122" s="27">
        <f t="shared" ref="I122" si="34">G122*H122*1.1*351</f>
        <v>10.057132800000002</v>
      </c>
      <c r="J122" s="215">
        <v>4</v>
      </c>
      <c r="K122" s="27">
        <v>279.92</v>
      </c>
      <c r="L122" s="27"/>
      <c r="M122" s="28">
        <f t="shared" si="26"/>
        <v>2815.1926133760007</v>
      </c>
      <c r="N122" s="524"/>
      <c r="O122" s="526"/>
      <c r="P122" s="490"/>
      <c r="Q122" s="559"/>
    </row>
    <row r="123" spans="1:17" x14ac:dyDescent="0.25">
      <c r="A123" s="491"/>
      <c r="B123" s="515"/>
      <c r="C123" s="510" t="s">
        <v>424</v>
      </c>
      <c r="D123" s="507"/>
      <c r="E123" s="507"/>
      <c r="F123" s="215" t="s">
        <v>384</v>
      </c>
      <c r="G123" s="27">
        <f>0.028*0.623</f>
        <v>1.7444000000000001E-2</v>
      </c>
      <c r="H123" s="215">
        <v>1</v>
      </c>
      <c r="I123" s="27">
        <f>G123*H123*1.1*351</f>
        <v>6.7351284000000007</v>
      </c>
      <c r="J123" s="215">
        <v>4</v>
      </c>
      <c r="K123" s="27">
        <v>279.92</v>
      </c>
      <c r="L123" s="27"/>
      <c r="M123" s="28">
        <f t="shared" si="26"/>
        <v>1885.2971417280003</v>
      </c>
      <c r="N123" s="37" t="s">
        <v>426</v>
      </c>
      <c r="O123" s="31">
        <v>1</v>
      </c>
      <c r="P123" s="215">
        <v>15</v>
      </c>
      <c r="Q123" s="29">
        <f t="shared" si="27"/>
        <v>15</v>
      </c>
    </row>
    <row r="124" spans="1:17" x14ac:dyDescent="0.25">
      <c r="A124" s="491"/>
      <c r="B124" s="515"/>
      <c r="C124" s="502"/>
      <c r="D124" s="507"/>
      <c r="E124" s="507"/>
      <c r="F124" s="215" t="s">
        <v>386</v>
      </c>
      <c r="G124" s="223">
        <f>G123*0.1</f>
        <v>1.7444000000000001E-3</v>
      </c>
      <c r="H124" s="215">
        <v>11</v>
      </c>
      <c r="I124" s="27">
        <f t="shared" ref="I124" si="35">G124*H124*1.1*351</f>
        <v>7.4086412400000006</v>
      </c>
      <c r="J124" s="215">
        <v>4</v>
      </c>
      <c r="K124" s="27">
        <v>279.92</v>
      </c>
      <c r="L124" s="27"/>
      <c r="M124" s="28">
        <f t="shared" si="26"/>
        <v>2073.8268559008002</v>
      </c>
      <c r="N124" s="37" t="s">
        <v>314</v>
      </c>
      <c r="O124" s="31">
        <v>1</v>
      </c>
      <c r="P124" s="215">
        <v>102</v>
      </c>
      <c r="Q124" s="29">
        <f t="shared" si="27"/>
        <v>102</v>
      </c>
    </row>
    <row r="125" spans="1:17" x14ac:dyDescent="0.25">
      <c r="A125" s="491"/>
      <c r="B125" s="515"/>
      <c r="C125" s="510" t="s">
        <v>428</v>
      </c>
      <c r="D125" s="507"/>
      <c r="E125" s="507"/>
      <c r="F125" s="215" t="s">
        <v>384</v>
      </c>
      <c r="G125" s="27">
        <f>0.048*0.088</f>
        <v>4.2239999999999995E-3</v>
      </c>
      <c r="H125" s="215">
        <v>1</v>
      </c>
      <c r="I125" s="27">
        <f>G125*H125*1.1*351</f>
        <v>1.6308864000000001</v>
      </c>
      <c r="J125" s="215">
        <v>4</v>
      </c>
      <c r="K125" s="27">
        <v>279.92</v>
      </c>
      <c r="L125" s="27"/>
      <c r="M125" s="28">
        <f t="shared" si="26"/>
        <v>456.51772108800003</v>
      </c>
      <c r="N125" s="37" t="s">
        <v>426</v>
      </c>
      <c r="O125" s="31">
        <v>1</v>
      </c>
      <c r="P125" s="215">
        <v>15</v>
      </c>
      <c r="Q125" s="29">
        <f t="shared" si="27"/>
        <v>15</v>
      </c>
    </row>
    <row r="126" spans="1:17" x14ac:dyDescent="0.25">
      <c r="A126" s="491"/>
      <c r="B126" s="515"/>
      <c r="C126" s="502"/>
      <c r="D126" s="507"/>
      <c r="E126" s="507"/>
      <c r="F126" s="215" t="s">
        <v>386</v>
      </c>
      <c r="G126" s="223">
        <f>G125*0.1</f>
        <v>4.2239999999999997E-4</v>
      </c>
      <c r="H126" s="215">
        <v>11</v>
      </c>
      <c r="I126" s="27">
        <f t="shared" ref="I126" si="36">G126*H126*1.1*351</f>
        <v>1.7939750399999999</v>
      </c>
      <c r="J126" s="215">
        <v>4</v>
      </c>
      <c r="K126" s="27">
        <v>279.92</v>
      </c>
      <c r="L126" s="27"/>
      <c r="M126" s="28">
        <f t="shared" si="26"/>
        <v>502.16949319679998</v>
      </c>
      <c r="N126" s="37" t="s">
        <v>314</v>
      </c>
      <c r="O126" s="31">
        <v>1</v>
      </c>
      <c r="P126" s="215">
        <v>102</v>
      </c>
      <c r="Q126" s="29">
        <f t="shared" si="27"/>
        <v>102</v>
      </c>
    </row>
    <row r="127" spans="1:17" x14ac:dyDescent="0.25">
      <c r="A127" s="491"/>
      <c r="B127" s="515"/>
      <c r="C127" s="510" t="s">
        <v>462</v>
      </c>
      <c r="D127" s="507"/>
      <c r="E127" s="507"/>
      <c r="F127" s="215" t="s">
        <v>384</v>
      </c>
      <c r="G127" s="27">
        <f>0.06*0.181</f>
        <v>1.086E-2</v>
      </c>
      <c r="H127" s="215">
        <v>1</v>
      </c>
      <c r="I127" s="27">
        <f>G127*H127*1.1*351</f>
        <v>4.1930459999999998</v>
      </c>
      <c r="J127" s="215">
        <v>4</v>
      </c>
      <c r="K127" s="27">
        <v>279.92</v>
      </c>
      <c r="L127" s="27"/>
      <c r="M127" s="28">
        <f t="shared" si="26"/>
        <v>1173.7174363199999</v>
      </c>
      <c r="N127" s="37" t="s">
        <v>426</v>
      </c>
      <c r="O127" s="31">
        <v>1</v>
      </c>
      <c r="P127" s="215">
        <v>15</v>
      </c>
      <c r="Q127" s="29">
        <f t="shared" si="27"/>
        <v>15</v>
      </c>
    </row>
    <row r="128" spans="1:17" x14ac:dyDescent="0.25">
      <c r="A128" s="491"/>
      <c r="B128" s="515"/>
      <c r="C128" s="502"/>
      <c r="D128" s="507"/>
      <c r="E128" s="507"/>
      <c r="F128" s="215" t="s">
        <v>386</v>
      </c>
      <c r="G128" s="223">
        <f>G127*0.1</f>
        <v>1.0859999999999999E-3</v>
      </c>
      <c r="H128" s="215">
        <v>11</v>
      </c>
      <c r="I128" s="27">
        <f t="shared" ref="I128" si="37">G128*H128*1.1*351</f>
        <v>4.6123506000000001</v>
      </c>
      <c r="J128" s="215">
        <v>4</v>
      </c>
      <c r="K128" s="27">
        <v>279.92</v>
      </c>
      <c r="L128" s="27"/>
      <c r="M128" s="28">
        <f t="shared" si="26"/>
        <v>1291.089179952</v>
      </c>
      <c r="N128" s="37" t="s">
        <v>314</v>
      </c>
      <c r="O128" s="31">
        <v>1</v>
      </c>
      <c r="P128" s="215">
        <v>102</v>
      </c>
      <c r="Q128" s="29">
        <f t="shared" si="27"/>
        <v>102</v>
      </c>
    </row>
    <row r="129" spans="1:17" x14ac:dyDescent="0.25">
      <c r="A129" s="491"/>
      <c r="B129" s="515"/>
      <c r="C129" s="502" t="s">
        <v>429</v>
      </c>
      <c r="D129" s="507"/>
      <c r="E129" s="507"/>
      <c r="F129" s="215" t="s">
        <v>384</v>
      </c>
      <c r="G129" s="27">
        <f>0.04*0.467</f>
        <v>1.8680000000000002E-2</v>
      </c>
      <c r="H129" s="215">
        <v>1</v>
      </c>
      <c r="I129" s="27">
        <f>G129*H129*1.1*351</f>
        <v>7.2123480000000013</v>
      </c>
      <c r="J129" s="215">
        <v>4</v>
      </c>
      <c r="K129" s="27">
        <v>279.92</v>
      </c>
      <c r="L129" s="27"/>
      <c r="M129" s="28">
        <f t="shared" si="26"/>
        <v>2018.8804521600005</v>
      </c>
      <c r="N129" s="37" t="s">
        <v>426</v>
      </c>
      <c r="O129" s="31">
        <v>1</v>
      </c>
      <c r="P129" s="215">
        <v>15</v>
      </c>
      <c r="Q129" s="29">
        <f t="shared" si="27"/>
        <v>15</v>
      </c>
    </row>
    <row r="130" spans="1:17" x14ac:dyDescent="0.25">
      <c r="A130" s="491"/>
      <c r="B130" s="515"/>
      <c r="C130" s="502"/>
      <c r="D130" s="507"/>
      <c r="E130" s="507"/>
      <c r="F130" s="215" t="s">
        <v>386</v>
      </c>
      <c r="G130" s="223">
        <f>G129*0.1</f>
        <v>1.8680000000000003E-3</v>
      </c>
      <c r="H130" s="215">
        <v>11</v>
      </c>
      <c r="I130" s="27">
        <f t="shared" ref="I130" si="38">G130*H130*1.1*351</f>
        <v>7.9335828000000026</v>
      </c>
      <c r="J130" s="215">
        <v>4</v>
      </c>
      <c r="K130" s="27">
        <v>279.92</v>
      </c>
      <c r="L130" s="27"/>
      <c r="M130" s="28">
        <f t="shared" si="26"/>
        <v>2220.7684973760011</v>
      </c>
      <c r="N130" s="37" t="s">
        <v>314</v>
      </c>
      <c r="O130" s="31">
        <v>1</v>
      </c>
      <c r="P130" s="215">
        <v>102</v>
      </c>
      <c r="Q130" s="29">
        <f t="shared" si="27"/>
        <v>102</v>
      </c>
    </row>
    <row r="131" spans="1:17" x14ac:dyDescent="0.25">
      <c r="A131" s="491"/>
      <c r="B131" s="515"/>
      <c r="C131" s="502" t="s">
        <v>463</v>
      </c>
      <c r="D131" s="507"/>
      <c r="E131" s="507"/>
      <c r="F131" s="215" t="s">
        <v>384</v>
      </c>
      <c r="G131" s="27">
        <f>0.014*5*1.6</f>
        <v>0.11200000000000002</v>
      </c>
      <c r="H131" s="215">
        <v>1</v>
      </c>
      <c r="I131" s="27">
        <f>G131*H131*1.1*351</f>
        <v>43.243200000000009</v>
      </c>
      <c r="J131" s="215">
        <v>5</v>
      </c>
      <c r="K131" s="27">
        <v>297.57</v>
      </c>
      <c r="L131" s="27"/>
      <c r="M131" s="28">
        <f t="shared" si="26"/>
        <v>12867.879024000002</v>
      </c>
      <c r="N131" s="530" t="s">
        <v>426</v>
      </c>
      <c r="O131" s="532">
        <v>5</v>
      </c>
      <c r="P131" s="489">
        <v>15</v>
      </c>
      <c r="Q131" s="558">
        <f t="shared" si="27"/>
        <v>75</v>
      </c>
    </row>
    <row r="132" spans="1:17" x14ac:dyDescent="0.25">
      <c r="A132" s="491"/>
      <c r="B132" s="515"/>
      <c r="C132" s="502"/>
      <c r="D132" s="507"/>
      <c r="E132" s="507"/>
      <c r="F132" s="215" t="s">
        <v>386</v>
      </c>
      <c r="G132" s="223">
        <f>G131*0.1</f>
        <v>1.1200000000000002E-2</v>
      </c>
      <c r="H132" s="215">
        <v>11</v>
      </c>
      <c r="I132" s="27">
        <f t="shared" ref="I132" si="39">G132*H132*1.1*351</f>
        <v>47.567520000000009</v>
      </c>
      <c r="J132" s="215">
        <v>5</v>
      </c>
      <c r="K132" s="27">
        <v>297.57</v>
      </c>
      <c r="L132" s="27"/>
      <c r="M132" s="28">
        <f t="shared" si="26"/>
        <v>14154.666926400003</v>
      </c>
      <c r="N132" s="530"/>
      <c r="O132" s="532"/>
      <c r="P132" s="490"/>
      <c r="Q132" s="559"/>
    </row>
    <row r="133" spans="1:17" x14ac:dyDescent="0.25">
      <c r="A133" s="491"/>
      <c r="B133" s="515"/>
      <c r="C133" s="512" t="s">
        <v>464</v>
      </c>
      <c r="D133" s="508"/>
      <c r="E133" s="509"/>
      <c r="F133" s="215" t="s">
        <v>384</v>
      </c>
      <c r="G133" s="27">
        <f>0.012*0.028</f>
        <v>3.3600000000000004E-4</v>
      </c>
      <c r="H133" s="215">
        <v>1</v>
      </c>
      <c r="I133" s="27">
        <f>G133*H133*1.1*351</f>
        <v>0.12972960000000003</v>
      </c>
      <c r="J133" s="215">
        <v>4</v>
      </c>
      <c r="K133" s="27">
        <v>279.92</v>
      </c>
      <c r="L133" s="27"/>
      <c r="M133" s="28">
        <f t="shared" si="26"/>
        <v>36.313909632000012</v>
      </c>
      <c r="N133" s="455" t="s">
        <v>465</v>
      </c>
      <c r="O133" s="489">
        <v>1</v>
      </c>
      <c r="P133" s="489">
        <v>173</v>
      </c>
      <c r="Q133" s="558">
        <f t="shared" si="27"/>
        <v>173</v>
      </c>
    </row>
    <row r="134" spans="1:17" x14ac:dyDescent="0.25">
      <c r="A134" s="491"/>
      <c r="B134" s="515"/>
      <c r="C134" s="512"/>
      <c r="D134" s="508"/>
      <c r="E134" s="509"/>
      <c r="F134" s="215" t="s">
        <v>386</v>
      </c>
      <c r="G134" s="223">
        <f>G133*0.1</f>
        <v>3.3600000000000004E-5</v>
      </c>
      <c r="H134" s="215">
        <v>11</v>
      </c>
      <c r="I134" s="27">
        <f t="shared" ref="I134:I162" si="40">G134*H134*1.1*351</f>
        <v>0.14270256000000003</v>
      </c>
      <c r="J134" s="215">
        <v>4</v>
      </c>
      <c r="K134" s="27">
        <v>279.92</v>
      </c>
      <c r="L134" s="27"/>
      <c r="M134" s="28">
        <f t="shared" ref="M134:M197" si="41">I134*K134</f>
        <v>39.94530059520001</v>
      </c>
      <c r="N134" s="456"/>
      <c r="O134" s="490"/>
      <c r="P134" s="490"/>
      <c r="Q134" s="559"/>
    </row>
    <row r="135" spans="1:17" x14ac:dyDescent="0.25">
      <c r="A135" s="491">
        <v>3</v>
      </c>
      <c r="B135" s="515" t="s">
        <v>1031</v>
      </c>
      <c r="C135" s="540" t="s">
        <v>466</v>
      </c>
      <c r="D135" s="512" t="s">
        <v>467</v>
      </c>
      <c r="E135" s="513">
        <v>18.5</v>
      </c>
      <c r="F135" s="215" t="s">
        <v>384</v>
      </c>
      <c r="G135" s="27">
        <f>0.006*1.5</f>
        <v>9.0000000000000011E-3</v>
      </c>
      <c r="H135" s="215">
        <v>2</v>
      </c>
      <c r="I135" s="27">
        <f t="shared" si="40"/>
        <v>6.9498000000000015</v>
      </c>
      <c r="J135" s="215">
        <v>4</v>
      </c>
      <c r="K135" s="27">
        <v>279.92</v>
      </c>
      <c r="L135" s="27"/>
      <c r="M135" s="28">
        <f t="shared" si="41"/>
        <v>1945.3880160000006</v>
      </c>
      <c r="N135" s="524" t="s">
        <v>468</v>
      </c>
      <c r="O135" s="526">
        <v>2</v>
      </c>
      <c r="P135" s="489">
        <v>1175</v>
      </c>
      <c r="Q135" s="558">
        <f t="shared" ref="Q135:Q197" si="42">P135*O135</f>
        <v>2350</v>
      </c>
    </row>
    <row r="136" spans="1:17" x14ac:dyDescent="0.25">
      <c r="A136" s="491"/>
      <c r="B136" s="515"/>
      <c r="C136" s="540"/>
      <c r="D136" s="512"/>
      <c r="E136" s="513"/>
      <c r="F136" s="215" t="s">
        <v>386</v>
      </c>
      <c r="G136" s="223">
        <f>G135*0.1</f>
        <v>9.0000000000000019E-4</v>
      </c>
      <c r="H136" s="215">
        <v>10</v>
      </c>
      <c r="I136" s="27">
        <f t="shared" si="40"/>
        <v>3.4749000000000008</v>
      </c>
      <c r="J136" s="215">
        <v>4</v>
      </c>
      <c r="K136" s="27">
        <v>279.92</v>
      </c>
      <c r="L136" s="27"/>
      <c r="M136" s="28">
        <f t="shared" si="41"/>
        <v>972.69400800000028</v>
      </c>
      <c r="N136" s="524"/>
      <c r="O136" s="526"/>
      <c r="P136" s="490"/>
      <c r="Q136" s="559">
        <f t="shared" si="42"/>
        <v>0</v>
      </c>
    </row>
    <row r="137" spans="1:17" x14ac:dyDescent="0.25">
      <c r="A137" s="491"/>
      <c r="B137" s="515"/>
      <c r="C137" s="539" t="s">
        <v>469</v>
      </c>
      <c r="D137" s="512" t="s">
        <v>467</v>
      </c>
      <c r="E137" s="513">
        <v>18.5</v>
      </c>
      <c r="F137" s="215" t="s">
        <v>384</v>
      </c>
      <c r="G137" s="27">
        <f>0.006*1.5</f>
        <v>9.0000000000000011E-3</v>
      </c>
      <c r="H137" s="215">
        <v>2</v>
      </c>
      <c r="I137" s="27">
        <f t="shared" si="40"/>
        <v>6.9498000000000015</v>
      </c>
      <c r="J137" s="215">
        <v>4</v>
      </c>
      <c r="K137" s="27">
        <v>279.92</v>
      </c>
      <c r="L137" s="27"/>
      <c r="M137" s="28">
        <f t="shared" si="41"/>
        <v>1945.3880160000006</v>
      </c>
      <c r="N137" s="524" t="s">
        <v>468</v>
      </c>
      <c r="O137" s="526">
        <v>2</v>
      </c>
      <c r="P137" s="489">
        <v>1175</v>
      </c>
      <c r="Q137" s="558">
        <f t="shared" si="42"/>
        <v>2350</v>
      </c>
    </row>
    <row r="138" spans="1:17" x14ac:dyDescent="0.25">
      <c r="A138" s="491"/>
      <c r="B138" s="515"/>
      <c r="C138" s="539"/>
      <c r="D138" s="512"/>
      <c r="E138" s="513"/>
      <c r="F138" s="215" t="s">
        <v>386</v>
      </c>
      <c r="G138" s="223">
        <f>G137*0.1</f>
        <v>9.0000000000000019E-4</v>
      </c>
      <c r="H138" s="215">
        <v>10</v>
      </c>
      <c r="I138" s="27">
        <f t="shared" si="40"/>
        <v>3.4749000000000008</v>
      </c>
      <c r="J138" s="215">
        <v>4</v>
      </c>
      <c r="K138" s="27">
        <v>279.92</v>
      </c>
      <c r="L138" s="27"/>
      <c r="M138" s="28">
        <f t="shared" si="41"/>
        <v>972.69400800000028</v>
      </c>
      <c r="N138" s="524"/>
      <c r="O138" s="526"/>
      <c r="P138" s="490"/>
      <c r="Q138" s="559">
        <f t="shared" si="42"/>
        <v>0</v>
      </c>
    </row>
    <row r="139" spans="1:17" x14ac:dyDescent="0.25">
      <c r="A139" s="491"/>
      <c r="B139" s="515"/>
      <c r="C139" s="539" t="s">
        <v>470</v>
      </c>
      <c r="D139" s="512" t="s">
        <v>467</v>
      </c>
      <c r="E139" s="513">
        <v>18.5</v>
      </c>
      <c r="F139" s="215" t="s">
        <v>384</v>
      </c>
      <c r="G139" s="27">
        <f>0.006*1.5</f>
        <v>9.0000000000000011E-3</v>
      </c>
      <c r="H139" s="215">
        <v>2</v>
      </c>
      <c r="I139" s="27">
        <f t="shared" si="40"/>
        <v>6.9498000000000015</v>
      </c>
      <c r="J139" s="215">
        <v>4</v>
      </c>
      <c r="K139" s="27">
        <v>279.92</v>
      </c>
      <c r="L139" s="27"/>
      <c r="M139" s="28">
        <f t="shared" si="41"/>
        <v>1945.3880160000006</v>
      </c>
      <c r="N139" s="524" t="s">
        <v>468</v>
      </c>
      <c r="O139" s="526">
        <v>2</v>
      </c>
      <c r="P139" s="489">
        <v>1175</v>
      </c>
      <c r="Q139" s="558">
        <f t="shared" si="42"/>
        <v>2350</v>
      </c>
    </row>
    <row r="140" spans="1:17" x14ac:dyDescent="0.25">
      <c r="A140" s="491"/>
      <c r="B140" s="515"/>
      <c r="C140" s="539"/>
      <c r="D140" s="512"/>
      <c r="E140" s="513"/>
      <c r="F140" s="215" t="s">
        <v>386</v>
      </c>
      <c r="G140" s="223">
        <f>G139*0.1</f>
        <v>9.0000000000000019E-4</v>
      </c>
      <c r="H140" s="215">
        <v>10</v>
      </c>
      <c r="I140" s="27">
        <f t="shared" si="40"/>
        <v>3.4749000000000008</v>
      </c>
      <c r="J140" s="215">
        <v>4</v>
      </c>
      <c r="K140" s="27">
        <v>279.92</v>
      </c>
      <c r="L140" s="27"/>
      <c r="M140" s="28">
        <f t="shared" si="41"/>
        <v>972.69400800000028</v>
      </c>
      <c r="N140" s="524"/>
      <c r="O140" s="526"/>
      <c r="P140" s="490"/>
      <c r="Q140" s="559">
        <f t="shared" si="42"/>
        <v>0</v>
      </c>
    </row>
    <row r="141" spans="1:17" x14ac:dyDescent="0.25">
      <c r="A141" s="491"/>
      <c r="B141" s="515"/>
      <c r="C141" s="539" t="s">
        <v>471</v>
      </c>
      <c r="D141" s="499" t="s">
        <v>472</v>
      </c>
      <c r="E141" s="513">
        <v>1.1000000000000001</v>
      </c>
      <c r="F141" s="215" t="s">
        <v>384</v>
      </c>
      <c r="G141" s="27">
        <f>0.001*1.5</f>
        <v>1.5E-3</v>
      </c>
      <c r="H141" s="215">
        <v>2</v>
      </c>
      <c r="I141" s="27">
        <f t="shared" si="40"/>
        <v>1.1583000000000001</v>
      </c>
      <c r="J141" s="215">
        <v>4</v>
      </c>
      <c r="K141" s="27">
        <v>279.92</v>
      </c>
      <c r="L141" s="27"/>
      <c r="M141" s="28">
        <f t="shared" si="41"/>
        <v>324.23133600000006</v>
      </c>
      <c r="N141" s="224" t="s">
        <v>399</v>
      </c>
      <c r="O141" s="215">
        <v>1</v>
      </c>
      <c r="P141" s="215">
        <v>450</v>
      </c>
      <c r="Q141" s="29">
        <f t="shared" si="42"/>
        <v>450</v>
      </c>
    </row>
    <row r="142" spans="1:17" x14ac:dyDescent="0.25">
      <c r="A142" s="491"/>
      <c r="B142" s="515"/>
      <c r="C142" s="539"/>
      <c r="D142" s="499"/>
      <c r="E142" s="513"/>
      <c r="F142" s="215" t="s">
        <v>386</v>
      </c>
      <c r="G142" s="223">
        <f>G141*0.1</f>
        <v>1.5000000000000001E-4</v>
      </c>
      <c r="H142" s="215">
        <v>10</v>
      </c>
      <c r="I142" s="27">
        <f t="shared" si="40"/>
        <v>0.57915000000000005</v>
      </c>
      <c r="J142" s="215">
        <v>4</v>
      </c>
      <c r="K142" s="27">
        <v>279.92</v>
      </c>
      <c r="L142" s="27"/>
      <c r="M142" s="28">
        <f t="shared" si="41"/>
        <v>162.11566800000003</v>
      </c>
      <c r="N142" s="224" t="s">
        <v>400</v>
      </c>
      <c r="O142" s="215">
        <v>1</v>
      </c>
      <c r="P142" s="215">
        <v>345</v>
      </c>
      <c r="Q142" s="29">
        <f t="shared" si="42"/>
        <v>345</v>
      </c>
    </row>
    <row r="143" spans="1:17" x14ac:dyDescent="0.25">
      <c r="A143" s="491"/>
      <c r="B143" s="515"/>
      <c r="C143" s="539" t="s">
        <v>473</v>
      </c>
      <c r="D143" s="499" t="s">
        <v>472</v>
      </c>
      <c r="E143" s="513">
        <v>1.1000000000000001</v>
      </c>
      <c r="F143" s="215" t="s">
        <v>384</v>
      </c>
      <c r="G143" s="27">
        <f>0.001*1.5</f>
        <v>1.5E-3</v>
      </c>
      <c r="H143" s="215">
        <v>2</v>
      </c>
      <c r="I143" s="27">
        <f t="shared" si="40"/>
        <v>1.1583000000000001</v>
      </c>
      <c r="J143" s="215">
        <v>4</v>
      </c>
      <c r="K143" s="27">
        <v>279.92</v>
      </c>
      <c r="L143" s="27"/>
      <c r="M143" s="28">
        <f t="shared" si="41"/>
        <v>324.23133600000006</v>
      </c>
      <c r="N143" s="224" t="s">
        <v>399</v>
      </c>
      <c r="O143" s="215">
        <v>1</v>
      </c>
      <c r="P143" s="215">
        <v>450</v>
      </c>
      <c r="Q143" s="29">
        <f t="shared" si="42"/>
        <v>450</v>
      </c>
    </row>
    <row r="144" spans="1:17" x14ac:dyDescent="0.25">
      <c r="A144" s="491"/>
      <c r="B144" s="515"/>
      <c r="C144" s="539"/>
      <c r="D144" s="499"/>
      <c r="E144" s="513"/>
      <c r="F144" s="215" t="s">
        <v>386</v>
      </c>
      <c r="G144" s="223">
        <f>G143*0.1</f>
        <v>1.5000000000000001E-4</v>
      </c>
      <c r="H144" s="215">
        <v>10</v>
      </c>
      <c r="I144" s="27">
        <f t="shared" si="40"/>
        <v>0.57915000000000005</v>
      </c>
      <c r="J144" s="215">
        <v>4</v>
      </c>
      <c r="K144" s="27">
        <v>279.92</v>
      </c>
      <c r="L144" s="27"/>
      <c r="M144" s="28">
        <f t="shared" si="41"/>
        <v>162.11566800000003</v>
      </c>
      <c r="N144" s="524" t="s">
        <v>400</v>
      </c>
      <c r="O144" s="526">
        <v>1</v>
      </c>
      <c r="P144" s="489">
        <v>345</v>
      </c>
      <c r="Q144" s="558">
        <f t="shared" si="42"/>
        <v>345</v>
      </c>
    </row>
    <row r="145" spans="1:17" x14ac:dyDescent="0.25">
      <c r="A145" s="491"/>
      <c r="B145" s="515"/>
      <c r="C145" s="512" t="s">
        <v>474</v>
      </c>
      <c r="D145" s="512" t="s">
        <v>475</v>
      </c>
      <c r="E145" s="513">
        <v>4</v>
      </c>
      <c r="F145" s="215" t="s">
        <v>384</v>
      </c>
      <c r="G145" s="27">
        <f>0.003*1.5</f>
        <v>4.5000000000000005E-3</v>
      </c>
      <c r="H145" s="215">
        <v>2</v>
      </c>
      <c r="I145" s="27">
        <f t="shared" si="40"/>
        <v>3.4749000000000008</v>
      </c>
      <c r="J145" s="215">
        <v>4</v>
      </c>
      <c r="K145" s="27">
        <v>279.92</v>
      </c>
      <c r="L145" s="27"/>
      <c r="M145" s="28">
        <f t="shared" si="41"/>
        <v>972.69400800000028</v>
      </c>
      <c r="N145" s="524"/>
      <c r="O145" s="526"/>
      <c r="P145" s="490"/>
      <c r="Q145" s="559">
        <f t="shared" si="42"/>
        <v>0</v>
      </c>
    </row>
    <row r="146" spans="1:17" x14ac:dyDescent="0.25">
      <c r="A146" s="491"/>
      <c r="B146" s="515"/>
      <c r="C146" s="512"/>
      <c r="D146" s="512"/>
      <c r="E146" s="513"/>
      <c r="F146" s="215" t="s">
        <v>386</v>
      </c>
      <c r="G146" s="223">
        <f>G145*0.1</f>
        <v>4.500000000000001E-4</v>
      </c>
      <c r="H146" s="215">
        <v>10</v>
      </c>
      <c r="I146" s="27">
        <f t="shared" si="40"/>
        <v>1.7374500000000004</v>
      </c>
      <c r="J146" s="215">
        <v>4</v>
      </c>
      <c r="K146" s="27">
        <v>279.92</v>
      </c>
      <c r="L146" s="27"/>
      <c r="M146" s="28">
        <f t="shared" si="41"/>
        <v>486.34700400000014</v>
      </c>
      <c r="N146" s="524" t="s">
        <v>476</v>
      </c>
      <c r="O146" s="526">
        <v>8</v>
      </c>
      <c r="P146" s="489">
        <v>8</v>
      </c>
      <c r="Q146" s="558">
        <f t="shared" si="42"/>
        <v>64</v>
      </c>
    </row>
    <row r="147" spans="1:17" x14ac:dyDescent="0.25">
      <c r="A147" s="491"/>
      <c r="B147" s="515"/>
      <c r="C147" s="539" t="s">
        <v>474</v>
      </c>
      <c r="D147" s="512" t="s">
        <v>475</v>
      </c>
      <c r="E147" s="513">
        <v>4</v>
      </c>
      <c r="F147" s="215" t="s">
        <v>384</v>
      </c>
      <c r="G147" s="27">
        <f>0.003*1.5</f>
        <v>4.5000000000000005E-3</v>
      </c>
      <c r="H147" s="215">
        <v>2</v>
      </c>
      <c r="I147" s="27">
        <f t="shared" si="40"/>
        <v>3.4749000000000008</v>
      </c>
      <c r="J147" s="215">
        <v>4</v>
      </c>
      <c r="K147" s="27">
        <v>279.92</v>
      </c>
      <c r="L147" s="27"/>
      <c r="M147" s="28">
        <f t="shared" si="41"/>
        <v>972.69400800000028</v>
      </c>
      <c r="N147" s="524"/>
      <c r="O147" s="526"/>
      <c r="P147" s="490"/>
      <c r="Q147" s="559">
        <f t="shared" si="42"/>
        <v>0</v>
      </c>
    </row>
    <row r="148" spans="1:17" ht="31.5" x14ac:dyDescent="0.25">
      <c r="A148" s="491"/>
      <c r="B148" s="515"/>
      <c r="C148" s="539"/>
      <c r="D148" s="512"/>
      <c r="E148" s="513"/>
      <c r="F148" s="215" t="s">
        <v>386</v>
      </c>
      <c r="G148" s="223">
        <f>G147*0.1</f>
        <v>4.500000000000001E-4</v>
      </c>
      <c r="H148" s="215">
        <v>10</v>
      </c>
      <c r="I148" s="27">
        <f t="shared" si="40"/>
        <v>1.7374500000000004</v>
      </c>
      <c r="J148" s="215">
        <v>4</v>
      </c>
      <c r="K148" s="27">
        <v>279.92</v>
      </c>
      <c r="L148" s="27"/>
      <c r="M148" s="28">
        <f t="shared" si="41"/>
        <v>486.34700400000014</v>
      </c>
      <c r="N148" s="240" t="s">
        <v>476</v>
      </c>
      <c r="O148" s="215">
        <v>8</v>
      </c>
      <c r="P148" s="215">
        <v>8</v>
      </c>
      <c r="Q148" s="29">
        <f t="shared" si="42"/>
        <v>64</v>
      </c>
    </row>
    <row r="149" spans="1:17" x14ac:dyDescent="0.25">
      <c r="A149" s="491"/>
      <c r="B149" s="515"/>
      <c r="C149" s="512" t="s">
        <v>477</v>
      </c>
      <c r="D149" s="513" t="s">
        <v>478</v>
      </c>
      <c r="E149" s="513">
        <v>45</v>
      </c>
      <c r="F149" s="215" t="s">
        <v>384</v>
      </c>
      <c r="G149" s="27">
        <f>0.01*1.5</f>
        <v>1.4999999999999999E-2</v>
      </c>
      <c r="H149" s="215">
        <v>2</v>
      </c>
      <c r="I149" s="27">
        <f t="shared" si="40"/>
        <v>11.583</v>
      </c>
      <c r="J149" s="215">
        <v>4</v>
      </c>
      <c r="K149" s="27">
        <v>279.92</v>
      </c>
      <c r="L149" s="27"/>
      <c r="M149" s="28">
        <f t="shared" si="41"/>
        <v>3242.3133600000001</v>
      </c>
      <c r="N149" s="524" t="s">
        <v>394</v>
      </c>
      <c r="O149" s="526">
        <v>2</v>
      </c>
      <c r="P149" s="489">
        <v>2315</v>
      </c>
      <c r="Q149" s="558">
        <f t="shared" si="42"/>
        <v>4630</v>
      </c>
    </row>
    <row r="150" spans="1:17" x14ac:dyDescent="0.25">
      <c r="A150" s="491"/>
      <c r="B150" s="515"/>
      <c r="C150" s="512"/>
      <c r="D150" s="513"/>
      <c r="E150" s="513"/>
      <c r="F150" s="215" t="s">
        <v>386</v>
      </c>
      <c r="G150" s="223">
        <f>G149*0.1</f>
        <v>1.5E-3</v>
      </c>
      <c r="H150" s="215">
        <v>10</v>
      </c>
      <c r="I150" s="27">
        <f t="shared" si="40"/>
        <v>5.7915000000000001</v>
      </c>
      <c r="J150" s="215">
        <v>4</v>
      </c>
      <c r="K150" s="27">
        <v>279.92</v>
      </c>
      <c r="L150" s="27"/>
      <c r="M150" s="28">
        <f t="shared" si="41"/>
        <v>1621.1566800000001</v>
      </c>
      <c r="N150" s="524"/>
      <c r="O150" s="526"/>
      <c r="P150" s="490"/>
      <c r="Q150" s="559">
        <f t="shared" si="42"/>
        <v>0</v>
      </c>
    </row>
    <row r="151" spans="1:17" x14ac:dyDescent="0.25">
      <c r="A151" s="491"/>
      <c r="B151" s="515"/>
      <c r="C151" s="512" t="s">
        <v>477</v>
      </c>
      <c r="D151" s="513" t="s">
        <v>478</v>
      </c>
      <c r="E151" s="513">
        <v>45</v>
      </c>
      <c r="F151" s="215" t="s">
        <v>384</v>
      </c>
      <c r="G151" s="27">
        <f>0.01*1.5</f>
        <v>1.4999999999999999E-2</v>
      </c>
      <c r="H151" s="215">
        <v>2</v>
      </c>
      <c r="I151" s="27">
        <f t="shared" si="40"/>
        <v>11.583</v>
      </c>
      <c r="J151" s="215">
        <v>4</v>
      </c>
      <c r="K151" s="27">
        <v>279.92</v>
      </c>
      <c r="L151" s="27"/>
      <c r="M151" s="28">
        <f t="shared" si="41"/>
        <v>3242.3133600000001</v>
      </c>
      <c r="N151" s="524" t="s">
        <v>394</v>
      </c>
      <c r="O151" s="526">
        <v>2</v>
      </c>
      <c r="P151" s="489">
        <v>2315</v>
      </c>
      <c r="Q151" s="558">
        <f t="shared" si="42"/>
        <v>4630</v>
      </c>
    </row>
    <row r="152" spans="1:17" x14ac:dyDescent="0.25">
      <c r="A152" s="491"/>
      <c r="B152" s="515"/>
      <c r="C152" s="512"/>
      <c r="D152" s="513"/>
      <c r="E152" s="513"/>
      <c r="F152" s="215" t="s">
        <v>386</v>
      </c>
      <c r="G152" s="223">
        <f>G151*0.1</f>
        <v>1.5E-3</v>
      </c>
      <c r="H152" s="215">
        <v>10</v>
      </c>
      <c r="I152" s="27">
        <f t="shared" si="40"/>
        <v>5.7915000000000001</v>
      </c>
      <c r="J152" s="215">
        <v>4</v>
      </c>
      <c r="K152" s="27">
        <v>279.92</v>
      </c>
      <c r="L152" s="27"/>
      <c r="M152" s="28">
        <f t="shared" si="41"/>
        <v>1621.1566800000001</v>
      </c>
      <c r="N152" s="524"/>
      <c r="O152" s="526"/>
      <c r="P152" s="490"/>
      <c r="Q152" s="559">
        <f t="shared" si="42"/>
        <v>0</v>
      </c>
    </row>
    <row r="153" spans="1:17" x14ac:dyDescent="0.25">
      <c r="A153" s="491"/>
      <c r="B153" s="515"/>
      <c r="C153" s="512" t="s">
        <v>477</v>
      </c>
      <c r="D153" s="512" t="s">
        <v>478</v>
      </c>
      <c r="E153" s="513">
        <v>45</v>
      </c>
      <c r="F153" s="215" t="s">
        <v>384</v>
      </c>
      <c r="G153" s="27">
        <f>0.01*1.5</f>
        <v>1.4999999999999999E-2</v>
      </c>
      <c r="H153" s="215">
        <v>2</v>
      </c>
      <c r="I153" s="27">
        <f t="shared" si="40"/>
        <v>11.583</v>
      </c>
      <c r="J153" s="215">
        <v>4</v>
      </c>
      <c r="K153" s="27">
        <v>279.92</v>
      </c>
      <c r="L153" s="27"/>
      <c r="M153" s="28">
        <f t="shared" si="41"/>
        <v>3242.3133600000001</v>
      </c>
      <c r="N153" s="524" t="s">
        <v>394</v>
      </c>
      <c r="O153" s="526">
        <v>2</v>
      </c>
      <c r="P153" s="489">
        <v>2315</v>
      </c>
      <c r="Q153" s="558">
        <f t="shared" si="42"/>
        <v>4630</v>
      </c>
    </row>
    <row r="154" spans="1:17" x14ac:dyDescent="0.25">
      <c r="A154" s="491"/>
      <c r="B154" s="515"/>
      <c r="C154" s="512"/>
      <c r="D154" s="512"/>
      <c r="E154" s="513"/>
      <c r="F154" s="215" t="s">
        <v>386</v>
      </c>
      <c r="G154" s="223">
        <f>G153*0.1</f>
        <v>1.5E-3</v>
      </c>
      <c r="H154" s="215">
        <v>10</v>
      </c>
      <c r="I154" s="27">
        <f t="shared" si="40"/>
        <v>5.7915000000000001</v>
      </c>
      <c r="J154" s="215">
        <v>4</v>
      </c>
      <c r="K154" s="27">
        <v>279.92</v>
      </c>
      <c r="L154" s="27"/>
      <c r="M154" s="28">
        <f t="shared" si="41"/>
        <v>1621.1566800000001</v>
      </c>
      <c r="N154" s="524"/>
      <c r="O154" s="526"/>
      <c r="P154" s="490"/>
      <c r="Q154" s="559">
        <f t="shared" si="42"/>
        <v>0</v>
      </c>
    </row>
    <row r="155" spans="1:17" x14ac:dyDescent="0.25">
      <c r="A155" s="491"/>
      <c r="B155" s="515"/>
      <c r="C155" s="512" t="s">
        <v>477</v>
      </c>
      <c r="D155" s="512" t="s">
        <v>478</v>
      </c>
      <c r="E155" s="513">
        <v>45</v>
      </c>
      <c r="F155" s="215" t="s">
        <v>384</v>
      </c>
      <c r="G155" s="27">
        <f>0.01*1.5</f>
        <v>1.4999999999999999E-2</v>
      </c>
      <c r="H155" s="215">
        <v>2</v>
      </c>
      <c r="I155" s="27">
        <f t="shared" si="40"/>
        <v>11.583</v>
      </c>
      <c r="J155" s="215">
        <v>4</v>
      </c>
      <c r="K155" s="27">
        <v>279.92</v>
      </c>
      <c r="L155" s="27"/>
      <c r="M155" s="28">
        <f t="shared" si="41"/>
        <v>3242.3133600000001</v>
      </c>
      <c r="N155" s="524" t="s">
        <v>394</v>
      </c>
      <c r="O155" s="526">
        <v>2</v>
      </c>
      <c r="P155" s="489">
        <v>2315</v>
      </c>
      <c r="Q155" s="558">
        <f t="shared" si="42"/>
        <v>4630</v>
      </c>
    </row>
    <row r="156" spans="1:17" x14ac:dyDescent="0.25">
      <c r="A156" s="491"/>
      <c r="B156" s="515"/>
      <c r="C156" s="512"/>
      <c r="D156" s="512"/>
      <c r="E156" s="513"/>
      <c r="F156" s="215" t="s">
        <v>386</v>
      </c>
      <c r="G156" s="223">
        <f>G155*0.1</f>
        <v>1.5E-3</v>
      </c>
      <c r="H156" s="215">
        <v>10</v>
      </c>
      <c r="I156" s="27">
        <f t="shared" si="40"/>
        <v>5.7915000000000001</v>
      </c>
      <c r="J156" s="215">
        <v>4</v>
      </c>
      <c r="K156" s="27">
        <v>279.92</v>
      </c>
      <c r="L156" s="27"/>
      <c r="M156" s="28">
        <f t="shared" si="41"/>
        <v>1621.1566800000001</v>
      </c>
      <c r="N156" s="524"/>
      <c r="O156" s="526"/>
      <c r="P156" s="490"/>
      <c r="Q156" s="559">
        <f t="shared" si="42"/>
        <v>0</v>
      </c>
    </row>
    <row r="157" spans="1:17" x14ac:dyDescent="0.25">
      <c r="A157" s="491"/>
      <c r="B157" s="515"/>
      <c r="C157" s="512" t="s">
        <v>479</v>
      </c>
      <c r="D157" s="499" t="s">
        <v>480</v>
      </c>
      <c r="E157" s="513">
        <v>2</v>
      </c>
      <c r="F157" s="215" t="s">
        <v>384</v>
      </c>
      <c r="G157" s="27">
        <f>0.002*1.5</f>
        <v>3.0000000000000001E-3</v>
      </c>
      <c r="H157" s="215">
        <v>2</v>
      </c>
      <c r="I157" s="27">
        <f t="shared" si="40"/>
        <v>2.3166000000000002</v>
      </c>
      <c r="J157" s="215">
        <v>4</v>
      </c>
      <c r="K157" s="27">
        <v>279.92</v>
      </c>
      <c r="L157" s="27"/>
      <c r="M157" s="28">
        <f t="shared" si="41"/>
        <v>648.46267200000011</v>
      </c>
      <c r="N157" s="224" t="s">
        <v>402</v>
      </c>
      <c r="O157" s="215">
        <v>1</v>
      </c>
      <c r="P157" s="215">
        <v>570</v>
      </c>
      <c r="Q157" s="29">
        <f t="shared" si="42"/>
        <v>570</v>
      </c>
    </row>
    <row r="158" spans="1:17" x14ac:dyDescent="0.25">
      <c r="A158" s="491"/>
      <c r="B158" s="515"/>
      <c r="C158" s="512"/>
      <c r="D158" s="499"/>
      <c r="E158" s="513"/>
      <c r="F158" s="215" t="s">
        <v>386</v>
      </c>
      <c r="G158" s="223">
        <f>G157*0.1</f>
        <v>3.0000000000000003E-4</v>
      </c>
      <c r="H158" s="215">
        <v>10</v>
      </c>
      <c r="I158" s="27">
        <f t="shared" si="40"/>
        <v>1.1583000000000001</v>
      </c>
      <c r="J158" s="215">
        <v>4</v>
      </c>
      <c r="K158" s="27">
        <v>279.92</v>
      </c>
      <c r="L158" s="27"/>
      <c r="M158" s="28">
        <f t="shared" si="41"/>
        <v>324.23133600000006</v>
      </c>
      <c r="N158" s="224" t="s">
        <v>399</v>
      </c>
      <c r="O158" s="215">
        <v>1</v>
      </c>
      <c r="P158" s="215">
        <v>450</v>
      </c>
      <c r="Q158" s="29">
        <f t="shared" si="42"/>
        <v>450</v>
      </c>
    </row>
    <row r="159" spans="1:17" x14ac:dyDescent="0.25">
      <c r="A159" s="491"/>
      <c r="B159" s="515"/>
      <c r="C159" s="512" t="s">
        <v>479</v>
      </c>
      <c r="D159" s="499" t="s">
        <v>480</v>
      </c>
      <c r="E159" s="513">
        <v>2</v>
      </c>
      <c r="F159" s="215" t="s">
        <v>384</v>
      </c>
      <c r="G159" s="27">
        <f>0.002*1.5</f>
        <v>3.0000000000000001E-3</v>
      </c>
      <c r="H159" s="215">
        <v>2</v>
      </c>
      <c r="I159" s="27">
        <f t="shared" si="40"/>
        <v>2.3166000000000002</v>
      </c>
      <c r="J159" s="215">
        <v>4</v>
      </c>
      <c r="K159" s="27">
        <v>279.92</v>
      </c>
      <c r="L159" s="27"/>
      <c r="M159" s="28">
        <f t="shared" si="41"/>
        <v>648.46267200000011</v>
      </c>
      <c r="N159" s="224" t="s">
        <v>402</v>
      </c>
      <c r="O159" s="215">
        <v>1</v>
      </c>
      <c r="P159" s="215">
        <v>570</v>
      </c>
      <c r="Q159" s="29">
        <f t="shared" si="42"/>
        <v>570</v>
      </c>
    </row>
    <row r="160" spans="1:17" x14ac:dyDescent="0.25">
      <c r="A160" s="491"/>
      <c r="B160" s="515"/>
      <c r="C160" s="512"/>
      <c r="D160" s="499"/>
      <c r="E160" s="513"/>
      <c r="F160" s="215" t="s">
        <v>386</v>
      </c>
      <c r="G160" s="223">
        <f>G159*0.1</f>
        <v>3.0000000000000003E-4</v>
      </c>
      <c r="H160" s="215">
        <v>10</v>
      </c>
      <c r="I160" s="27">
        <f t="shared" si="40"/>
        <v>1.1583000000000001</v>
      </c>
      <c r="J160" s="215">
        <v>4</v>
      </c>
      <c r="K160" s="27">
        <v>279.92</v>
      </c>
      <c r="L160" s="27"/>
      <c r="M160" s="28">
        <f t="shared" si="41"/>
        <v>324.23133600000006</v>
      </c>
      <c r="N160" s="224" t="s">
        <v>399</v>
      </c>
      <c r="O160" s="215">
        <v>1</v>
      </c>
      <c r="P160" s="215">
        <v>450</v>
      </c>
      <c r="Q160" s="29">
        <f t="shared" si="42"/>
        <v>450</v>
      </c>
    </row>
    <row r="161" spans="1:17" x14ac:dyDescent="0.25">
      <c r="A161" s="491"/>
      <c r="B161" s="515"/>
      <c r="C161" s="512" t="s">
        <v>479</v>
      </c>
      <c r="D161" s="499" t="s">
        <v>480</v>
      </c>
      <c r="E161" s="513">
        <v>2</v>
      </c>
      <c r="F161" s="215" t="s">
        <v>384</v>
      </c>
      <c r="G161" s="27">
        <f>0.002*1.5</f>
        <v>3.0000000000000001E-3</v>
      </c>
      <c r="H161" s="215">
        <v>2</v>
      </c>
      <c r="I161" s="27">
        <f t="shared" si="40"/>
        <v>2.3166000000000002</v>
      </c>
      <c r="J161" s="215">
        <v>4</v>
      </c>
      <c r="K161" s="27">
        <v>279.92</v>
      </c>
      <c r="L161" s="27"/>
      <c r="M161" s="28">
        <f t="shared" si="41"/>
        <v>648.46267200000011</v>
      </c>
      <c r="N161" s="224" t="s">
        <v>402</v>
      </c>
      <c r="O161" s="215">
        <v>1</v>
      </c>
      <c r="P161" s="215">
        <v>570</v>
      </c>
      <c r="Q161" s="29">
        <f t="shared" si="42"/>
        <v>570</v>
      </c>
    </row>
    <row r="162" spans="1:17" x14ac:dyDescent="0.25">
      <c r="A162" s="491"/>
      <c r="B162" s="515"/>
      <c r="C162" s="512"/>
      <c r="D162" s="499"/>
      <c r="E162" s="513"/>
      <c r="F162" s="215" t="s">
        <v>386</v>
      </c>
      <c r="G162" s="223">
        <f>G161*0.1</f>
        <v>3.0000000000000003E-4</v>
      </c>
      <c r="H162" s="215">
        <v>10</v>
      </c>
      <c r="I162" s="27">
        <f t="shared" si="40"/>
        <v>1.1583000000000001</v>
      </c>
      <c r="J162" s="215">
        <v>4</v>
      </c>
      <c r="K162" s="27">
        <v>279.92</v>
      </c>
      <c r="L162" s="27"/>
      <c r="M162" s="28">
        <f t="shared" si="41"/>
        <v>324.23133600000006</v>
      </c>
      <c r="N162" s="224" t="s">
        <v>399</v>
      </c>
      <c r="O162" s="215">
        <v>1</v>
      </c>
      <c r="P162" s="215">
        <v>450</v>
      </c>
      <c r="Q162" s="29">
        <f t="shared" si="42"/>
        <v>450</v>
      </c>
    </row>
    <row r="163" spans="1:17" x14ac:dyDescent="0.25">
      <c r="A163" s="491"/>
      <c r="B163" s="515"/>
      <c r="C163" s="510" t="s">
        <v>481</v>
      </c>
      <c r="D163" s="515"/>
      <c r="E163" s="500"/>
      <c r="F163" s="215" t="s">
        <v>384</v>
      </c>
      <c r="G163" s="27">
        <f>0.002*7*1.6</f>
        <v>2.2400000000000003E-2</v>
      </c>
      <c r="H163" s="215">
        <v>2</v>
      </c>
      <c r="I163" s="27">
        <f>G163*H163*1.1*351</f>
        <v>17.297280000000004</v>
      </c>
      <c r="J163" s="215">
        <v>4</v>
      </c>
      <c r="K163" s="27">
        <v>279.92</v>
      </c>
      <c r="L163" s="27"/>
      <c r="M163" s="28">
        <f t="shared" si="41"/>
        <v>4841.8546176000018</v>
      </c>
      <c r="N163" s="524" t="s">
        <v>482</v>
      </c>
      <c r="O163" s="526">
        <v>2</v>
      </c>
      <c r="P163" s="489">
        <v>15</v>
      </c>
      <c r="Q163" s="558">
        <f t="shared" si="42"/>
        <v>30</v>
      </c>
    </row>
    <row r="164" spans="1:17" x14ac:dyDescent="0.25">
      <c r="A164" s="491"/>
      <c r="B164" s="515"/>
      <c r="C164" s="510"/>
      <c r="D164" s="515"/>
      <c r="E164" s="500"/>
      <c r="F164" s="215" t="s">
        <v>386</v>
      </c>
      <c r="G164" s="223">
        <f>G163*0.1</f>
        <v>2.2400000000000002E-3</v>
      </c>
      <c r="H164" s="215">
        <v>10</v>
      </c>
      <c r="I164" s="27">
        <f t="shared" ref="I164" si="43">G164*H164*1.1*351</f>
        <v>8.6486400000000021</v>
      </c>
      <c r="J164" s="215">
        <v>4</v>
      </c>
      <c r="K164" s="27">
        <v>279.92</v>
      </c>
      <c r="L164" s="27"/>
      <c r="M164" s="28">
        <f t="shared" si="41"/>
        <v>2420.9273088000009</v>
      </c>
      <c r="N164" s="524"/>
      <c r="O164" s="526"/>
      <c r="P164" s="490"/>
      <c r="Q164" s="559">
        <f t="shared" si="42"/>
        <v>0</v>
      </c>
    </row>
    <row r="165" spans="1:17" x14ac:dyDescent="0.25">
      <c r="A165" s="491"/>
      <c r="B165" s="515"/>
      <c r="C165" s="510" t="s">
        <v>483</v>
      </c>
      <c r="D165" s="515"/>
      <c r="E165" s="500"/>
      <c r="F165" s="215" t="s">
        <v>384</v>
      </c>
      <c r="G165" s="27">
        <f>0.003*3*1.6</f>
        <v>1.4400000000000003E-2</v>
      </c>
      <c r="H165" s="215">
        <v>2</v>
      </c>
      <c r="I165" s="27">
        <f>G165*H165*1.1*351</f>
        <v>11.119680000000002</v>
      </c>
      <c r="J165" s="215">
        <v>4</v>
      </c>
      <c r="K165" s="27">
        <v>279.92</v>
      </c>
      <c r="L165" s="27"/>
      <c r="M165" s="28">
        <f t="shared" si="41"/>
        <v>3112.6208256000009</v>
      </c>
      <c r="N165" s="524" t="s">
        <v>482</v>
      </c>
      <c r="O165" s="526">
        <v>1</v>
      </c>
      <c r="P165" s="489">
        <v>15</v>
      </c>
      <c r="Q165" s="558">
        <f t="shared" si="42"/>
        <v>15</v>
      </c>
    </row>
    <row r="166" spans="1:17" x14ac:dyDescent="0.25">
      <c r="A166" s="491"/>
      <c r="B166" s="515"/>
      <c r="C166" s="510"/>
      <c r="D166" s="515"/>
      <c r="E166" s="500"/>
      <c r="F166" s="215" t="s">
        <v>386</v>
      </c>
      <c r="G166" s="223">
        <f>G165*0.1</f>
        <v>1.4400000000000003E-3</v>
      </c>
      <c r="H166" s="215">
        <v>10</v>
      </c>
      <c r="I166" s="27">
        <f t="shared" ref="I166" si="44">G166*H166*1.1*351</f>
        <v>5.5598400000000012</v>
      </c>
      <c r="J166" s="215">
        <v>4</v>
      </c>
      <c r="K166" s="27">
        <v>279.92</v>
      </c>
      <c r="L166" s="27"/>
      <c r="M166" s="28">
        <f t="shared" si="41"/>
        <v>1556.3104128000004</v>
      </c>
      <c r="N166" s="524"/>
      <c r="O166" s="526"/>
      <c r="P166" s="490"/>
      <c r="Q166" s="559">
        <f t="shared" si="42"/>
        <v>0</v>
      </c>
    </row>
    <row r="167" spans="1:17" x14ac:dyDescent="0.25">
      <c r="A167" s="491"/>
      <c r="B167" s="515"/>
      <c r="C167" s="510" t="s">
        <v>484</v>
      </c>
      <c r="D167" s="515"/>
      <c r="E167" s="500"/>
      <c r="F167" s="215" t="s">
        <v>384</v>
      </c>
      <c r="G167" s="27">
        <f>0.005*4*1.6</f>
        <v>3.2000000000000001E-2</v>
      </c>
      <c r="H167" s="215">
        <v>2</v>
      </c>
      <c r="I167" s="27">
        <f>G167*H167*1.1*351</f>
        <v>24.7104</v>
      </c>
      <c r="J167" s="215">
        <v>4</v>
      </c>
      <c r="K167" s="27">
        <v>279.92</v>
      </c>
      <c r="L167" s="27"/>
      <c r="M167" s="28">
        <f t="shared" si="41"/>
        <v>6916.935168</v>
      </c>
      <c r="N167" s="524" t="s">
        <v>482</v>
      </c>
      <c r="O167" s="526">
        <v>2</v>
      </c>
      <c r="P167" s="489">
        <v>15</v>
      </c>
      <c r="Q167" s="558">
        <f t="shared" si="42"/>
        <v>30</v>
      </c>
    </row>
    <row r="168" spans="1:17" x14ac:dyDescent="0.25">
      <c r="A168" s="491"/>
      <c r="B168" s="515"/>
      <c r="C168" s="510"/>
      <c r="D168" s="515"/>
      <c r="E168" s="500"/>
      <c r="F168" s="215" t="s">
        <v>386</v>
      </c>
      <c r="G168" s="223">
        <f>G167*0.1</f>
        <v>3.2000000000000002E-3</v>
      </c>
      <c r="H168" s="215">
        <v>10</v>
      </c>
      <c r="I168" s="27">
        <f t="shared" ref="I168:I172" si="45">G168*H168*1.1*351</f>
        <v>12.3552</v>
      </c>
      <c r="J168" s="215">
        <v>4</v>
      </c>
      <c r="K168" s="27">
        <v>279.92</v>
      </c>
      <c r="L168" s="27"/>
      <c r="M168" s="28">
        <f t="shared" si="41"/>
        <v>3458.467584</v>
      </c>
      <c r="N168" s="524"/>
      <c r="O168" s="526"/>
      <c r="P168" s="490"/>
      <c r="Q168" s="559">
        <f t="shared" si="42"/>
        <v>0</v>
      </c>
    </row>
    <row r="169" spans="1:17" ht="15.75" customHeight="1" x14ac:dyDescent="0.25">
      <c r="A169" s="491"/>
      <c r="B169" s="515"/>
      <c r="C169" s="512" t="s">
        <v>485</v>
      </c>
      <c r="D169" s="533"/>
      <c r="E169" s="513"/>
      <c r="F169" s="215" t="s">
        <v>384</v>
      </c>
      <c r="G169" s="27">
        <f>0.006*1.6</f>
        <v>9.6000000000000009E-3</v>
      </c>
      <c r="H169" s="215">
        <v>1</v>
      </c>
      <c r="I169" s="27">
        <f t="shared" si="45"/>
        <v>3.7065600000000005</v>
      </c>
      <c r="J169" s="215">
        <v>4</v>
      </c>
      <c r="K169" s="27">
        <v>279.92</v>
      </c>
      <c r="L169" s="27"/>
      <c r="M169" s="28">
        <f t="shared" si="41"/>
        <v>1037.5402752000002</v>
      </c>
      <c r="N169" s="524" t="s">
        <v>415</v>
      </c>
      <c r="O169" s="526">
        <v>8</v>
      </c>
      <c r="P169" s="489">
        <v>145.88999999999999</v>
      </c>
      <c r="Q169" s="558">
        <f t="shared" si="42"/>
        <v>1167.1199999999999</v>
      </c>
    </row>
    <row r="170" spans="1:17" x14ac:dyDescent="0.25">
      <c r="A170" s="491"/>
      <c r="B170" s="515"/>
      <c r="C170" s="512"/>
      <c r="D170" s="533"/>
      <c r="E170" s="513"/>
      <c r="F170" s="215" t="s">
        <v>386</v>
      </c>
      <c r="G170" s="223">
        <f>G169*0.1</f>
        <v>9.6000000000000013E-4</v>
      </c>
      <c r="H170" s="215">
        <v>11</v>
      </c>
      <c r="I170" s="27">
        <f t="shared" si="45"/>
        <v>4.0772160000000008</v>
      </c>
      <c r="J170" s="215">
        <v>4</v>
      </c>
      <c r="K170" s="27">
        <v>279.92</v>
      </c>
      <c r="L170" s="27"/>
      <c r="M170" s="28">
        <f t="shared" si="41"/>
        <v>1141.2943027200004</v>
      </c>
      <c r="N170" s="524"/>
      <c r="O170" s="526"/>
      <c r="P170" s="490"/>
      <c r="Q170" s="559">
        <f t="shared" si="42"/>
        <v>0</v>
      </c>
    </row>
    <row r="171" spans="1:17" ht="15.75" customHeight="1" x14ac:dyDescent="0.25">
      <c r="A171" s="491"/>
      <c r="B171" s="515"/>
      <c r="C171" s="512" t="s">
        <v>486</v>
      </c>
      <c r="D171" s="508"/>
      <c r="E171" s="509"/>
      <c r="F171" s="215" t="s">
        <v>384</v>
      </c>
      <c r="G171" s="27">
        <f>0.005*1.6</f>
        <v>8.0000000000000002E-3</v>
      </c>
      <c r="H171" s="215">
        <v>1</v>
      </c>
      <c r="I171" s="27">
        <f t="shared" si="45"/>
        <v>3.0888</v>
      </c>
      <c r="J171" s="215">
        <v>4</v>
      </c>
      <c r="K171" s="27">
        <v>279.92</v>
      </c>
      <c r="L171" s="27"/>
      <c r="M171" s="28">
        <f t="shared" si="41"/>
        <v>864.616896</v>
      </c>
      <c r="N171" s="524" t="s">
        <v>415</v>
      </c>
      <c r="O171" s="526">
        <v>4</v>
      </c>
      <c r="P171" s="489">
        <v>145.88999999999999</v>
      </c>
      <c r="Q171" s="558">
        <f t="shared" si="42"/>
        <v>583.55999999999995</v>
      </c>
    </row>
    <row r="172" spans="1:17" x14ac:dyDescent="0.25">
      <c r="A172" s="491"/>
      <c r="B172" s="515"/>
      <c r="C172" s="512"/>
      <c r="D172" s="508"/>
      <c r="E172" s="509"/>
      <c r="F172" s="215" t="s">
        <v>386</v>
      </c>
      <c r="G172" s="223">
        <f>G171*0.1</f>
        <v>8.0000000000000004E-4</v>
      </c>
      <c r="H172" s="215">
        <v>11</v>
      </c>
      <c r="I172" s="27">
        <f t="shared" si="45"/>
        <v>3.3976800000000003</v>
      </c>
      <c r="J172" s="215">
        <v>4</v>
      </c>
      <c r="K172" s="27">
        <v>279.92</v>
      </c>
      <c r="L172" s="27"/>
      <c r="M172" s="28">
        <f t="shared" si="41"/>
        <v>951.07858560000011</v>
      </c>
      <c r="N172" s="524"/>
      <c r="O172" s="526"/>
      <c r="P172" s="490"/>
      <c r="Q172" s="559">
        <f t="shared" si="42"/>
        <v>0</v>
      </c>
    </row>
    <row r="173" spans="1:17" ht="15.75" customHeight="1" x14ac:dyDescent="0.25">
      <c r="A173" s="491"/>
      <c r="B173" s="515"/>
      <c r="C173" s="504" t="s">
        <v>417</v>
      </c>
      <c r="D173" s="515"/>
      <c r="E173" s="500"/>
      <c r="F173" s="215" t="s">
        <v>384</v>
      </c>
      <c r="G173" s="27">
        <f>0.004*1.2*1.6</f>
        <v>7.6799999999999993E-3</v>
      </c>
      <c r="H173" s="215">
        <v>1</v>
      </c>
      <c r="I173" s="27">
        <f>G173*H173*1.1*351</f>
        <v>2.9652480000000003</v>
      </c>
      <c r="J173" s="215">
        <v>4</v>
      </c>
      <c r="K173" s="27">
        <v>279.92</v>
      </c>
      <c r="L173" s="27"/>
      <c r="M173" s="28">
        <f t="shared" si="41"/>
        <v>830.03222016000018</v>
      </c>
      <c r="N173" s="524" t="s">
        <v>418</v>
      </c>
      <c r="O173" s="526">
        <v>12</v>
      </c>
      <c r="P173" s="489">
        <v>6897</v>
      </c>
      <c r="Q173" s="558">
        <f t="shared" si="42"/>
        <v>82764</v>
      </c>
    </row>
    <row r="174" spans="1:17" x14ac:dyDescent="0.25">
      <c r="A174" s="491"/>
      <c r="B174" s="515"/>
      <c r="C174" s="504"/>
      <c r="D174" s="515"/>
      <c r="E174" s="500"/>
      <c r="F174" s="215" t="s">
        <v>386</v>
      </c>
      <c r="G174" s="223">
        <f>G173*0.1</f>
        <v>7.6800000000000002E-4</v>
      </c>
      <c r="H174" s="215">
        <v>11</v>
      </c>
      <c r="I174" s="27">
        <f t="shared" ref="I174" si="46">G174*H174*1.1*351</f>
        <v>3.2617728000000006</v>
      </c>
      <c r="J174" s="215">
        <v>4</v>
      </c>
      <c r="K174" s="27">
        <v>279.92</v>
      </c>
      <c r="L174" s="27"/>
      <c r="M174" s="28">
        <f t="shared" si="41"/>
        <v>913.03544217600017</v>
      </c>
      <c r="N174" s="524"/>
      <c r="O174" s="526"/>
      <c r="P174" s="490"/>
      <c r="Q174" s="559">
        <f t="shared" si="42"/>
        <v>0</v>
      </c>
    </row>
    <row r="175" spans="1:17" ht="15.75" customHeight="1" x14ac:dyDescent="0.25">
      <c r="A175" s="491"/>
      <c r="B175" s="515"/>
      <c r="C175" s="504" t="s">
        <v>419</v>
      </c>
      <c r="D175" s="515"/>
      <c r="E175" s="500"/>
      <c r="F175" s="215" t="s">
        <v>384</v>
      </c>
      <c r="G175" s="27">
        <f>0.004*3.1*1.6</f>
        <v>1.9840000000000003E-2</v>
      </c>
      <c r="H175" s="215">
        <v>1</v>
      </c>
      <c r="I175" s="27">
        <f>G175*H175*1.1*351</f>
        <v>7.6602240000000021</v>
      </c>
      <c r="J175" s="215">
        <v>4</v>
      </c>
      <c r="K175" s="27">
        <v>279.92</v>
      </c>
      <c r="L175" s="27"/>
      <c r="M175" s="28">
        <f t="shared" si="41"/>
        <v>2144.2499020800005</v>
      </c>
      <c r="N175" s="524" t="s">
        <v>420</v>
      </c>
      <c r="O175" s="526">
        <v>62</v>
      </c>
      <c r="P175" s="489">
        <v>219.92</v>
      </c>
      <c r="Q175" s="558">
        <f t="shared" si="42"/>
        <v>13635.039999999999</v>
      </c>
    </row>
    <row r="176" spans="1:17" x14ac:dyDescent="0.25">
      <c r="A176" s="491"/>
      <c r="B176" s="515"/>
      <c r="C176" s="504"/>
      <c r="D176" s="515"/>
      <c r="E176" s="500"/>
      <c r="F176" s="215" t="s">
        <v>386</v>
      </c>
      <c r="G176" s="223">
        <f>G175*0.1</f>
        <v>1.9840000000000005E-3</v>
      </c>
      <c r="H176" s="215">
        <v>11</v>
      </c>
      <c r="I176" s="27">
        <f t="shared" ref="I176:I178" si="47">G176*H176*1.1*351</f>
        <v>8.4262464000000019</v>
      </c>
      <c r="J176" s="215">
        <v>4</v>
      </c>
      <c r="K176" s="27">
        <v>279.92</v>
      </c>
      <c r="L176" s="27"/>
      <c r="M176" s="28">
        <f t="shared" si="41"/>
        <v>2358.6748922880006</v>
      </c>
      <c r="N176" s="524"/>
      <c r="O176" s="526"/>
      <c r="P176" s="490"/>
      <c r="Q176" s="559">
        <f t="shared" si="42"/>
        <v>0</v>
      </c>
    </row>
    <row r="177" spans="1:17" x14ac:dyDescent="0.25">
      <c r="A177" s="491"/>
      <c r="B177" s="515"/>
      <c r="C177" s="499" t="s">
        <v>460</v>
      </c>
      <c r="D177" s="512" t="s">
        <v>461</v>
      </c>
      <c r="E177" s="513">
        <v>0.25</v>
      </c>
      <c r="F177" s="215" t="s">
        <v>384</v>
      </c>
      <c r="G177" s="27">
        <f>0.007*2*1.6</f>
        <v>2.2400000000000003E-2</v>
      </c>
      <c r="H177" s="215">
        <v>1</v>
      </c>
      <c r="I177" s="27">
        <f t="shared" si="47"/>
        <v>8.6486400000000021</v>
      </c>
      <c r="J177" s="215">
        <v>4</v>
      </c>
      <c r="K177" s="27">
        <v>279.92</v>
      </c>
      <c r="L177" s="27"/>
      <c r="M177" s="28">
        <f t="shared" si="41"/>
        <v>2420.9273088000009</v>
      </c>
      <c r="N177" s="524" t="s">
        <v>426</v>
      </c>
      <c r="O177" s="526">
        <v>1</v>
      </c>
      <c r="P177" s="489">
        <v>15</v>
      </c>
      <c r="Q177" s="558">
        <f t="shared" si="42"/>
        <v>15</v>
      </c>
    </row>
    <row r="178" spans="1:17" x14ac:dyDescent="0.25">
      <c r="A178" s="491"/>
      <c r="B178" s="515"/>
      <c r="C178" s="499"/>
      <c r="D178" s="512"/>
      <c r="E178" s="513"/>
      <c r="F178" s="215" t="s">
        <v>386</v>
      </c>
      <c r="G178" s="223">
        <f>G177*0.1</f>
        <v>2.2400000000000002E-3</v>
      </c>
      <c r="H178" s="215">
        <v>11</v>
      </c>
      <c r="I178" s="27">
        <f t="shared" si="47"/>
        <v>9.5135040000000011</v>
      </c>
      <c r="J178" s="215">
        <v>4</v>
      </c>
      <c r="K178" s="27">
        <v>279.92</v>
      </c>
      <c r="L178" s="27"/>
      <c r="M178" s="28">
        <f t="shared" si="41"/>
        <v>2663.0200396800005</v>
      </c>
      <c r="N178" s="524"/>
      <c r="O178" s="526"/>
      <c r="P178" s="490"/>
      <c r="Q178" s="559">
        <f t="shared" si="42"/>
        <v>0</v>
      </c>
    </row>
    <row r="179" spans="1:17" x14ac:dyDescent="0.25">
      <c r="A179" s="491"/>
      <c r="B179" s="515"/>
      <c r="C179" s="510" t="s">
        <v>424</v>
      </c>
      <c r="D179" s="507"/>
      <c r="E179" s="507"/>
      <c r="F179" s="215" t="s">
        <v>384</v>
      </c>
      <c r="G179" s="27">
        <f>0.028*0.266</f>
        <v>7.4480000000000006E-3</v>
      </c>
      <c r="H179" s="215">
        <v>1</v>
      </c>
      <c r="I179" s="27">
        <f>G179*H179*1.1*351</f>
        <v>2.8756728000000007</v>
      </c>
      <c r="J179" s="215">
        <v>4</v>
      </c>
      <c r="K179" s="27">
        <v>279.92</v>
      </c>
      <c r="L179" s="27"/>
      <c r="M179" s="28">
        <f t="shared" si="41"/>
        <v>804.95833017600023</v>
      </c>
      <c r="N179" s="37" t="s">
        <v>426</v>
      </c>
      <c r="O179" s="31">
        <v>1</v>
      </c>
      <c r="P179" s="215">
        <v>15</v>
      </c>
      <c r="Q179" s="29">
        <f t="shared" si="42"/>
        <v>15</v>
      </c>
    </row>
    <row r="180" spans="1:17" x14ac:dyDescent="0.25">
      <c r="A180" s="491"/>
      <c r="B180" s="515"/>
      <c r="C180" s="502"/>
      <c r="D180" s="507"/>
      <c r="E180" s="507"/>
      <c r="F180" s="215" t="s">
        <v>386</v>
      </c>
      <c r="G180" s="223">
        <f>G179*0.1</f>
        <v>7.4480000000000011E-4</v>
      </c>
      <c r="H180" s="215">
        <v>11</v>
      </c>
      <c r="I180" s="27">
        <f t="shared" ref="I180" si="48">G180*H180*1.1*351</f>
        <v>3.1632400800000009</v>
      </c>
      <c r="J180" s="215">
        <v>4</v>
      </c>
      <c r="K180" s="27">
        <v>279.92</v>
      </c>
      <c r="L180" s="27"/>
      <c r="M180" s="28">
        <f t="shared" si="41"/>
        <v>885.45416319360027</v>
      </c>
      <c r="N180" s="37" t="s">
        <v>314</v>
      </c>
      <c r="O180" s="31">
        <v>1</v>
      </c>
      <c r="P180" s="215">
        <v>102</v>
      </c>
      <c r="Q180" s="29">
        <f t="shared" si="42"/>
        <v>102</v>
      </c>
    </row>
    <row r="181" spans="1:17" x14ac:dyDescent="0.25">
      <c r="A181" s="491"/>
      <c r="B181" s="515"/>
      <c r="C181" s="510" t="s">
        <v>427</v>
      </c>
      <c r="D181" s="507"/>
      <c r="E181" s="507"/>
      <c r="F181" s="215" t="s">
        <v>384</v>
      </c>
      <c r="G181" s="27">
        <f>0.04*0.116</f>
        <v>4.64E-3</v>
      </c>
      <c r="H181" s="215">
        <v>1</v>
      </c>
      <c r="I181" s="27">
        <f>G181*H181*1.1*351</f>
        <v>1.791504</v>
      </c>
      <c r="J181" s="215">
        <v>4</v>
      </c>
      <c r="K181" s="27">
        <v>279.92</v>
      </c>
      <c r="L181" s="27"/>
      <c r="M181" s="28">
        <f t="shared" si="41"/>
        <v>501.47779968000003</v>
      </c>
      <c r="N181" s="37" t="s">
        <v>426</v>
      </c>
      <c r="O181" s="31">
        <v>1</v>
      </c>
      <c r="P181" s="215">
        <v>15</v>
      </c>
      <c r="Q181" s="29">
        <f t="shared" si="42"/>
        <v>15</v>
      </c>
    </row>
    <row r="182" spans="1:17" x14ac:dyDescent="0.25">
      <c r="A182" s="491"/>
      <c r="B182" s="515"/>
      <c r="C182" s="502"/>
      <c r="D182" s="507"/>
      <c r="E182" s="507"/>
      <c r="F182" s="215" t="s">
        <v>386</v>
      </c>
      <c r="G182" s="223">
        <f>G181*0.1</f>
        <v>4.64E-4</v>
      </c>
      <c r="H182" s="215">
        <v>11</v>
      </c>
      <c r="I182" s="27">
        <f t="shared" ref="I182" si="49">G182*H182*1.1*351</f>
        <v>1.9706544000000001</v>
      </c>
      <c r="J182" s="215">
        <v>4</v>
      </c>
      <c r="K182" s="27">
        <v>279.92</v>
      </c>
      <c r="L182" s="27"/>
      <c r="M182" s="28">
        <f t="shared" si="41"/>
        <v>551.6255796480001</v>
      </c>
      <c r="N182" s="37" t="s">
        <v>314</v>
      </c>
      <c r="O182" s="31">
        <v>1</v>
      </c>
      <c r="P182" s="215">
        <v>102</v>
      </c>
      <c r="Q182" s="29">
        <f t="shared" si="42"/>
        <v>102</v>
      </c>
    </row>
    <row r="183" spans="1:17" x14ac:dyDescent="0.25">
      <c r="A183" s="491"/>
      <c r="B183" s="515"/>
      <c r="C183" s="510" t="s">
        <v>428</v>
      </c>
      <c r="D183" s="507"/>
      <c r="E183" s="507"/>
      <c r="F183" s="215" t="s">
        <v>384</v>
      </c>
      <c r="G183" s="27">
        <f>0.048*0.112</f>
        <v>5.3760000000000006E-3</v>
      </c>
      <c r="H183" s="215">
        <v>1</v>
      </c>
      <c r="I183" s="27">
        <f>G183*H183*1.1*351</f>
        <v>2.0756736000000005</v>
      </c>
      <c r="J183" s="215">
        <v>4</v>
      </c>
      <c r="K183" s="27">
        <v>279.92</v>
      </c>
      <c r="L183" s="27"/>
      <c r="M183" s="28">
        <f t="shared" si="41"/>
        <v>581.02255411200019</v>
      </c>
      <c r="N183" s="37" t="s">
        <v>426</v>
      </c>
      <c r="O183" s="31">
        <v>1</v>
      </c>
      <c r="P183" s="215">
        <v>15</v>
      </c>
      <c r="Q183" s="29">
        <f t="shared" si="42"/>
        <v>15</v>
      </c>
    </row>
    <row r="184" spans="1:17" x14ac:dyDescent="0.25">
      <c r="A184" s="491"/>
      <c r="B184" s="515"/>
      <c r="C184" s="502"/>
      <c r="D184" s="507"/>
      <c r="E184" s="507"/>
      <c r="F184" s="215" t="s">
        <v>386</v>
      </c>
      <c r="G184" s="223">
        <f>G183*0.1</f>
        <v>5.3760000000000006E-4</v>
      </c>
      <c r="H184" s="215">
        <v>11</v>
      </c>
      <c r="I184" s="27">
        <f t="shared" ref="I184" si="50">G184*H184*1.1*351</f>
        <v>2.2832409600000005</v>
      </c>
      <c r="J184" s="215">
        <v>4</v>
      </c>
      <c r="K184" s="27">
        <v>279.92</v>
      </c>
      <c r="L184" s="27"/>
      <c r="M184" s="28">
        <f t="shared" si="41"/>
        <v>639.12480952320016</v>
      </c>
      <c r="N184" s="37" t="s">
        <v>314</v>
      </c>
      <c r="O184" s="31">
        <v>1</v>
      </c>
      <c r="P184" s="215">
        <v>102</v>
      </c>
      <c r="Q184" s="29">
        <f t="shared" si="42"/>
        <v>102</v>
      </c>
    </row>
    <row r="185" spans="1:17" x14ac:dyDescent="0.25">
      <c r="A185" s="491"/>
      <c r="B185" s="515"/>
      <c r="C185" s="502" t="s">
        <v>429</v>
      </c>
      <c r="D185" s="507"/>
      <c r="E185" s="507"/>
      <c r="F185" s="215" t="s">
        <v>384</v>
      </c>
      <c r="G185" s="27">
        <f>0.04*0.521</f>
        <v>2.0840000000000001E-2</v>
      </c>
      <c r="H185" s="215">
        <v>1</v>
      </c>
      <c r="I185" s="27">
        <f>G185*H185*1.1*351</f>
        <v>8.046324000000002</v>
      </c>
      <c r="J185" s="215">
        <v>4</v>
      </c>
      <c r="K185" s="27">
        <v>279.92</v>
      </c>
      <c r="L185" s="27"/>
      <c r="M185" s="28">
        <f t="shared" si="41"/>
        <v>2252.3270140800005</v>
      </c>
      <c r="N185" s="37" t="s">
        <v>426</v>
      </c>
      <c r="O185" s="31">
        <v>1</v>
      </c>
      <c r="P185" s="215">
        <v>15</v>
      </c>
      <c r="Q185" s="29">
        <f t="shared" si="42"/>
        <v>15</v>
      </c>
    </row>
    <row r="186" spans="1:17" x14ac:dyDescent="0.25">
      <c r="A186" s="491"/>
      <c r="B186" s="515"/>
      <c r="C186" s="502"/>
      <c r="D186" s="507"/>
      <c r="E186" s="507"/>
      <c r="F186" s="215" t="s">
        <v>386</v>
      </c>
      <c r="G186" s="223">
        <f>G185*0.1</f>
        <v>2.0840000000000003E-3</v>
      </c>
      <c r="H186" s="215">
        <v>11</v>
      </c>
      <c r="I186" s="27">
        <f t="shared" ref="I186" si="51">G186*H186*1.1*351</f>
        <v>8.8509564000000029</v>
      </c>
      <c r="J186" s="215">
        <v>4</v>
      </c>
      <c r="K186" s="27">
        <v>279.92</v>
      </c>
      <c r="L186" s="27"/>
      <c r="M186" s="28">
        <f t="shared" si="41"/>
        <v>2477.5597154880011</v>
      </c>
      <c r="N186" s="37" t="s">
        <v>314</v>
      </c>
      <c r="O186" s="31">
        <v>1</v>
      </c>
      <c r="P186" s="215">
        <v>102</v>
      </c>
      <c r="Q186" s="29">
        <f t="shared" si="42"/>
        <v>102</v>
      </c>
    </row>
    <row r="187" spans="1:17" x14ac:dyDescent="0.25">
      <c r="A187" s="491"/>
      <c r="B187" s="515"/>
      <c r="C187" s="502" t="s">
        <v>487</v>
      </c>
      <c r="D187" s="507"/>
      <c r="E187" s="507"/>
      <c r="F187" s="215" t="s">
        <v>384</v>
      </c>
      <c r="G187" s="27">
        <f>0.014*3*1.6</f>
        <v>6.720000000000001E-2</v>
      </c>
      <c r="H187" s="215">
        <v>1</v>
      </c>
      <c r="I187" s="27">
        <f>G187*H187*1.1*351</f>
        <v>25.945920000000005</v>
      </c>
      <c r="J187" s="215">
        <v>5</v>
      </c>
      <c r="K187" s="27">
        <v>297.57</v>
      </c>
      <c r="L187" s="27"/>
      <c r="M187" s="28">
        <f t="shared" si="41"/>
        <v>7720.7274144000012</v>
      </c>
      <c r="N187" s="524" t="s">
        <v>426</v>
      </c>
      <c r="O187" s="526">
        <v>3</v>
      </c>
      <c r="P187" s="489">
        <v>15</v>
      </c>
      <c r="Q187" s="558">
        <f t="shared" si="42"/>
        <v>45</v>
      </c>
    </row>
    <row r="188" spans="1:17" x14ac:dyDescent="0.25">
      <c r="A188" s="491"/>
      <c r="B188" s="515"/>
      <c r="C188" s="502"/>
      <c r="D188" s="507"/>
      <c r="E188" s="507"/>
      <c r="F188" s="215" t="s">
        <v>386</v>
      </c>
      <c r="G188" s="223">
        <f>G187*0.1</f>
        <v>6.7200000000000011E-3</v>
      </c>
      <c r="H188" s="215">
        <v>11</v>
      </c>
      <c r="I188" s="27">
        <f t="shared" ref="I188" si="52">G188*H188*1.1*351</f>
        <v>28.540512000000007</v>
      </c>
      <c r="J188" s="215">
        <v>5</v>
      </c>
      <c r="K188" s="27">
        <v>297.57</v>
      </c>
      <c r="L188" s="27"/>
      <c r="M188" s="28">
        <f t="shared" si="41"/>
        <v>8492.800155840001</v>
      </c>
      <c r="N188" s="524"/>
      <c r="O188" s="526"/>
      <c r="P188" s="490"/>
      <c r="Q188" s="559">
        <f t="shared" si="42"/>
        <v>0</v>
      </c>
    </row>
    <row r="189" spans="1:17" x14ac:dyDescent="0.25">
      <c r="A189" s="491"/>
      <c r="B189" s="515"/>
      <c r="C189" s="512" t="s">
        <v>464</v>
      </c>
      <c r="D189" s="508"/>
      <c r="E189" s="509"/>
      <c r="F189" s="215" t="s">
        <v>384</v>
      </c>
      <c r="G189" s="27">
        <f>0.012*0.031</f>
        <v>3.7199999999999999E-4</v>
      </c>
      <c r="H189" s="215">
        <v>1</v>
      </c>
      <c r="I189" s="27">
        <f>G189*H189*1.1*351</f>
        <v>0.14362920000000001</v>
      </c>
      <c r="J189" s="215">
        <v>4</v>
      </c>
      <c r="K189" s="27">
        <v>279.92</v>
      </c>
      <c r="L189" s="27"/>
      <c r="M189" s="28">
        <f t="shared" si="41"/>
        <v>40.204685664000003</v>
      </c>
      <c r="N189" s="524"/>
      <c r="O189" s="526"/>
      <c r="P189" s="489"/>
      <c r="Q189" s="558"/>
    </row>
    <row r="190" spans="1:17" x14ac:dyDescent="0.25">
      <c r="A190" s="491"/>
      <c r="B190" s="515"/>
      <c r="C190" s="512"/>
      <c r="D190" s="508"/>
      <c r="E190" s="509"/>
      <c r="F190" s="215" t="s">
        <v>386</v>
      </c>
      <c r="G190" s="223">
        <f>G189*0.1</f>
        <v>3.7200000000000003E-5</v>
      </c>
      <c r="H190" s="215">
        <v>11</v>
      </c>
      <c r="I190" s="27">
        <f t="shared" ref="I190:I212" si="53">G190*H190*1.1*351</f>
        <v>0.15799212000000004</v>
      </c>
      <c r="J190" s="215">
        <v>4</v>
      </c>
      <c r="K190" s="27">
        <v>279.92</v>
      </c>
      <c r="L190" s="27"/>
      <c r="M190" s="28">
        <f t="shared" si="41"/>
        <v>44.225154230400015</v>
      </c>
      <c r="N190" s="524" t="s">
        <v>488</v>
      </c>
      <c r="O190" s="526">
        <v>1</v>
      </c>
      <c r="P190" s="490">
        <v>173</v>
      </c>
      <c r="Q190" s="559"/>
    </row>
    <row r="191" spans="1:17" x14ac:dyDescent="0.25">
      <c r="A191" s="491">
        <v>4</v>
      </c>
      <c r="B191" s="515" t="s">
        <v>1029</v>
      </c>
      <c r="C191" s="534" t="s">
        <v>382</v>
      </c>
      <c r="D191" s="534" t="s">
        <v>489</v>
      </c>
      <c r="E191" s="513">
        <v>7.5</v>
      </c>
      <c r="F191" s="215" t="s">
        <v>384</v>
      </c>
      <c r="G191" s="27">
        <f>0.005*1.5</f>
        <v>7.4999999999999997E-3</v>
      </c>
      <c r="H191" s="215">
        <v>2</v>
      </c>
      <c r="I191" s="27">
        <f t="shared" si="53"/>
        <v>5.7915000000000001</v>
      </c>
      <c r="J191" s="215">
        <v>4</v>
      </c>
      <c r="K191" s="27">
        <v>279.92</v>
      </c>
      <c r="L191" s="27"/>
      <c r="M191" s="28">
        <f t="shared" si="41"/>
        <v>1621.1566800000001</v>
      </c>
      <c r="N191" s="524" t="s">
        <v>490</v>
      </c>
      <c r="O191" s="526">
        <v>1</v>
      </c>
      <c r="P191" s="489">
        <v>960</v>
      </c>
      <c r="Q191" s="558">
        <f t="shared" si="42"/>
        <v>960</v>
      </c>
    </row>
    <row r="192" spans="1:17" x14ac:dyDescent="0.25">
      <c r="A192" s="491"/>
      <c r="B192" s="515"/>
      <c r="C192" s="534"/>
      <c r="D192" s="534"/>
      <c r="E192" s="513"/>
      <c r="F192" s="215" t="s">
        <v>386</v>
      </c>
      <c r="G192" s="223">
        <f>G191*0.1</f>
        <v>7.5000000000000002E-4</v>
      </c>
      <c r="H192" s="215">
        <v>10</v>
      </c>
      <c r="I192" s="27">
        <f t="shared" si="53"/>
        <v>2.89575</v>
      </c>
      <c r="J192" s="215">
        <v>4</v>
      </c>
      <c r="K192" s="27">
        <v>279.92</v>
      </c>
      <c r="L192" s="27"/>
      <c r="M192" s="28">
        <f t="shared" si="41"/>
        <v>810.57834000000003</v>
      </c>
      <c r="N192" s="524"/>
      <c r="O192" s="526"/>
      <c r="P192" s="490"/>
      <c r="Q192" s="559">
        <f t="shared" si="42"/>
        <v>0</v>
      </c>
    </row>
    <row r="193" spans="1:17" x14ac:dyDescent="0.25">
      <c r="A193" s="491"/>
      <c r="B193" s="515"/>
      <c r="C193" s="534" t="s">
        <v>387</v>
      </c>
      <c r="D193" s="534" t="s">
        <v>489</v>
      </c>
      <c r="E193" s="513">
        <v>7.5</v>
      </c>
      <c r="F193" s="215" t="s">
        <v>384</v>
      </c>
      <c r="G193" s="27">
        <f>0.005*1.5</f>
        <v>7.4999999999999997E-3</v>
      </c>
      <c r="H193" s="215">
        <v>2</v>
      </c>
      <c r="I193" s="27">
        <f t="shared" si="53"/>
        <v>5.7915000000000001</v>
      </c>
      <c r="J193" s="215">
        <v>4</v>
      </c>
      <c r="K193" s="27">
        <v>279.92</v>
      </c>
      <c r="L193" s="27"/>
      <c r="M193" s="28">
        <f t="shared" si="41"/>
        <v>1621.1566800000001</v>
      </c>
      <c r="N193" s="524" t="s">
        <v>490</v>
      </c>
      <c r="O193" s="526">
        <v>1</v>
      </c>
      <c r="P193" s="489">
        <v>960</v>
      </c>
      <c r="Q193" s="558">
        <f t="shared" si="42"/>
        <v>960</v>
      </c>
    </row>
    <row r="194" spans="1:17" x14ac:dyDescent="0.25">
      <c r="A194" s="491"/>
      <c r="B194" s="515"/>
      <c r="C194" s="534"/>
      <c r="D194" s="534"/>
      <c r="E194" s="513"/>
      <c r="F194" s="215" t="s">
        <v>386</v>
      </c>
      <c r="G194" s="223">
        <f>G193*0.1</f>
        <v>7.5000000000000002E-4</v>
      </c>
      <c r="H194" s="215">
        <v>10</v>
      </c>
      <c r="I194" s="27">
        <f t="shared" si="53"/>
        <v>2.89575</v>
      </c>
      <c r="J194" s="215">
        <v>4</v>
      </c>
      <c r="K194" s="27">
        <v>279.92</v>
      </c>
      <c r="L194" s="27"/>
      <c r="M194" s="28">
        <f t="shared" si="41"/>
        <v>810.57834000000003</v>
      </c>
      <c r="N194" s="524"/>
      <c r="O194" s="526"/>
      <c r="P194" s="490"/>
      <c r="Q194" s="559">
        <f t="shared" si="42"/>
        <v>0</v>
      </c>
    </row>
    <row r="195" spans="1:17" x14ac:dyDescent="0.25">
      <c r="A195" s="491"/>
      <c r="B195" s="515"/>
      <c r="C195" s="536" t="s">
        <v>388</v>
      </c>
      <c r="D195" s="537" t="s">
        <v>491</v>
      </c>
      <c r="E195" s="522">
        <v>2.2000000000000002</v>
      </c>
      <c r="F195" s="215" t="s">
        <v>384</v>
      </c>
      <c r="G195" s="27">
        <f>0.002*1.5</f>
        <v>3.0000000000000001E-3</v>
      </c>
      <c r="H195" s="215">
        <v>2</v>
      </c>
      <c r="I195" s="27">
        <f t="shared" si="53"/>
        <v>2.3166000000000002</v>
      </c>
      <c r="J195" s="215">
        <v>4</v>
      </c>
      <c r="K195" s="27">
        <v>279.92</v>
      </c>
      <c r="L195" s="27"/>
      <c r="M195" s="28">
        <f t="shared" si="41"/>
        <v>648.46267200000011</v>
      </c>
      <c r="N195" s="524" t="s">
        <v>402</v>
      </c>
      <c r="O195" s="526">
        <v>1</v>
      </c>
      <c r="P195" s="489">
        <v>570</v>
      </c>
      <c r="Q195" s="558">
        <f t="shared" si="42"/>
        <v>570</v>
      </c>
    </row>
    <row r="196" spans="1:17" x14ac:dyDescent="0.25">
      <c r="A196" s="491"/>
      <c r="B196" s="515"/>
      <c r="C196" s="536"/>
      <c r="D196" s="537"/>
      <c r="E196" s="522"/>
      <c r="F196" s="215" t="s">
        <v>386</v>
      </c>
      <c r="G196" s="223">
        <f>G195*0.1</f>
        <v>3.0000000000000003E-4</v>
      </c>
      <c r="H196" s="215">
        <v>10</v>
      </c>
      <c r="I196" s="27">
        <f t="shared" si="53"/>
        <v>1.1583000000000001</v>
      </c>
      <c r="J196" s="215">
        <v>4</v>
      </c>
      <c r="K196" s="27">
        <v>279.92</v>
      </c>
      <c r="L196" s="27"/>
      <c r="M196" s="28">
        <f t="shared" si="41"/>
        <v>324.23133600000006</v>
      </c>
      <c r="N196" s="524" t="s">
        <v>399</v>
      </c>
      <c r="O196" s="526">
        <v>1</v>
      </c>
      <c r="P196" s="490">
        <v>450</v>
      </c>
      <c r="Q196" s="559">
        <f t="shared" si="42"/>
        <v>450</v>
      </c>
    </row>
    <row r="197" spans="1:17" x14ac:dyDescent="0.25">
      <c r="A197" s="491"/>
      <c r="B197" s="515"/>
      <c r="C197" s="537" t="s">
        <v>492</v>
      </c>
      <c r="D197" s="537" t="s">
        <v>493</v>
      </c>
      <c r="E197" s="522">
        <v>15</v>
      </c>
      <c r="F197" s="215" t="s">
        <v>384</v>
      </c>
      <c r="G197" s="27">
        <f>0.005*1.5</f>
        <v>7.4999999999999997E-3</v>
      </c>
      <c r="H197" s="215">
        <v>2</v>
      </c>
      <c r="I197" s="27">
        <f t="shared" si="53"/>
        <v>5.7915000000000001</v>
      </c>
      <c r="J197" s="215">
        <v>4</v>
      </c>
      <c r="K197" s="27">
        <v>279.92</v>
      </c>
      <c r="L197" s="27"/>
      <c r="M197" s="28">
        <f t="shared" si="41"/>
        <v>1621.1566800000001</v>
      </c>
      <c r="N197" s="524" t="s">
        <v>494</v>
      </c>
      <c r="O197" s="526">
        <v>2</v>
      </c>
      <c r="P197" s="489">
        <v>2800</v>
      </c>
      <c r="Q197" s="558">
        <f t="shared" si="42"/>
        <v>5600</v>
      </c>
    </row>
    <row r="198" spans="1:17" x14ac:dyDescent="0.25">
      <c r="A198" s="491"/>
      <c r="B198" s="515"/>
      <c r="C198" s="537"/>
      <c r="D198" s="537"/>
      <c r="E198" s="522"/>
      <c r="F198" s="215" t="s">
        <v>386</v>
      </c>
      <c r="G198" s="223">
        <f>G197*0.1</f>
        <v>7.5000000000000002E-4</v>
      </c>
      <c r="H198" s="215">
        <v>10</v>
      </c>
      <c r="I198" s="27">
        <f t="shared" si="53"/>
        <v>2.89575</v>
      </c>
      <c r="J198" s="215">
        <v>4</v>
      </c>
      <c r="K198" s="27">
        <v>279.92</v>
      </c>
      <c r="L198" s="27"/>
      <c r="M198" s="28">
        <f t="shared" ref="M198:M261" si="54">I198*K198</f>
        <v>810.57834000000003</v>
      </c>
      <c r="N198" s="524"/>
      <c r="O198" s="526"/>
      <c r="P198" s="490"/>
      <c r="Q198" s="559">
        <f t="shared" ref="Q198:Q261" si="55">P198*O198</f>
        <v>0</v>
      </c>
    </row>
    <row r="199" spans="1:17" x14ac:dyDescent="0.25">
      <c r="A199" s="491"/>
      <c r="B199" s="515"/>
      <c r="C199" s="537" t="s">
        <v>495</v>
      </c>
      <c r="D199" s="537" t="s">
        <v>493</v>
      </c>
      <c r="E199" s="522">
        <v>15</v>
      </c>
      <c r="F199" s="215" t="s">
        <v>384</v>
      </c>
      <c r="G199" s="27">
        <f>0.005*1.5</f>
        <v>7.4999999999999997E-3</v>
      </c>
      <c r="H199" s="215">
        <v>2</v>
      </c>
      <c r="I199" s="27">
        <f t="shared" si="53"/>
        <v>5.7915000000000001</v>
      </c>
      <c r="J199" s="215">
        <v>4</v>
      </c>
      <c r="K199" s="27">
        <v>279.92</v>
      </c>
      <c r="L199" s="27"/>
      <c r="M199" s="28">
        <f t="shared" si="54"/>
        <v>1621.1566800000001</v>
      </c>
      <c r="N199" s="524" t="s">
        <v>494</v>
      </c>
      <c r="O199" s="526">
        <v>2</v>
      </c>
      <c r="P199" s="489">
        <v>2800</v>
      </c>
      <c r="Q199" s="558">
        <f t="shared" si="55"/>
        <v>5600</v>
      </c>
    </row>
    <row r="200" spans="1:17" x14ac:dyDescent="0.25">
      <c r="A200" s="491"/>
      <c r="B200" s="515"/>
      <c r="C200" s="537"/>
      <c r="D200" s="537"/>
      <c r="E200" s="522"/>
      <c r="F200" s="215" t="s">
        <v>386</v>
      </c>
      <c r="G200" s="223">
        <f>G199*0.1</f>
        <v>7.5000000000000002E-4</v>
      </c>
      <c r="H200" s="215">
        <v>10</v>
      </c>
      <c r="I200" s="27">
        <f t="shared" si="53"/>
        <v>2.89575</v>
      </c>
      <c r="J200" s="215">
        <v>4</v>
      </c>
      <c r="K200" s="27">
        <v>279.92</v>
      </c>
      <c r="L200" s="27"/>
      <c r="M200" s="28">
        <f t="shared" si="54"/>
        <v>810.57834000000003</v>
      </c>
      <c r="N200" s="524"/>
      <c r="O200" s="526"/>
      <c r="P200" s="490"/>
      <c r="Q200" s="559">
        <f t="shared" si="55"/>
        <v>0</v>
      </c>
    </row>
    <row r="201" spans="1:17" x14ac:dyDescent="0.25">
      <c r="A201" s="491"/>
      <c r="B201" s="515"/>
      <c r="C201" s="536" t="s">
        <v>496</v>
      </c>
      <c r="D201" s="537" t="s">
        <v>493</v>
      </c>
      <c r="E201" s="522">
        <v>15</v>
      </c>
      <c r="F201" s="215" t="s">
        <v>384</v>
      </c>
      <c r="G201" s="27">
        <f>0.005*1.5</f>
        <v>7.4999999999999997E-3</v>
      </c>
      <c r="H201" s="215">
        <v>2</v>
      </c>
      <c r="I201" s="27">
        <f t="shared" si="53"/>
        <v>5.7915000000000001</v>
      </c>
      <c r="J201" s="215">
        <v>4</v>
      </c>
      <c r="K201" s="27">
        <v>279.92</v>
      </c>
      <c r="L201" s="27"/>
      <c r="M201" s="28">
        <f t="shared" si="54"/>
        <v>1621.1566800000001</v>
      </c>
      <c r="N201" s="524" t="s">
        <v>494</v>
      </c>
      <c r="O201" s="526">
        <v>2</v>
      </c>
      <c r="P201" s="489">
        <v>2800</v>
      </c>
      <c r="Q201" s="558">
        <f t="shared" si="55"/>
        <v>5600</v>
      </c>
    </row>
    <row r="202" spans="1:17" x14ac:dyDescent="0.25">
      <c r="A202" s="491"/>
      <c r="B202" s="515"/>
      <c r="C202" s="536"/>
      <c r="D202" s="537"/>
      <c r="E202" s="522"/>
      <c r="F202" s="215" t="s">
        <v>386</v>
      </c>
      <c r="G202" s="223">
        <f>G201*0.1</f>
        <v>7.5000000000000002E-4</v>
      </c>
      <c r="H202" s="215">
        <v>10</v>
      </c>
      <c r="I202" s="27">
        <f t="shared" si="53"/>
        <v>2.89575</v>
      </c>
      <c r="J202" s="215">
        <v>4</v>
      </c>
      <c r="K202" s="27">
        <v>279.92</v>
      </c>
      <c r="L202" s="27"/>
      <c r="M202" s="28">
        <f t="shared" si="54"/>
        <v>810.57834000000003</v>
      </c>
      <c r="N202" s="524"/>
      <c r="O202" s="526"/>
      <c r="P202" s="490"/>
      <c r="Q202" s="559">
        <f t="shared" si="55"/>
        <v>0</v>
      </c>
    </row>
    <row r="203" spans="1:17" x14ac:dyDescent="0.25">
      <c r="A203" s="491"/>
      <c r="B203" s="515"/>
      <c r="C203" s="537" t="s">
        <v>497</v>
      </c>
      <c r="D203" s="537" t="s">
        <v>498</v>
      </c>
      <c r="E203" s="522">
        <v>5.5</v>
      </c>
      <c r="F203" s="215" t="s">
        <v>384</v>
      </c>
      <c r="G203" s="27">
        <f>0.003*1.5</f>
        <v>4.5000000000000005E-3</v>
      </c>
      <c r="H203" s="215">
        <v>2</v>
      </c>
      <c r="I203" s="27">
        <f t="shared" si="53"/>
        <v>3.4749000000000008</v>
      </c>
      <c r="J203" s="215">
        <v>5</v>
      </c>
      <c r="K203" s="27">
        <v>297.57</v>
      </c>
      <c r="L203" s="27"/>
      <c r="M203" s="28">
        <f t="shared" si="54"/>
        <v>1034.0259930000002</v>
      </c>
      <c r="N203" s="224" t="s">
        <v>436</v>
      </c>
      <c r="O203" s="215">
        <v>1</v>
      </c>
      <c r="P203" s="215">
        <v>965</v>
      </c>
      <c r="Q203" s="29">
        <f t="shared" si="55"/>
        <v>965</v>
      </c>
    </row>
    <row r="204" spans="1:17" x14ac:dyDescent="0.25">
      <c r="A204" s="491"/>
      <c r="B204" s="515"/>
      <c r="C204" s="537"/>
      <c r="D204" s="537"/>
      <c r="E204" s="522"/>
      <c r="F204" s="215" t="s">
        <v>386</v>
      </c>
      <c r="G204" s="223">
        <f>G203*0.1</f>
        <v>4.500000000000001E-4</v>
      </c>
      <c r="H204" s="215">
        <v>10</v>
      </c>
      <c r="I204" s="27">
        <f t="shared" si="53"/>
        <v>1.7374500000000004</v>
      </c>
      <c r="J204" s="215">
        <v>5</v>
      </c>
      <c r="K204" s="27">
        <v>297.57</v>
      </c>
      <c r="L204" s="27"/>
      <c r="M204" s="28">
        <f t="shared" si="54"/>
        <v>517.0129965000001</v>
      </c>
      <c r="N204" s="224" t="s">
        <v>402</v>
      </c>
      <c r="O204" s="215">
        <v>1</v>
      </c>
      <c r="P204" s="215">
        <v>570</v>
      </c>
      <c r="Q204" s="29">
        <f t="shared" si="55"/>
        <v>570</v>
      </c>
    </row>
    <row r="205" spans="1:17" x14ac:dyDescent="0.25">
      <c r="A205" s="491"/>
      <c r="B205" s="515"/>
      <c r="C205" s="538" t="s">
        <v>499</v>
      </c>
      <c r="D205" s="534" t="s">
        <v>498</v>
      </c>
      <c r="E205" s="513">
        <v>5.5</v>
      </c>
      <c r="F205" s="215" t="s">
        <v>384</v>
      </c>
      <c r="G205" s="27">
        <f>0.003*1.5</f>
        <v>4.5000000000000005E-3</v>
      </c>
      <c r="H205" s="215">
        <v>2</v>
      </c>
      <c r="I205" s="27">
        <f t="shared" si="53"/>
        <v>3.4749000000000008</v>
      </c>
      <c r="J205" s="215">
        <v>5</v>
      </c>
      <c r="K205" s="27">
        <v>297.57</v>
      </c>
      <c r="L205" s="27"/>
      <c r="M205" s="28">
        <f t="shared" si="54"/>
        <v>1034.0259930000002</v>
      </c>
      <c r="N205" s="224" t="s">
        <v>436</v>
      </c>
      <c r="O205" s="215">
        <v>1</v>
      </c>
      <c r="P205" s="215">
        <v>965</v>
      </c>
      <c r="Q205" s="29">
        <f t="shared" si="55"/>
        <v>965</v>
      </c>
    </row>
    <row r="206" spans="1:17" x14ac:dyDescent="0.25">
      <c r="A206" s="491"/>
      <c r="B206" s="515"/>
      <c r="C206" s="538"/>
      <c r="D206" s="534"/>
      <c r="E206" s="513"/>
      <c r="F206" s="215" t="s">
        <v>386</v>
      </c>
      <c r="G206" s="223">
        <f>G205*0.1</f>
        <v>4.500000000000001E-4</v>
      </c>
      <c r="H206" s="215">
        <v>10</v>
      </c>
      <c r="I206" s="27">
        <f t="shared" si="53"/>
        <v>1.7374500000000004</v>
      </c>
      <c r="J206" s="215">
        <v>5</v>
      </c>
      <c r="K206" s="27">
        <v>297.57</v>
      </c>
      <c r="L206" s="27"/>
      <c r="M206" s="28">
        <f t="shared" si="54"/>
        <v>517.0129965000001</v>
      </c>
      <c r="N206" s="224" t="s">
        <v>402</v>
      </c>
      <c r="O206" s="215">
        <v>1</v>
      </c>
      <c r="P206" s="215">
        <v>570</v>
      </c>
      <c r="Q206" s="29">
        <f t="shared" si="55"/>
        <v>570</v>
      </c>
    </row>
    <row r="207" spans="1:17" x14ac:dyDescent="0.25">
      <c r="A207" s="491"/>
      <c r="B207" s="515"/>
      <c r="C207" s="536" t="s">
        <v>500</v>
      </c>
      <c r="D207" s="537" t="s">
        <v>498</v>
      </c>
      <c r="E207" s="522">
        <v>5.5</v>
      </c>
      <c r="F207" s="215" t="s">
        <v>384</v>
      </c>
      <c r="G207" s="27">
        <f>0.003*1.5</f>
        <v>4.5000000000000005E-3</v>
      </c>
      <c r="H207" s="215">
        <v>2</v>
      </c>
      <c r="I207" s="27">
        <f t="shared" si="53"/>
        <v>3.4749000000000008</v>
      </c>
      <c r="J207" s="215">
        <v>5</v>
      </c>
      <c r="K207" s="27">
        <v>297.57</v>
      </c>
      <c r="L207" s="27"/>
      <c r="M207" s="28">
        <f t="shared" si="54"/>
        <v>1034.0259930000002</v>
      </c>
      <c r="N207" s="224" t="s">
        <v>436</v>
      </c>
      <c r="O207" s="215">
        <v>1</v>
      </c>
      <c r="P207" s="215">
        <v>965</v>
      </c>
      <c r="Q207" s="29">
        <f t="shared" si="55"/>
        <v>965</v>
      </c>
    </row>
    <row r="208" spans="1:17" x14ac:dyDescent="0.25">
      <c r="A208" s="491"/>
      <c r="B208" s="515"/>
      <c r="C208" s="536"/>
      <c r="D208" s="537"/>
      <c r="E208" s="522"/>
      <c r="F208" s="215" t="s">
        <v>386</v>
      </c>
      <c r="G208" s="223">
        <f>G207*0.1</f>
        <v>4.500000000000001E-4</v>
      </c>
      <c r="H208" s="215">
        <v>10</v>
      </c>
      <c r="I208" s="27">
        <f t="shared" si="53"/>
        <v>1.7374500000000004</v>
      </c>
      <c r="J208" s="215">
        <v>5</v>
      </c>
      <c r="K208" s="27">
        <v>297.57</v>
      </c>
      <c r="L208" s="27"/>
      <c r="M208" s="28">
        <f t="shared" si="54"/>
        <v>517.0129965000001</v>
      </c>
      <c r="N208" s="224" t="s">
        <v>402</v>
      </c>
      <c r="O208" s="215">
        <v>1</v>
      </c>
      <c r="P208" s="215">
        <v>570</v>
      </c>
      <c r="Q208" s="29">
        <f t="shared" si="55"/>
        <v>570</v>
      </c>
    </row>
    <row r="209" spans="1:17" x14ac:dyDescent="0.25">
      <c r="A209" s="491"/>
      <c r="B209" s="515"/>
      <c r="C209" s="534" t="s">
        <v>501</v>
      </c>
      <c r="D209" s="534" t="s">
        <v>502</v>
      </c>
      <c r="E209" s="513">
        <v>1.1000000000000001</v>
      </c>
      <c r="F209" s="215" t="s">
        <v>384</v>
      </c>
      <c r="G209" s="27">
        <f>0.001*1.5</f>
        <v>1.5E-3</v>
      </c>
      <c r="H209" s="215">
        <v>2</v>
      </c>
      <c r="I209" s="27">
        <f t="shared" si="53"/>
        <v>1.1583000000000001</v>
      </c>
      <c r="J209" s="215">
        <v>4</v>
      </c>
      <c r="K209" s="27">
        <v>279.92</v>
      </c>
      <c r="L209" s="27"/>
      <c r="M209" s="28">
        <f t="shared" si="54"/>
        <v>324.23133600000006</v>
      </c>
      <c r="N209" s="224" t="s">
        <v>399</v>
      </c>
      <c r="O209" s="215">
        <v>1</v>
      </c>
      <c r="P209" s="215">
        <v>450</v>
      </c>
      <c r="Q209" s="29">
        <f t="shared" si="55"/>
        <v>450</v>
      </c>
    </row>
    <row r="210" spans="1:17" x14ac:dyDescent="0.25">
      <c r="A210" s="491"/>
      <c r="B210" s="515"/>
      <c r="C210" s="534"/>
      <c r="D210" s="534"/>
      <c r="E210" s="513"/>
      <c r="F210" s="215" t="s">
        <v>386</v>
      </c>
      <c r="G210" s="223">
        <f>G209*0.1</f>
        <v>1.5000000000000001E-4</v>
      </c>
      <c r="H210" s="215">
        <v>10</v>
      </c>
      <c r="I210" s="27">
        <f t="shared" si="53"/>
        <v>0.57915000000000005</v>
      </c>
      <c r="J210" s="215">
        <v>4</v>
      </c>
      <c r="K210" s="27">
        <v>279.92</v>
      </c>
      <c r="L210" s="27"/>
      <c r="M210" s="28">
        <f t="shared" si="54"/>
        <v>162.11566800000003</v>
      </c>
      <c r="N210" s="224" t="s">
        <v>400</v>
      </c>
      <c r="O210" s="215">
        <v>1</v>
      </c>
      <c r="P210" s="215">
        <v>345</v>
      </c>
      <c r="Q210" s="29">
        <f t="shared" si="55"/>
        <v>345</v>
      </c>
    </row>
    <row r="211" spans="1:17" x14ac:dyDescent="0.25">
      <c r="A211" s="491"/>
      <c r="B211" s="515"/>
      <c r="C211" s="534" t="s">
        <v>503</v>
      </c>
      <c r="D211" s="534" t="s">
        <v>502</v>
      </c>
      <c r="E211" s="513">
        <v>1.1000000000000001</v>
      </c>
      <c r="F211" s="215" t="s">
        <v>384</v>
      </c>
      <c r="G211" s="27">
        <f>0.001*1.5</f>
        <v>1.5E-3</v>
      </c>
      <c r="H211" s="215">
        <v>2</v>
      </c>
      <c r="I211" s="27">
        <f t="shared" si="53"/>
        <v>1.1583000000000001</v>
      </c>
      <c r="J211" s="215">
        <v>4</v>
      </c>
      <c r="K211" s="27">
        <v>279.92</v>
      </c>
      <c r="L211" s="27"/>
      <c r="M211" s="28">
        <f t="shared" si="54"/>
        <v>324.23133600000006</v>
      </c>
      <c r="N211" s="224" t="s">
        <v>399</v>
      </c>
      <c r="O211" s="215">
        <v>1</v>
      </c>
      <c r="P211" s="215">
        <v>450</v>
      </c>
      <c r="Q211" s="29">
        <f t="shared" si="55"/>
        <v>450</v>
      </c>
    </row>
    <row r="212" spans="1:17" x14ac:dyDescent="0.25">
      <c r="A212" s="491"/>
      <c r="B212" s="515"/>
      <c r="C212" s="534"/>
      <c r="D212" s="534"/>
      <c r="E212" s="513"/>
      <c r="F212" s="215" t="s">
        <v>386</v>
      </c>
      <c r="G212" s="223">
        <f>G211*0.1</f>
        <v>1.5000000000000001E-4</v>
      </c>
      <c r="H212" s="215">
        <v>10</v>
      </c>
      <c r="I212" s="27">
        <f t="shared" si="53"/>
        <v>0.57915000000000005</v>
      </c>
      <c r="J212" s="215">
        <v>4</v>
      </c>
      <c r="K212" s="27">
        <v>279.92</v>
      </c>
      <c r="L212" s="27"/>
      <c r="M212" s="28">
        <f t="shared" si="54"/>
        <v>162.11566800000003</v>
      </c>
      <c r="N212" s="224" t="s">
        <v>400</v>
      </c>
      <c r="O212" s="215">
        <v>1</v>
      </c>
      <c r="P212" s="215">
        <v>345</v>
      </c>
      <c r="Q212" s="29">
        <f t="shared" si="55"/>
        <v>345</v>
      </c>
    </row>
    <row r="213" spans="1:17" x14ac:dyDescent="0.25">
      <c r="A213" s="491"/>
      <c r="B213" s="515"/>
      <c r="C213" s="510" t="s">
        <v>504</v>
      </c>
      <c r="D213" s="515"/>
      <c r="E213" s="500"/>
      <c r="F213" s="215" t="s">
        <v>384</v>
      </c>
      <c r="G213" s="27">
        <f>0.002*3*1.6</f>
        <v>9.6000000000000009E-3</v>
      </c>
      <c r="H213" s="215">
        <v>2</v>
      </c>
      <c r="I213" s="27">
        <f>G213*H213*1.1*351</f>
        <v>7.413120000000001</v>
      </c>
      <c r="J213" s="215">
        <v>4</v>
      </c>
      <c r="K213" s="27">
        <v>279.92</v>
      </c>
      <c r="L213" s="27"/>
      <c r="M213" s="28">
        <f t="shared" si="54"/>
        <v>2075.0805504000004</v>
      </c>
      <c r="N213" s="524" t="s">
        <v>426</v>
      </c>
      <c r="O213" s="526">
        <v>1</v>
      </c>
      <c r="P213" s="489">
        <v>15</v>
      </c>
      <c r="Q213" s="558">
        <f t="shared" si="55"/>
        <v>15</v>
      </c>
    </row>
    <row r="214" spans="1:17" x14ac:dyDescent="0.25">
      <c r="A214" s="491"/>
      <c r="B214" s="515"/>
      <c r="C214" s="510"/>
      <c r="D214" s="515"/>
      <c r="E214" s="500"/>
      <c r="F214" s="215" t="s">
        <v>386</v>
      </c>
      <c r="G214" s="223">
        <f>G213*0.1</f>
        <v>9.6000000000000013E-4</v>
      </c>
      <c r="H214" s="215">
        <v>10</v>
      </c>
      <c r="I214" s="27">
        <f t="shared" ref="I214:I220" si="56">G214*H214*1.1*351</f>
        <v>3.7065600000000005</v>
      </c>
      <c r="J214" s="215">
        <v>4</v>
      </c>
      <c r="K214" s="27">
        <v>279.92</v>
      </c>
      <c r="L214" s="27"/>
      <c r="M214" s="28">
        <f t="shared" si="54"/>
        <v>1037.5402752000002</v>
      </c>
      <c r="N214" s="524"/>
      <c r="O214" s="526"/>
      <c r="P214" s="490"/>
      <c r="Q214" s="559">
        <f t="shared" si="55"/>
        <v>0</v>
      </c>
    </row>
    <row r="215" spans="1:17" ht="15.75" customHeight="1" x14ac:dyDescent="0.25">
      <c r="A215" s="491"/>
      <c r="B215" s="515"/>
      <c r="C215" s="512" t="s">
        <v>505</v>
      </c>
      <c r="D215" s="533"/>
      <c r="E215" s="513"/>
      <c r="F215" s="215" t="s">
        <v>384</v>
      </c>
      <c r="G215" s="27">
        <f>0.005*1.6</f>
        <v>8.0000000000000002E-3</v>
      </c>
      <c r="H215" s="215">
        <v>1</v>
      </c>
      <c r="I215" s="27">
        <f t="shared" si="56"/>
        <v>3.0888</v>
      </c>
      <c r="J215" s="215">
        <v>4</v>
      </c>
      <c r="K215" s="27">
        <v>279.92</v>
      </c>
      <c r="L215" s="27"/>
      <c r="M215" s="28">
        <f t="shared" si="54"/>
        <v>864.616896</v>
      </c>
      <c r="N215" s="524" t="s">
        <v>415</v>
      </c>
      <c r="O215" s="526">
        <v>4</v>
      </c>
      <c r="P215" s="489">
        <v>145.88999999999999</v>
      </c>
      <c r="Q215" s="558">
        <f t="shared" si="55"/>
        <v>583.55999999999995</v>
      </c>
    </row>
    <row r="216" spans="1:17" x14ac:dyDescent="0.25">
      <c r="A216" s="491"/>
      <c r="B216" s="515"/>
      <c r="C216" s="512"/>
      <c r="D216" s="533"/>
      <c r="E216" s="513"/>
      <c r="F216" s="215" t="s">
        <v>386</v>
      </c>
      <c r="G216" s="223">
        <f>G215*0.1</f>
        <v>8.0000000000000004E-4</v>
      </c>
      <c r="H216" s="215">
        <v>11</v>
      </c>
      <c r="I216" s="27">
        <f t="shared" si="56"/>
        <v>3.3976800000000003</v>
      </c>
      <c r="J216" s="215">
        <v>4</v>
      </c>
      <c r="K216" s="27">
        <v>279.92</v>
      </c>
      <c r="L216" s="27"/>
      <c r="M216" s="28">
        <f t="shared" si="54"/>
        <v>951.07858560000011</v>
      </c>
      <c r="N216" s="524"/>
      <c r="O216" s="526"/>
      <c r="P216" s="490"/>
      <c r="Q216" s="559">
        <f t="shared" si="55"/>
        <v>0</v>
      </c>
    </row>
    <row r="217" spans="1:17" ht="15.75" customHeight="1" x14ac:dyDescent="0.25">
      <c r="A217" s="491"/>
      <c r="B217" s="515"/>
      <c r="C217" s="512" t="s">
        <v>459</v>
      </c>
      <c r="D217" s="508"/>
      <c r="E217" s="509"/>
      <c r="F217" s="215" t="s">
        <v>384</v>
      </c>
      <c r="G217" s="27">
        <f>0.005*1.6</f>
        <v>8.0000000000000002E-3</v>
      </c>
      <c r="H217" s="215">
        <v>1</v>
      </c>
      <c r="I217" s="27">
        <f t="shared" si="56"/>
        <v>3.0888</v>
      </c>
      <c r="J217" s="215">
        <v>4</v>
      </c>
      <c r="K217" s="27">
        <v>279.92</v>
      </c>
      <c r="L217" s="27"/>
      <c r="M217" s="28">
        <f t="shared" si="54"/>
        <v>864.616896</v>
      </c>
      <c r="N217" s="524" t="s">
        <v>415</v>
      </c>
      <c r="O217" s="526">
        <v>2</v>
      </c>
      <c r="P217" s="489">
        <v>145.88999999999999</v>
      </c>
      <c r="Q217" s="558">
        <f t="shared" si="55"/>
        <v>291.77999999999997</v>
      </c>
    </row>
    <row r="218" spans="1:17" x14ac:dyDescent="0.25">
      <c r="A218" s="491"/>
      <c r="B218" s="515"/>
      <c r="C218" s="512"/>
      <c r="D218" s="508"/>
      <c r="E218" s="509"/>
      <c r="F218" s="215" t="s">
        <v>386</v>
      </c>
      <c r="G218" s="223">
        <f>G217*0.1</f>
        <v>8.0000000000000004E-4</v>
      </c>
      <c r="H218" s="215">
        <v>11</v>
      </c>
      <c r="I218" s="27">
        <f t="shared" si="56"/>
        <v>3.3976800000000003</v>
      </c>
      <c r="J218" s="215">
        <v>4</v>
      </c>
      <c r="K218" s="27">
        <v>279.92</v>
      </c>
      <c r="L218" s="27"/>
      <c r="M218" s="28">
        <f t="shared" si="54"/>
        <v>951.07858560000011</v>
      </c>
      <c r="N218" s="524"/>
      <c r="O218" s="526"/>
      <c r="P218" s="490"/>
      <c r="Q218" s="559">
        <f t="shared" si="55"/>
        <v>0</v>
      </c>
    </row>
    <row r="219" spans="1:17" x14ac:dyDescent="0.25">
      <c r="A219" s="491"/>
      <c r="B219" s="515"/>
      <c r="C219" s="499" t="s">
        <v>506</v>
      </c>
      <c r="D219" s="512" t="s">
        <v>461</v>
      </c>
      <c r="E219" s="513">
        <v>0.25</v>
      </c>
      <c r="F219" s="215" t="s">
        <v>384</v>
      </c>
      <c r="G219" s="27">
        <f>0.007*1.6</f>
        <v>1.1200000000000002E-2</v>
      </c>
      <c r="H219" s="215">
        <v>1</v>
      </c>
      <c r="I219" s="27">
        <f t="shared" si="56"/>
        <v>4.3243200000000011</v>
      </c>
      <c r="J219" s="215">
        <v>4</v>
      </c>
      <c r="K219" s="27">
        <v>279.92</v>
      </c>
      <c r="L219" s="27"/>
      <c r="M219" s="28">
        <f t="shared" si="54"/>
        <v>1210.4636544000005</v>
      </c>
      <c r="N219" s="524" t="s">
        <v>426</v>
      </c>
      <c r="O219" s="526">
        <v>1</v>
      </c>
      <c r="P219" s="489">
        <v>15</v>
      </c>
      <c r="Q219" s="558">
        <f t="shared" si="55"/>
        <v>15</v>
      </c>
    </row>
    <row r="220" spans="1:17" x14ac:dyDescent="0.25">
      <c r="A220" s="491"/>
      <c r="B220" s="515"/>
      <c r="C220" s="499"/>
      <c r="D220" s="512"/>
      <c r="E220" s="513"/>
      <c r="F220" s="215" t="s">
        <v>386</v>
      </c>
      <c r="G220" s="223">
        <f>G219*0.1</f>
        <v>1.1200000000000001E-3</v>
      </c>
      <c r="H220" s="215">
        <v>11</v>
      </c>
      <c r="I220" s="27">
        <f t="shared" si="56"/>
        <v>4.7567520000000005</v>
      </c>
      <c r="J220" s="215">
        <v>4</v>
      </c>
      <c r="K220" s="27">
        <v>279.92</v>
      </c>
      <c r="L220" s="27"/>
      <c r="M220" s="28">
        <f t="shared" si="54"/>
        <v>1331.5100198400003</v>
      </c>
      <c r="N220" s="524"/>
      <c r="O220" s="526"/>
      <c r="P220" s="490"/>
      <c r="Q220" s="559">
        <f t="shared" si="55"/>
        <v>0</v>
      </c>
    </row>
    <row r="221" spans="1:17" ht="15.75" customHeight="1" x14ac:dyDescent="0.25">
      <c r="A221" s="491"/>
      <c r="B221" s="515"/>
      <c r="C221" s="504" t="s">
        <v>417</v>
      </c>
      <c r="D221" s="515"/>
      <c r="E221" s="500"/>
      <c r="F221" s="215" t="s">
        <v>384</v>
      </c>
      <c r="G221" s="27">
        <f>0.004*0.4*1.6</f>
        <v>2.5600000000000002E-3</v>
      </c>
      <c r="H221" s="215">
        <v>1</v>
      </c>
      <c r="I221" s="27">
        <f>G221*H221*1.1*351</f>
        <v>0.98841600000000007</v>
      </c>
      <c r="J221" s="215">
        <v>4</v>
      </c>
      <c r="K221" s="27">
        <v>279.92</v>
      </c>
      <c r="L221" s="27"/>
      <c r="M221" s="28">
        <f t="shared" si="54"/>
        <v>276.67740672000002</v>
      </c>
      <c r="N221" s="524" t="s">
        <v>418</v>
      </c>
      <c r="O221" s="526">
        <v>4</v>
      </c>
      <c r="P221" s="489">
        <v>6897</v>
      </c>
      <c r="Q221" s="558">
        <f t="shared" si="55"/>
        <v>27588</v>
      </c>
    </row>
    <row r="222" spans="1:17" x14ac:dyDescent="0.25">
      <c r="A222" s="491"/>
      <c r="B222" s="515"/>
      <c r="C222" s="504"/>
      <c r="D222" s="515"/>
      <c r="E222" s="500"/>
      <c r="F222" s="215" t="s">
        <v>386</v>
      </c>
      <c r="G222" s="223">
        <f>G221*0.1</f>
        <v>2.5600000000000004E-4</v>
      </c>
      <c r="H222" s="215">
        <v>11</v>
      </c>
      <c r="I222" s="27">
        <f t="shared" ref="I222" si="57">G222*H222*1.1*351</f>
        <v>1.0872576000000003</v>
      </c>
      <c r="J222" s="215">
        <v>4</v>
      </c>
      <c r="K222" s="27">
        <v>279.92</v>
      </c>
      <c r="L222" s="27"/>
      <c r="M222" s="28">
        <f t="shared" si="54"/>
        <v>304.34514739200011</v>
      </c>
      <c r="N222" s="524"/>
      <c r="O222" s="526"/>
      <c r="P222" s="490"/>
      <c r="Q222" s="559">
        <f t="shared" si="55"/>
        <v>0</v>
      </c>
    </row>
    <row r="223" spans="1:17" ht="15.75" customHeight="1" x14ac:dyDescent="0.25">
      <c r="A223" s="491"/>
      <c r="B223" s="515"/>
      <c r="C223" s="504" t="s">
        <v>419</v>
      </c>
      <c r="D223" s="515"/>
      <c r="E223" s="500"/>
      <c r="F223" s="215" t="s">
        <v>384</v>
      </c>
      <c r="G223" s="27">
        <f>0.004*0.9*1.6</f>
        <v>5.7600000000000012E-3</v>
      </c>
      <c r="H223" s="215">
        <v>1</v>
      </c>
      <c r="I223" s="27">
        <f>G223*H223*1.1*351</f>
        <v>2.2239360000000006</v>
      </c>
      <c r="J223" s="215">
        <v>4</v>
      </c>
      <c r="K223" s="27">
        <v>279.92</v>
      </c>
      <c r="L223" s="27"/>
      <c r="M223" s="28">
        <f t="shared" si="54"/>
        <v>622.52416512000025</v>
      </c>
      <c r="N223" s="524" t="s">
        <v>420</v>
      </c>
      <c r="O223" s="526">
        <v>18</v>
      </c>
      <c r="P223" s="489">
        <v>219.92</v>
      </c>
      <c r="Q223" s="558">
        <f t="shared" si="55"/>
        <v>3958.56</v>
      </c>
    </row>
    <row r="224" spans="1:17" x14ac:dyDescent="0.25">
      <c r="A224" s="491"/>
      <c r="B224" s="515"/>
      <c r="C224" s="504"/>
      <c r="D224" s="515"/>
      <c r="E224" s="500"/>
      <c r="F224" s="215" t="s">
        <v>386</v>
      </c>
      <c r="G224" s="223">
        <f>G223*0.1</f>
        <v>5.7600000000000012E-4</v>
      </c>
      <c r="H224" s="215">
        <v>11</v>
      </c>
      <c r="I224" s="27">
        <f t="shared" ref="I224" si="58">G224*H224*1.1*351</f>
        <v>2.4463296000000008</v>
      </c>
      <c r="J224" s="215">
        <v>4</v>
      </c>
      <c r="K224" s="27">
        <v>279.92</v>
      </c>
      <c r="L224" s="27"/>
      <c r="M224" s="28">
        <f t="shared" si="54"/>
        <v>684.77658163200022</v>
      </c>
      <c r="N224" s="524"/>
      <c r="O224" s="526"/>
      <c r="P224" s="490"/>
      <c r="Q224" s="559">
        <f t="shared" si="55"/>
        <v>0</v>
      </c>
    </row>
    <row r="225" spans="1:17" x14ac:dyDescent="0.25">
      <c r="A225" s="491"/>
      <c r="B225" s="515"/>
      <c r="C225" s="510" t="s">
        <v>424</v>
      </c>
      <c r="D225" s="507"/>
      <c r="E225" s="507"/>
      <c r="F225" s="215" t="s">
        <v>384</v>
      </c>
      <c r="G225" s="27">
        <f>0.028*0.236</f>
        <v>6.6080000000000002E-3</v>
      </c>
      <c r="H225" s="215">
        <v>1</v>
      </c>
      <c r="I225" s="27">
        <f>G225*H225*1.1*351</f>
        <v>2.5513488000000004</v>
      </c>
      <c r="J225" s="215">
        <v>4</v>
      </c>
      <c r="K225" s="27">
        <v>279.92</v>
      </c>
      <c r="L225" s="27"/>
      <c r="M225" s="28">
        <f t="shared" si="54"/>
        <v>714.1735560960002</v>
      </c>
      <c r="N225" s="37" t="s">
        <v>314</v>
      </c>
      <c r="O225" s="31">
        <v>1</v>
      </c>
      <c r="P225" s="215">
        <v>102</v>
      </c>
      <c r="Q225" s="29">
        <f t="shared" si="55"/>
        <v>102</v>
      </c>
    </row>
    <row r="226" spans="1:17" x14ac:dyDescent="0.25">
      <c r="A226" s="491"/>
      <c r="B226" s="515"/>
      <c r="C226" s="502"/>
      <c r="D226" s="507"/>
      <c r="E226" s="507"/>
      <c r="F226" s="215" t="s">
        <v>386</v>
      </c>
      <c r="G226" s="223">
        <f>G225*0.1</f>
        <v>6.6080000000000002E-4</v>
      </c>
      <c r="H226" s="215">
        <v>11</v>
      </c>
      <c r="I226" s="27">
        <f t="shared" ref="I226" si="59">G226*H226*1.1*351</f>
        <v>2.8064836800000004</v>
      </c>
      <c r="J226" s="215">
        <v>4</v>
      </c>
      <c r="K226" s="27">
        <v>279.92</v>
      </c>
      <c r="L226" s="27"/>
      <c r="M226" s="28">
        <f t="shared" si="54"/>
        <v>785.59091170560009</v>
      </c>
      <c r="N226" s="37" t="s">
        <v>426</v>
      </c>
      <c r="O226" s="31">
        <v>1</v>
      </c>
      <c r="P226" s="215">
        <v>15</v>
      </c>
      <c r="Q226" s="29">
        <f t="shared" si="55"/>
        <v>15</v>
      </c>
    </row>
    <row r="227" spans="1:17" x14ac:dyDescent="0.25">
      <c r="A227" s="491"/>
      <c r="B227" s="515"/>
      <c r="C227" s="510" t="s">
        <v>428</v>
      </c>
      <c r="D227" s="507"/>
      <c r="E227" s="507"/>
      <c r="F227" s="215" t="s">
        <v>384</v>
      </c>
      <c r="G227" s="27">
        <f>0.048*0.21</f>
        <v>1.008E-2</v>
      </c>
      <c r="H227" s="215">
        <v>1</v>
      </c>
      <c r="I227" s="27">
        <f>G227*H227*1.1*351</f>
        <v>3.8918880000000002</v>
      </c>
      <c r="J227" s="215">
        <v>4</v>
      </c>
      <c r="K227" s="27">
        <v>279.92</v>
      </c>
      <c r="L227" s="27"/>
      <c r="M227" s="28">
        <f t="shared" si="54"/>
        <v>1089.4172889600002</v>
      </c>
      <c r="N227" s="37" t="s">
        <v>314</v>
      </c>
      <c r="O227" s="31">
        <v>1</v>
      </c>
      <c r="P227" s="215">
        <v>102</v>
      </c>
      <c r="Q227" s="29">
        <f t="shared" si="55"/>
        <v>102</v>
      </c>
    </row>
    <row r="228" spans="1:17" x14ac:dyDescent="0.25">
      <c r="A228" s="491"/>
      <c r="B228" s="515"/>
      <c r="C228" s="502"/>
      <c r="D228" s="507"/>
      <c r="E228" s="507"/>
      <c r="F228" s="215" t="s">
        <v>386</v>
      </c>
      <c r="G228" s="223">
        <f>G227*0.1</f>
        <v>1.008E-3</v>
      </c>
      <c r="H228" s="215">
        <v>11</v>
      </c>
      <c r="I228" s="27">
        <f t="shared" ref="I228" si="60">G228*H228*1.1*351</f>
        <v>4.281076800000001</v>
      </c>
      <c r="J228" s="215">
        <v>4</v>
      </c>
      <c r="K228" s="27">
        <v>279.92</v>
      </c>
      <c r="L228" s="27"/>
      <c r="M228" s="28">
        <f t="shared" si="54"/>
        <v>1198.3590178560003</v>
      </c>
      <c r="N228" s="37" t="s">
        <v>426</v>
      </c>
      <c r="O228" s="31">
        <v>1</v>
      </c>
      <c r="P228" s="215">
        <v>15</v>
      </c>
      <c r="Q228" s="29">
        <f t="shared" si="55"/>
        <v>15</v>
      </c>
    </row>
    <row r="229" spans="1:17" x14ac:dyDescent="0.25">
      <c r="A229" s="491"/>
      <c r="B229" s="515"/>
      <c r="C229" s="502" t="s">
        <v>429</v>
      </c>
      <c r="D229" s="507"/>
      <c r="E229" s="507"/>
      <c r="F229" s="215" t="s">
        <v>384</v>
      </c>
      <c r="G229" s="27">
        <f>0.04*0.135</f>
        <v>5.4000000000000003E-3</v>
      </c>
      <c r="H229" s="215">
        <v>1</v>
      </c>
      <c r="I229" s="27">
        <f>G229*H229*1.1*351</f>
        <v>2.0849400000000005</v>
      </c>
      <c r="J229" s="215">
        <v>4</v>
      </c>
      <c r="K229" s="27">
        <v>279.92</v>
      </c>
      <c r="L229" s="27"/>
      <c r="M229" s="28">
        <f t="shared" si="54"/>
        <v>583.61640480000017</v>
      </c>
      <c r="N229" s="37" t="s">
        <v>314</v>
      </c>
      <c r="O229" s="31">
        <v>1</v>
      </c>
      <c r="P229" s="215">
        <v>102</v>
      </c>
      <c r="Q229" s="29">
        <f t="shared" si="55"/>
        <v>102</v>
      </c>
    </row>
    <row r="230" spans="1:17" x14ac:dyDescent="0.25">
      <c r="A230" s="491"/>
      <c r="B230" s="515"/>
      <c r="C230" s="502"/>
      <c r="D230" s="507"/>
      <c r="E230" s="507"/>
      <c r="F230" s="215" t="s">
        <v>386</v>
      </c>
      <c r="G230" s="223">
        <f>G229*0.1</f>
        <v>5.4000000000000001E-4</v>
      </c>
      <c r="H230" s="215">
        <v>11</v>
      </c>
      <c r="I230" s="27">
        <f t="shared" ref="I230" si="61">G230*H230*1.1*351</f>
        <v>2.2934340000000004</v>
      </c>
      <c r="J230" s="215">
        <v>4</v>
      </c>
      <c r="K230" s="27">
        <v>279.92</v>
      </c>
      <c r="L230" s="27"/>
      <c r="M230" s="28">
        <f t="shared" si="54"/>
        <v>641.97804528000017</v>
      </c>
      <c r="N230" s="37" t="s">
        <v>426</v>
      </c>
      <c r="O230" s="31">
        <v>1</v>
      </c>
      <c r="P230" s="215">
        <v>15</v>
      </c>
      <c r="Q230" s="29">
        <f t="shared" si="55"/>
        <v>15</v>
      </c>
    </row>
    <row r="231" spans="1:17" x14ac:dyDescent="0.25">
      <c r="A231" s="491"/>
      <c r="B231" s="515"/>
      <c r="C231" s="502" t="s">
        <v>507</v>
      </c>
      <c r="D231" s="507"/>
      <c r="E231" s="507"/>
      <c r="F231" s="215" t="s">
        <v>384</v>
      </c>
      <c r="G231" s="27">
        <f>0.018*1.6</f>
        <v>2.8799999999999999E-2</v>
      </c>
      <c r="H231" s="215">
        <v>1</v>
      </c>
      <c r="I231" s="27">
        <f>G231*H231*1.1*351</f>
        <v>11.119680000000001</v>
      </c>
      <c r="J231" s="215">
        <v>4</v>
      </c>
      <c r="K231" s="27">
        <v>279.92</v>
      </c>
      <c r="L231" s="27"/>
      <c r="M231" s="28">
        <f t="shared" si="54"/>
        <v>3112.6208256000004</v>
      </c>
      <c r="N231" s="524" t="s">
        <v>426</v>
      </c>
      <c r="O231" s="526">
        <v>1</v>
      </c>
      <c r="P231" s="489">
        <v>15</v>
      </c>
      <c r="Q231" s="558">
        <f t="shared" si="55"/>
        <v>15</v>
      </c>
    </row>
    <row r="232" spans="1:17" x14ac:dyDescent="0.25">
      <c r="A232" s="491"/>
      <c r="B232" s="515"/>
      <c r="C232" s="502"/>
      <c r="D232" s="507"/>
      <c r="E232" s="507"/>
      <c r="F232" s="215" t="s">
        <v>386</v>
      </c>
      <c r="G232" s="223">
        <f>G231*0.1</f>
        <v>2.8800000000000002E-3</v>
      </c>
      <c r="H232" s="215">
        <v>11</v>
      </c>
      <c r="I232" s="27">
        <f t="shared" ref="I232" si="62">G232*H232*1.1*351</f>
        <v>12.231648000000002</v>
      </c>
      <c r="J232" s="215">
        <v>4</v>
      </c>
      <c r="K232" s="27">
        <v>279.92</v>
      </c>
      <c r="L232" s="27"/>
      <c r="M232" s="28">
        <f t="shared" si="54"/>
        <v>3423.8829081600006</v>
      </c>
      <c r="N232" s="524"/>
      <c r="O232" s="526"/>
      <c r="P232" s="490"/>
      <c r="Q232" s="559">
        <f t="shared" si="55"/>
        <v>0</v>
      </c>
    </row>
    <row r="233" spans="1:17" x14ac:dyDescent="0.25">
      <c r="A233" s="491"/>
      <c r="B233" s="515"/>
      <c r="C233" s="502" t="s">
        <v>487</v>
      </c>
      <c r="D233" s="507"/>
      <c r="E233" s="507"/>
      <c r="F233" s="215" t="s">
        <v>384</v>
      </c>
      <c r="G233" s="27">
        <f>0.014*1.6</f>
        <v>2.2400000000000003E-2</v>
      </c>
      <c r="H233" s="215">
        <v>1</v>
      </c>
      <c r="I233" s="27">
        <f>G233*H233*1.1*351</f>
        <v>8.6486400000000021</v>
      </c>
      <c r="J233" s="215">
        <v>4</v>
      </c>
      <c r="K233" s="27">
        <v>279.92</v>
      </c>
      <c r="L233" s="27"/>
      <c r="M233" s="28">
        <f t="shared" si="54"/>
        <v>2420.9273088000009</v>
      </c>
      <c r="N233" s="524" t="s">
        <v>426</v>
      </c>
      <c r="O233" s="526">
        <v>3</v>
      </c>
      <c r="P233" s="489">
        <v>15</v>
      </c>
      <c r="Q233" s="558">
        <f t="shared" si="55"/>
        <v>45</v>
      </c>
    </row>
    <row r="234" spans="1:17" x14ac:dyDescent="0.25">
      <c r="A234" s="491"/>
      <c r="B234" s="515"/>
      <c r="C234" s="502"/>
      <c r="D234" s="507"/>
      <c r="E234" s="507"/>
      <c r="F234" s="215" t="s">
        <v>386</v>
      </c>
      <c r="G234" s="223">
        <f>G233*0.1</f>
        <v>2.2400000000000002E-3</v>
      </c>
      <c r="H234" s="215">
        <v>11</v>
      </c>
      <c r="I234" s="27">
        <f t="shared" ref="I234" si="63">G234*H234*1.1*351</f>
        <v>9.5135040000000011</v>
      </c>
      <c r="J234" s="215">
        <v>4</v>
      </c>
      <c r="K234" s="27">
        <v>279.92</v>
      </c>
      <c r="L234" s="27"/>
      <c r="M234" s="28">
        <f t="shared" si="54"/>
        <v>2663.0200396800005</v>
      </c>
      <c r="N234" s="524"/>
      <c r="O234" s="526"/>
      <c r="P234" s="490"/>
      <c r="Q234" s="559">
        <f t="shared" si="55"/>
        <v>0</v>
      </c>
    </row>
    <row r="235" spans="1:17" x14ac:dyDescent="0.25">
      <c r="A235" s="491"/>
      <c r="B235" s="515"/>
      <c r="C235" s="512" t="s">
        <v>464</v>
      </c>
      <c r="D235" s="508"/>
      <c r="E235" s="509"/>
      <c r="F235" s="215" t="s">
        <v>384</v>
      </c>
      <c r="G235" s="27">
        <f>0.012*0.105</f>
        <v>1.2600000000000001E-3</v>
      </c>
      <c r="H235" s="215">
        <v>1</v>
      </c>
      <c r="I235" s="27">
        <f>G235*H235*1.1*351</f>
        <v>0.48648600000000003</v>
      </c>
      <c r="J235" s="215">
        <v>4</v>
      </c>
      <c r="K235" s="27">
        <v>279.92</v>
      </c>
      <c r="L235" s="27"/>
      <c r="M235" s="28">
        <f t="shared" si="54"/>
        <v>136.17716112000002</v>
      </c>
      <c r="N235" s="524"/>
      <c r="O235" s="526"/>
      <c r="P235" s="489"/>
      <c r="Q235" s="558"/>
    </row>
    <row r="236" spans="1:17" x14ac:dyDescent="0.25">
      <c r="A236" s="491"/>
      <c r="B236" s="515"/>
      <c r="C236" s="512"/>
      <c r="D236" s="508"/>
      <c r="E236" s="509"/>
      <c r="F236" s="215" t="s">
        <v>386</v>
      </c>
      <c r="G236" s="223">
        <f>G235*0.1</f>
        <v>1.26E-4</v>
      </c>
      <c r="H236" s="215">
        <v>11</v>
      </c>
      <c r="I236" s="27">
        <f t="shared" ref="I236:I262" si="64">G236*H236*1.1*351</f>
        <v>0.53513460000000013</v>
      </c>
      <c r="J236" s="215">
        <v>4</v>
      </c>
      <c r="K236" s="27">
        <v>279.92</v>
      </c>
      <c r="L236" s="27"/>
      <c r="M236" s="28">
        <f t="shared" si="54"/>
        <v>149.79487723200003</v>
      </c>
      <c r="N236" s="524" t="s">
        <v>488</v>
      </c>
      <c r="O236" s="526">
        <v>1</v>
      </c>
      <c r="P236" s="490">
        <v>173</v>
      </c>
      <c r="Q236" s="559"/>
    </row>
    <row r="237" spans="1:17" x14ac:dyDescent="0.25">
      <c r="A237" s="491">
        <v>5</v>
      </c>
      <c r="B237" s="515" t="s">
        <v>1028</v>
      </c>
      <c r="C237" s="534" t="s">
        <v>382</v>
      </c>
      <c r="D237" s="534" t="s">
        <v>508</v>
      </c>
      <c r="E237" s="513">
        <v>18.5</v>
      </c>
      <c r="F237" s="215" t="s">
        <v>384</v>
      </c>
      <c r="G237" s="27">
        <f>0.006*1.5</f>
        <v>9.0000000000000011E-3</v>
      </c>
      <c r="H237" s="215">
        <v>2</v>
      </c>
      <c r="I237" s="27">
        <f t="shared" si="64"/>
        <v>6.9498000000000015</v>
      </c>
      <c r="J237" s="215">
        <v>4</v>
      </c>
      <c r="K237" s="27">
        <v>279.92</v>
      </c>
      <c r="L237" s="27"/>
      <c r="M237" s="28">
        <f t="shared" si="54"/>
        <v>1945.3880160000006</v>
      </c>
      <c r="N237" s="524" t="s">
        <v>468</v>
      </c>
      <c r="O237" s="526">
        <v>2</v>
      </c>
      <c r="P237" s="489">
        <v>1175</v>
      </c>
      <c r="Q237" s="558">
        <f t="shared" si="55"/>
        <v>2350</v>
      </c>
    </row>
    <row r="238" spans="1:17" x14ac:dyDescent="0.25">
      <c r="A238" s="491"/>
      <c r="B238" s="515"/>
      <c r="C238" s="534"/>
      <c r="D238" s="534"/>
      <c r="E238" s="513"/>
      <c r="F238" s="215" t="s">
        <v>386</v>
      </c>
      <c r="G238" s="223">
        <f>G237*0.1</f>
        <v>9.0000000000000019E-4</v>
      </c>
      <c r="H238" s="215">
        <v>10</v>
      </c>
      <c r="I238" s="27">
        <f t="shared" si="64"/>
        <v>3.4749000000000008</v>
      </c>
      <c r="J238" s="215">
        <v>4</v>
      </c>
      <c r="K238" s="27">
        <v>279.92</v>
      </c>
      <c r="L238" s="27"/>
      <c r="M238" s="28">
        <f t="shared" si="54"/>
        <v>972.69400800000028</v>
      </c>
      <c r="N238" s="524"/>
      <c r="O238" s="526"/>
      <c r="P238" s="490"/>
      <c r="Q238" s="559">
        <f t="shared" si="55"/>
        <v>0</v>
      </c>
    </row>
    <row r="239" spans="1:17" x14ac:dyDescent="0.25">
      <c r="A239" s="491"/>
      <c r="B239" s="515"/>
      <c r="C239" s="534" t="s">
        <v>387</v>
      </c>
      <c r="D239" s="534" t="s">
        <v>509</v>
      </c>
      <c r="E239" s="513">
        <v>45</v>
      </c>
      <c r="F239" s="215" t="s">
        <v>384</v>
      </c>
      <c r="G239" s="27">
        <f>0.01*1.5</f>
        <v>1.4999999999999999E-2</v>
      </c>
      <c r="H239" s="215">
        <v>2</v>
      </c>
      <c r="I239" s="27">
        <f t="shared" si="64"/>
        <v>11.583</v>
      </c>
      <c r="J239" s="215">
        <v>4</v>
      </c>
      <c r="K239" s="27">
        <v>279.92</v>
      </c>
      <c r="L239" s="27"/>
      <c r="M239" s="28">
        <f t="shared" si="54"/>
        <v>3242.3133600000001</v>
      </c>
      <c r="N239" s="524" t="s">
        <v>394</v>
      </c>
      <c r="O239" s="526">
        <v>2</v>
      </c>
      <c r="P239" s="489">
        <v>2315</v>
      </c>
      <c r="Q239" s="558">
        <f t="shared" si="55"/>
        <v>4630</v>
      </c>
    </row>
    <row r="240" spans="1:17" x14ac:dyDescent="0.25">
      <c r="A240" s="491"/>
      <c r="B240" s="515"/>
      <c r="C240" s="534"/>
      <c r="D240" s="534"/>
      <c r="E240" s="513"/>
      <c r="F240" s="215" t="s">
        <v>386</v>
      </c>
      <c r="G240" s="223">
        <f>G239*0.1</f>
        <v>1.5E-3</v>
      </c>
      <c r="H240" s="215">
        <v>10</v>
      </c>
      <c r="I240" s="27">
        <f t="shared" si="64"/>
        <v>5.7915000000000001</v>
      </c>
      <c r="J240" s="215">
        <v>4</v>
      </c>
      <c r="K240" s="27">
        <v>279.92</v>
      </c>
      <c r="L240" s="27"/>
      <c r="M240" s="28">
        <f t="shared" si="54"/>
        <v>1621.1566800000001</v>
      </c>
      <c r="N240" s="524"/>
      <c r="O240" s="526"/>
      <c r="P240" s="490"/>
      <c r="Q240" s="559">
        <f t="shared" si="55"/>
        <v>0</v>
      </c>
    </row>
    <row r="241" spans="1:17" x14ac:dyDescent="0.25">
      <c r="A241" s="491"/>
      <c r="B241" s="515"/>
      <c r="C241" s="534" t="s">
        <v>492</v>
      </c>
      <c r="D241" s="534" t="s">
        <v>510</v>
      </c>
      <c r="E241" s="513">
        <v>75</v>
      </c>
      <c r="F241" s="215" t="s">
        <v>384</v>
      </c>
      <c r="G241" s="27">
        <f>0.011*1.5</f>
        <v>1.6500000000000001E-2</v>
      </c>
      <c r="H241" s="215">
        <v>2</v>
      </c>
      <c r="I241" s="27">
        <f t="shared" si="64"/>
        <v>12.741300000000003</v>
      </c>
      <c r="J241" s="215">
        <v>4</v>
      </c>
      <c r="K241" s="27">
        <v>279.92</v>
      </c>
      <c r="L241" s="27"/>
      <c r="M241" s="28">
        <f t="shared" si="54"/>
        <v>3566.5446960000008</v>
      </c>
      <c r="N241" s="524" t="s">
        <v>448</v>
      </c>
      <c r="O241" s="526">
        <v>2</v>
      </c>
      <c r="P241" s="489">
        <v>13165</v>
      </c>
      <c r="Q241" s="558">
        <f t="shared" si="55"/>
        <v>26330</v>
      </c>
    </row>
    <row r="242" spans="1:17" x14ac:dyDescent="0.25">
      <c r="A242" s="491"/>
      <c r="B242" s="515"/>
      <c r="C242" s="534"/>
      <c r="D242" s="534"/>
      <c r="E242" s="513"/>
      <c r="F242" s="215" t="s">
        <v>386</v>
      </c>
      <c r="G242" s="223">
        <f>G241*0.1</f>
        <v>1.6500000000000002E-3</v>
      </c>
      <c r="H242" s="215">
        <v>10</v>
      </c>
      <c r="I242" s="27">
        <f t="shared" si="64"/>
        <v>6.3706500000000013</v>
      </c>
      <c r="J242" s="215">
        <v>4</v>
      </c>
      <c r="K242" s="27">
        <v>279.92</v>
      </c>
      <c r="L242" s="27"/>
      <c r="M242" s="28">
        <f t="shared" si="54"/>
        <v>1783.2723480000004</v>
      </c>
      <c r="N242" s="524"/>
      <c r="O242" s="526"/>
      <c r="P242" s="490"/>
      <c r="Q242" s="559">
        <f t="shared" si="55"/>
        <v>0</v>
      </c>
    </row>
    <row r="243" spans="1:17" x14ac:dyDescent="0.25">
      <c r="A243" s="491"/>
      <c r="B243" s="515"/>
      <c r="C243" s="534" t="s">
        <v>495</v>
      </c>
      <c r="D243" s="534" t="s">
        <v>510</v>
      </c>
      <c r="E243" s="513">
        <v>75</v>
      </c>
      <c r="F243" s="215" t="s">
        <v>384</v>
      </c>
      <c r="G243" s="27">
        <f>0.011*1.5</f>
        <v>1.6500000000000001E-2</v>
      </c>
      <c r="H243" s="215">
        <v>2</v>
      </c>
      <c r="I243" s="27">
        <f t="shared" si="64"/>
        <v>12.741300000000003</v>
      </c>
      <c r="J243" s="215">
        <v>4</v>
      </c>
      <c r="K243" s="27">
        <v>279.92</v>
      </c>
      <c r="L243" s="27"/>
      <c r="M243" s="28">
        <f t="shared" si="54"/>
        <v>3566.5446960000008</v>
      </c>
      <c r="N243" s="524" t="s">
        <v>448</v>
      </c>
      <c r="O243" s="526">
        <v>2</v>
      </c>
      <c r="P243" s="489">
        <v>13165</v>
      </c>
      <c r="Q243" s="558">
        <f t="shared" si="55"/>
        <v>26330</v>
      </c>
    </row>
    <row r="244" spans="1:17" x14ac:dyDescent="0.25">
      <c r="A244" s="491"/>
      <c r="B244" s="515"/>
      <c r="C244" s="534"/>
      <c r="D244" s="534"/>
      <c r="E244" s="513"/>
      <c r="F244" s="215" t="s">
        <v>386</v>
      </c>
      <c r="G244" s="223">
        <f>G243*0.1</f>
        <v>1.6500000000000002E-3</v>
      </c>
      <c r="H244" s="215">
        <v>10</v>
      </c>
      <c r="I244" s="27">
        <f t="shared" si="64"/>
        <v>6.3706500000000013</v>
      </c>
      <c r="J244" s="215">
        <v>4</v>
      </c>
      <c r="K244" s="27">
        <v>279.92</v>
      </c>
      <c r="L244" s="27"/>
      <c r="M244" s="28">
        <f t="shared" si="54"/>
        <v>1783.2723480000004</v>
      </c>
      <c r="N244" s="524"/>
      <c r="O244" s="526"/>
      <c r="P244" s="490"/>
      <c r="Q244" s="559">
        <f t="shared" si="55"/>
        <v>0</v>
      </c>
    </row>
    <row r="245" spans="1:17" x14ac:dyDescent="0.25">
      <c r="A245" s="491"/>
      <c r="B245" s="515"/>
      <c r="C245" s="534" t="s">
        <v>511</v>
      </c>
      <c r="D245" s="534" t="s">
        <v>510</v>
      </c>
      <c r="E245" s="513">
        <v>75</v>
      </c>
      <c r="F245" s="215" t="s">
        <v>384</v>
      </c>
      <c r="G245" s="27">
        <f>0.011*1.5</f>
        <v>1.6500000000000001E-2</v>
      </c>
      <c r="H245" s="215">
        <v>2</v>
      </c>
      <c r="I245" s="27">
        <f t="shared" si="64"/>
        <v>12.741300000000003</v>
      </c>
      <c r="J245" s="215">
        <v>4</v>
      </c>
      <c r="K245" s="27">
        <v>279.92</v>
      </c>
      <c r="L245" s="27"/>
      <c r="M245" s="28">
        <f t="shared" si="54"/>
        <v>3566.5446960000008</v>
      </c>
      <c r="N245" s="524" t="s">
        <v>448</v>
      </c>
      <c r="O245" s="526">
        <v>2</v>
      </c>
      <c r="P245" s="489">
        <v>13165</v>
      </c>
      <c r="Q245" s="558">
        <f t="shared" si="55"/>
        <v>26330</v>
      </c>
    </row>
    <row r="246" spans="1:17" x14ac:dyDescent="0.25">
      <c r="A246" s="491"/>
      <c r="B246" s="515"/>
      <c r="C246" s="534"/>
      <c r="D246" s="534"/>
      <c r="E246" s="513"/>
      <c r="F246" s="215" t="s">
        <v>386</v>
      </c>
      <c r="G246" s="223">
        <f>G245*0.1</f>
        <v>1.6500000000000002E-3</v>
      </c>
      <c r="H246" s="215">
        <v>10</v>
      </c>
      <c r="I246" s="27">
        <f t="shared" si="64"/>
        <v>6.3706500000000013</v>
      </c>
      <c r="J246" s="215">
        <v>4</v>
      </c>
      <c r="K246" s="27">
        <v>279.92</v>
      </c>
      <c r="L246" s="27"/>
      <c r="M246" s="28">
        <f t="shared" si="54"/>
        <v>1783.2723480000004</v>
      </c>
      <c r="N246" s="524"/>
      <c r="O246" s="526"/>
      <c r="P246" s="490"/>
      <c r="Q246" s="559">
        <f t="shared" si="55"/>
        <v>0</v>
      </c>
    </row>
    <row r="247" spans="1:17" x14ac:dyDescent="0.25">
      <c r="A247" s="491"/>
      <c r="B247" s="515"/>
      <c r="C247" s="534" t="s">
        <v>512</v>
      </c>
      <c r="D247" s="534" t="s">
        <v>510</v>
      </c>
      <c r="E247" s="513">
        <v>75</v>
      </c>
      <c r="F247" s="215" t="s">
        <v>384</v>
      </c>
      <c r="G247" s="27">
        <f>0.011*1.5</f>
        <v>1.6500000000000001E-2</v>
      </c>
      <c r="H247" s="215">
        <v>2</v>
      </c>
      <c r="I247" s="27">
        <f t="shared" si="64"/>
        <v>12.741300000000003</v>
      </c>
      <c r="J247" s="215">
        <v>4</v>
      </c>
      <c r="K247" s="27">
        <v>279.92</v>
      </c>
      <c r="L247" s="27"/>
      <c r="M247" s="28">
        <f t="shared" si="54"/>
        <v>3566.5446960000008</v>
      </c>
      <c r="N247" s="524" t="s">
        <v>448</v>
      </c>
      <c r="O247" s="526">
        <v>2</v>
      </c>
      <c r="P247" s="489">
        <v>13165</v>
      </c>
      <c r="Q247" s="558">
        <f t="shared" si="55"/>
        <v>26330</v>
      </c>
    </row>
    <row r="248" spans="1:17" x14ac:dyDescent="0.25">
      <c r="A248" s="491"/>
      <c r="B248" s="515"/>
      <c r="C248" s="534"/>
      <c r="D248" s="534"/>
      <c r="E248" s="513"/>
      <c r="F248" s="215" t="s">
        <v>386</v>
      </c>
      <c r="G248" s="223">
        <f>G247*0.1</f>
        <v>1.6500000000000002E-3</v>
      </c>
      <c r="H248" s="215">
        <v>10</v>
      </c>
      <c r="I248" s="27">
        <f t="shared" si="64"/>
        <v>6.3706500000000013</v>
      </c>
      <c r="J248" s="215">
        <v>4</v>
      </c>
      <c r="K248" s="27">
        <v>279.92</v>
      </c>
      <c r="L248" s="27"/>
      <c r="M248" s="28">
        <f t="shared" si="54"/>
        <v>1783.2723480000004</v>
      </c>
      <c r="N248" s="524"/>
      <c r="O248" s="526"/>
      <c r="P248" s="490"/>
      <c r="Q248" s="559">
        <f t="shared" si="55"/>
        <v>0</v>
      </c>
    </row>
    <row r="249" spans="1:17" x14ac:dyDescent="0.25">
      <c r="A249" s="491"/>
      <c r="B249" s="515"/>
      <c r="C249" s="534" t="s">
        <v>501</v>
      </c>
      <c r="D249" s="534" t="s">
        <v>513</v>
      </c>
      <c r="E249" s="513">
        <v>1.51</v>
      </c>
      <c r="F249" s="215" t="s">
        <v>384</v>
      </c>
      <c r="G249" s="27">
        <f>0.002*1.5</f>
        <v>3.0000000000000001E-3</v>
      </c>
      <c r="H249" s="215">
        <v>2</v>
      </c>
      <c r="I249" s="27">
        <f t="shared" si="64"/>
        <v>2.3166000000000002</v>
      </c>
      <c r="J249" s="215">
        <v>4</v>
      </c>
      <c r="K249" s="27">
        <v>279.92</v>
      </c>
      <c r="L249" s="27"/>
      <c r="M249" s="28">
        <f t="shared" si="54"/>
        <v>648.46267200000011</v>
      </c>
      <c r="N249" s="225" t="s">
        <v>399</v>
      </c>
      <c r="O249" s="215">
        <v>1</v>
      </c>
      <c r="P249" s="215">
        <v>450</v>
      </c>
      <c r="Q249" s="29">
        <f t="shared" si="55"/>
        <v>450</v>
      </c>
    </row>
    <row r="250" spans="1:17" x14ac:dyDescent="0.25">
      <c r="A250" s="491"/>
      <c r="B250" s="515"/>
      <c r="C250" s="534"/>
      <c r="D250" s="534"/>
      <c r="E250" s="513"/>
      <c r="F250" s="215" t="s">
        <v>386</v>
      </c>
      <c r="G250" s="223">
        <f>G249*0.1</f>
        <v>3.0000000000000003E-4</v>
      </c>
      <c r="H250" s="215">
        <v>10</v>
      </c>
      <c r="I250" s="27">
        <f t="shared" si="64"/>
        <v>1.1583000000000001</v>
      </c>
      <c r="J250" s="215">
        <v>4</v>
      </c>
      <c r="K250" s="27">
        <v>279.92</v>
      </c>
      <c r="L250" s="27"/>
      <c r="M250" s="28">
        <f t="shared" si="54"/>
        <v>324.23133600000006</v>
      </c>
      <c r="N250" s="225" t="s">
        <v>400</v>
      </c>
      <c r="O250" s="215">
        <v>1</v>
      </c>
      <c r="P250" s="215">
        <v>345</v>
      </c>
      <c r="Q250" s="29">
        <f t="shared" si="55"/>
        <v>345</v>
      </c>
    </row>
    <row r="251" spans="1:17" x14ac:dyDescent="0.25">
      <c r="A251" s="491"/>
      <c r="B251" s="515"/>
      <c r="C251" s="534" t="s">
        <v>514</v>
      </c>
      <c r="D251" s="534" t="s">
        <v>515</v>
      </c>
      <c r="E251" s="513">
        <v>5.5</v>
      </c>
      <c r="F251" s="215" t="s">
        <v>384</v>
      </c>
      <c r="G251" s="27">
        <v>3.0000000000000001E-3</v>
      </c>
      <c r="H251" s="215">
        <v>1</v>
      </c>
      <c r="I251" s="27">
        <f t="shared" si="64"/>
        <v>1.1583000000000001</v>
      </c>
      <c r="J251" s="215">
        <v>4</v>
      </c>
      <c r="K251" s="27">
        <v>279.92</v>
      </c>
      <c r="L251" s="27"/>
      <c r="M251" s="28">
        <f t="shared" si="54"/>
        <v>324.23133600000006</v>
      </c>
      <c r="N251" s="524" t="s">
        <v>476</v>
      </c>
      <c r="O251" s="526">
        <v>8</v>
      </c>
      <c r="P251" s="489">
        <v>8</v>
      </c>
      <c r="Q251" s="558">
        <f t="shared" si="55"/>
        <v>64</v>
      </c>
    </row>
    <row r="252" spans="1:17" x14ac:dyDescent="0.25">
      <c r="A252" s="491"/>
      <c r="B252" s="515"/>
      <c r="C252" s="534"/>
      <c r="D252" s="534"/>
      <c r="E252" s="513"/>
      <c r="F252" s="215" t="s">
        <v>386</v>
      </c>
      <c r="G252" s="223">
        <f>G251*0.1</f>
        <v>3.0000000000000003E-4</v>
      </c>
      <c r="H252" s="215">
        <v>11</v>
      </c>
      <c r="I252" s="27">
        <f t="shared" si="64"/>
        <v>1.2741300000000002</v>
      </c>
      <c r="J252" s="215">
        <v>4</v>
      </c>
      <c r="K252" s="27">
        <v>279.92</v>
      </c>
      <c r="L252" s="27"/>
      <c r="M252" s="28">
        <f t="shared" si="54"/>
        <v>356.65446960000008</v>
      </c>
      <c r="N252" s="524"/>
      <c r="O252" s="526"/>
      <c r="P252" s="490"/>
      <c r="Q252" s="559">
        <f t="shared" si="55"/>
        <v>0</v>
      </c>
    </row>
    <row r="253" spans="1:17" ht="15.75" customHeight="1" x14ac:dyDescent="0.25">
      <c r="A253" s="491"/>
      <c r="B253" s="515"/>
      <c r="C253" s="504" t="s">
        <v>516</v>
      </c>
      <c r="D253" s="510" t="s">
        <v>517</v>
      </c>
      <c r="E253" s="500">
        <v>75</v>
      </c>
      <c r="F253" s="215" t="s">
        <v>384</v>
      </c>
      <c r="G253" s="223">
        <f>0.006*2</f>
        <v>1.2E-2</v>
      </c>
      <c r="H253" s="215">
        <v>2</v>
      </c>
      <c r="I253" s="27">
        <f t="shared" si="64"/>
        <v>9.2664000000000009</v>
      </c>
      <c r="J253" s="215">
        <v>5</v>
      </c>
      <c r="K253" s="27">
        <v>297.57</v>
      </c>
      <c r="L253" s="27"/>
      <c r="M253" s="28">
        <f t="shared" si="54"/>
        <v>2757.4026480000002</v>
      </c>
      <c r="N253" s="524" t="s">
        <v>413</v>
      </c>
      <c r="O253" s="526"/>
      <c r="P253" s="489"/>
      <c r="Q253" s="558"/>
    </row>
    <row r="254" spans="1:17" x14ac:dyDescent="0.25">
      <c r="A254" s="491"/>
      <c r="B254" s="515"/>
      <c r="C254" s="504"/>
      <c r="D254" s="510"/>
      <c r="E254" s="500"/>
      <c r="F254" s="215" t="s">
        <v>386</v>
      </c>
      <c r="G254" s="223">
        <f>G253*0.1</f>
        <v>1.2000000000000001E-3</v>
      </c>
      <c r="H254" s="215">
        <v>10</v>
      </c>
      <c r="I254" s="27">
        <f t="shared" si="64"/>
        <v>4.6332000000000004</v>
      </c>
      <c r="J254" s="215">
        <v>5</v>
      </c>
      <c r="K254" s="27">
        <v>297.57</v>
      </c>
      <c r="L254" s="27"/>
      <c r="M254" s="28">
        <f t="shared" si="54"/>
        <v>1378.7013240000001</v>
      </c>
      <c r="N254" s="524"/>
      <c r="O254" s="526"/>
      <c r="P254" s="490"/>
      <c r="Q254" s="559"/>
    </row>
    <row r="255" spans="1:17" ht="15.75" customHeight="1" x14ac:dyDescent="0.25">
      <c r="A255" s="491"/>
      <c r="B255" s="515"/>
      <c r="C255" s="504" t="s">
        <v>518</v>
      </c>
      <c r="D255" s="510" t="s">
        <v>517</v>
      </c>
      <c r="E255" s="500">
        <v>5.5</v>
      </c>
      <c r="F255" s="215" t="s">
        <v>384</v>
      </c>
      <c r="G255" s="223">
        <v>6.0000000000000001E-3</v>
      </c>
      <c r="H255" s="215">
        <v>2</v>
      </c>
      <c r="I255" s="27">
        <f t="shared" si="64"/>
        <v>4.6332000000000004</v>
      </c>
      <c r="J255" s="215">
        <v>5</v>
      </c>
      <c r="K255" s="27">
        <v>297.57</v>
      </c>
      <c r="L255" s="27"/>
      <c r="M255" s="28">
        <f t="shared" si="54"/>
        <v>1378.7013240000001</v>
      </c>
      <c r="N255" s="524" t="s">
        <v>413</v>
      </c>
      <c r="O255" s="526"/>
      <c r="P255" s="489"/>
      <c r="Q255" s="558"/>
    </row>
    <row r="256" spans="1:17" x14ac:dyDescent="0.25">
      <c r="A256" s="491"/>
      <c r="B256" s="515"/>
      <c r="C256" s="504"/>
      <c r="D256" s="510"/>
      <c r="E256" s="500"/>
      <c r="F256" s="215" t="s">
        <v>386</v>
      </c>
      <c r="G256" s="223">
        <f>G255*0.1</f>
        <v>6.0000000000000006E-4</v>
      </c>
      <c r="H256" s="215">
        <v>10</v>
      </c>
      <c r="I256" s="27">
        <f t="shared" si="64"/>
        <v>2.3166000000000002</v>
      </c>
      <c r="J256" s="215">
        <v>5</v>
      </c>
      <c r="K256" s="27">
        <v>297.57</v>
      </c>
      <c r="L256" s="27"/>
      <c r="M256" s="28">
        <f t="shared" si="54"/>
        <v>689.35066200000006</v>
      </c>
      <c r="N256" s="524"/>
      <c r="O256" s="526"/>
      <c r="P256" s="490"/>
      <c r="Q256" s="559"/>
    </row>
    <row r="257" spans="1:17" ht="15.75" customHeight="1" x14ac:dyDescent="0.25">
      <c r="A257" s="491"/>
      <c r="B257" s="515"/>
      <c r="C257" s="512" t="s">
        <v>519</v>
      </c>
      <c r="D257" s="533"/>
      <c r="E257" s="513"/>
      <c r="F257" s="215" t="s">
        <v>384</v>
      </c>
      <c r="G257" s="27">
        <f>0.007*1.6</f>
        <v>1.1200000000000002E-2</v>
      </c>
      <c r="H257" s="215">
        <v>1</v>
      </c>
      <c r="I257" s="27">
        <f t="shared" si="64"/>
        <v>4.3243200000000011</v>
      </c>
      <c r="J257" s="215">
        <v>4</v>
      </c>
      <c r="K257" s="27">
        <v>279.92</v>
      </c>
      <c r="L257" s="27"/>
      <c r="M257" s="28">
        <f t="shared" si="54"/>
        <v>1210.4636544000005</v>
      </c>
      <c r="N257" s="524" t="s">
        <v>415</v>
      </c>
      <c r="O257" s="526">
        <v>12</v>
      </c>
      <c r="P257" s="489">
        <v>145.88999999999999</v>
      </c>
      <c r="Q257" s="558">
        <f t="shared" si="55"/>
        <v>1750.6799999999998</v>
      </c>
    </row>
    <row r="258" spans="1:17" x14ac:dyDescent="0.25">
      <c r="A258" s="491"/>
      <c r="B258" s="515"/>
      <c r="C258" s="512"/>
      <c r="D258" s="533"/>
      <c r="E258" s="513"/>
      <c r="F258" s="215" t="s">
        <v>386</v>
      </c>
      <c r="G258" s="223">
        <f>G257*0.1</f>
        <v>1.1200000000000001E-3</v>
      </c>
      <c r="H258" s="215">
        <v>11</v>
      </c>
      <c r="I258" s="27">
        <f t="shared" si="64"/>
        <v>4.7567520000000005</v>
      </c>
      <c r="J258" s="215">
        <v>4</v>
      </c>
      <c r="K258" s="27">
        <v>279.92</v>
      </c>
      <c r="L258" s="27"/>
      <c r="M258" s="28">
        <f t="shared" si="54"/>
        <v>1331.5100198400003</v>
      </c>
      <c r="N258" s="524"/>
      <c r="O258" s="526"/>
      <c r="P258" s="490"/>
      <c r="Q258" s="559">
        <f t="shared" si="55"/>
        <v>0</v>
      </c>
    </row>
    <row r="259" spans="1:17" x14ac:dyDescent="0.25">
      <c r="A259" s="491"/>
      <c r="B259" s="515"/>
      <c r="C259" s="499" t="s">
        <v>520</v>
      </c>
      <c r="D259" s="533"/>
      <c r="E259" s="513"/>
      <c r="F259" s="215" t="s">
        <v>384</v>
      </c>
      <c r="G259" s="27">
        <f>0.006*2*1.6</f>
        <v>1.9200000000000002E-2</v>
      </c>
      <c r="H259" s="215">
        <v>2</v>
      </c>
      <c r="I259" s="27">
        <f>G259*H259*1.1*351</f>
        <v>14.826240000000002</v>
      </c>
      <c r="J259" s="215">
        <v>4</v>
      </c>
      <c r="K259" s="27">
        <v>279.92</v>
      </c>
      <c r="L259" s="27"/>
      <c r="M259" s="28">
        <f t="shared" si="54"/>
        <v>4150.1611008000009</v>
      </c>
      <c r="N259" s="524" t="s">
        <v>426</v>
      </c>
      <c r="O259" s="526">
        <v>1</v>
      </c>
      <c r="P259" s="489">
        <v>15</v>
      </c>
      <c r="Q259" s="558">
        <f t="shared" si="55"/>
        <v>15</v>
      </c>
    </row>
    <row r="260" spans="1:17" x14ac:dyDescent="0.25">
      <c r="A260" s="491"/>
      <c r="B260" s="515"/>
      <c r="C260" s="499"/>
      <c r="D260" s="533"/>
      <c r="E260" s="513"/>
      <c r="F260" s="215" t="s">
        <v>386</v>
      </c>
      <c r="G260" s="223">
        <f>G259*0.1</f>
        <v>1.9200000000000003E-3</v>
      </c>
      <c r="H260" s="215">
        <v>10</v>
      </c>
      <c r="I260" s="27">
        <f t="shared" ref="I260" si="65">G260*H260*1.1*351</f>
        <v>7.413120000000001</v>
      </c>
      <c r="J260" s="215">
        <v>4</v>
      </c>
      <c r="K260" s="27">
        <v>279.92</v>
      </c>
      <c r="L260" s="27"/>
      <c r="M260" s="28">
        <f t="shared" si="54"/>
        <v>2075.0805504000004</v>
      </c>
      <c r="N260" s="524"/>
      <c r="O260" s="526"/>
      <c r="P260" s="490"/>
      <c r="Q260" s="559">
        <f t="shared" si="55"/>
        <v>0</v>
      </c>
    </row>
    <row r="261" spans="1:17" x14ac:dyDescent="0.25">
      <c r="A261" s="491"/>
      <c r="B261" s="515"/>
      <c r="C261" s="499" t="s">
        <v>506</v>
      </c>
      <c r="D261" s="512" t="s">
        <v>461</v>
      </c>
      <c r="E261" s="513">
        <v>0.25</v>
      </c>
      <c r="F261" s="215" t="s">
        <v>384</v>
      </c>
      <c r="G261" s="27">
        <f>0.007*1.6</f>
        <v>1.1200000000000002E-2</v>
      </c>
      <c r="H261" s="215">
        <v>1</v>
      </c>
      <c r="I261" s="27">
        <f t="shared" si="64"/>
        <v>4.3243200000000011</v>
      </c>
      <c r="J261" s="215">
        <v>4</v>
      </c>
      <c r="K261" s="27">
        <v>279.92</v>
      </c>
      <c r="L261" s="27"/>
      <c r="M261" s="28">
        <f t="shared" si="54"/>
        <v>1210.4636544000005</v>
      </c>
      <c r="N261" s="524" t="s">
        <v>426</v>
      </c>
      <c r="O261" s="526">
        <v>1</v>
      </c>
      <c r="P261" s="489">
        <v>15</v>
      </c>
      <c r="Q261" s="558">
        <f t="shared" si="55"/>
        <v>15</v>
      </c>
    </row>
    <row r="262" spans="1:17" x14ac:dyDescent="0.25">
      <c r="A262" s="491"/>
      <c r="B262" s="515"/>
      <c r="C262" s="499"/>
      <c r="D262" s="512"/>
      <c r="E262" s="513"/>
      <c r="F262" s="215" t="s">
        <v>386</v>
      </c>
      <c r="G262" s="223">
        <f>G261*0.1</f>
        <v>1.1200000000000001E-3</v>
      </c>
      <c r="H262" s="215">
        <v>11</v>
      </c>
      <c r="I262" s="27">
        <f t="shared" si="64"/>
        <v>4.7567520000000005</v>
      </c>
      <c r="J262" s="215">
        <v>4</v>
      </c>
      <c r="K262" s="27">
        <v>279.92</v>
      </c>
      <c r="L262" s="27"/>
      <c r="M262" s="28">
        <f t="shared" ref="M262:M325" si="66">I262*K262</f>
        <v>1331.5100198400003</v>
      </c>
      <c r="N262" s="524"/>
      <c r="O262" s="526"/>
      <c r="P262" s="490"/>
      <c r="Q262" s="559">
        <f t="shared" ref="Q262:Q325" si="67">P262*O262</f>
        <v>0</v>
      </c>
    </row>
    <row r="263" spans="1:17" ht="15.75" customHeight="1" x14ac:dyDescent="0.25">
      <c r="A263" s="491"/>
      <c r="B263" s="515"/>
      <c r="C263" s="504" t="s">
        <v>419</v>
      </c>
      <c r="D263" s="515"/>
      <c r="E263" s="500"/>
      <c r="F263" s="215" t="s">
        <v>384</v>
      </c>
      <c r="G263" s="27">
        <f>0.004*2.4*1.6</f>
        <v>1.5359999999999999E-2</v>
      </c>
      <c r="H263" s="215">
        <v>1</v>
      </c>
      <c r="I263" s="27">
        <f>G263*H263*1.1*351</f>
        <v>5.9304960000000007</v>
      </c>
      <c r="J263" s="215">
        <v>4</v>
      </c>
      <c r="K263" s="27">
        <v>279.92</v>
      </c>
      <c r="L263" s="27"/>
      <c r="M263" s="28">
        <f t="shared" si="66"/>
        <v>1660.0644403200004</v>
      </c>
      <c r="N263" s="524" t="s">
        <v>420</v>
      </c>
      <c r="O263" s="526">
        <v>48</v>
      </c>
      <c r="P263" s="489">
        <v>219.92</v>
      </c>
      <c r="Q263" s="558">
        <f t="shared" si="67"/>
        <v>10556.16</v>
      </c>
    </row>
    <row r="264" spans="1:17" x14ac:dyDescent="0.25">
      <c r="A264" s="491"/>
      <c r="B264" s="515"/>
      <c r="C264" s="504"/>
      <c r="D264" s="515"/>
      <c r="E264" s="500"/>
      <c r="F264" s="215" t="s">
        <v>386</v>
      </c>
      <c r="G264" s="223">
        <f>G263*0.1</f>
        <v>1.536E-3</v>
      </c>
      <c r="H264" s="215">
        <v>11</v>
      </c>
      <c r="I264" s="27">
        <f t="shared" ref="I264" si="68">G264*H264*1.1*351</f>
        <v>6.5235456000000012</v>
      </c>
      <c r="J264" s="215">
        <v>4</v>
      </c>
      <c r="K264" s="27">
        <v>279.92</v>
      </c>
      <c r="L264" s="27"/>
      <c r="M264" s="28">
        <f t="shared" si="66"/>
        <v>1826.0708843520003</v>
      </c>
      <c r="N264" s="524"/>
      <c r="O264" s="526"/>
      <c r="P264" s="490"/>
      <c r="Q264" s="559">
        <f t="shared" si="67"/>
        <v>0</v>
      </c>
    </row>
    <row r="265" spans="1:17" x14ac:dyDescent="0.25">
      <c r="A265" s="491"/>
      <c r="B265" s="515"/>
      <c r="C265" s="510" t="s">
        <v>424</v>
      </c>
      <c r="D265" s="507"/>
      <c r="E265" s="507"/>
      <c r="F265" s="215" t="s">
        <v>384</v>
      </c>
      <c r="G265" s="27">
        <f>0.028*0.257</f>
        <v>7.1960000000000001E-3</v>
      </c>
      <c r="H265" s="215">
        <v>1</v>
      </c>
      <c r="I265" s="27">
        <f>G265*H265*1.1*351</f>
        <v>2.7783755999999999</v>
      </c>
      <c r="J265" s="215">
        <v>4</v>
      </c>
      <c r="K265" s="27">
        <v>279.92</v>
      </c>
      <c r="L265" s="27"/>
      <c r="M265" s="28">
        <f t="shared" si="66"/>
        <v>777.72289795200004</v>
      </c>
      <c r="N265" s="37" t="s">
        <v>314</v>
      </c>
      <c r="O265" s="31">
        <v>1</v>
      </c>
      <c r="P265" s="215">
        <v>102</v>
      </c>
      <c r="Q265" s="29">
        <f t="shared" si="67"/>
        <v>102</v>
      </c>
    </row>
    <row r="266" spans="1:17" x14ac:dyDescent="0.25">
      <c r="A266" s="491"/>
      <c r="B266" s="515"/>
      <c r="C266" s="502"/>
      <c r="D266" s="507"/>
      <c r="E266" s="507"/>
      <c r="F266" s="215" t="s">
        <v>386</v>
      </c>
      <c r="G266" s="223">
        <f>G265*0.1</f>
        <v>7.1960000000000004E-4</v>
      </c>
      <c r="H266" s="215">
        <v>11</v>
      </c>
      <c r="I266" s="27">
        <f t="shared" ref="I266" si="69">G266*H266*1.1*351</f>
        <v>3.05621316</v>
      </c>
      <c r="J266" s="215">
        <v>4</v>
      </c>
      <c r="K266" s="27">
        <v>279.92</v>
      </c>
      <c r="L266" s="27"/>
      <c r="M266" s="28">
        <f t="shared" si="66"/>
        <v>855.49518774720002</v>
      </c>
      <c r="N266" s="37" t="s">
        <v>426</v>
      </c>
      <c r="O266" s="31">
        <v>1</v>
      </c>
      <c r="P266" s="215">
        <v>15</v>
      </c>
      <c r="Q266" s="29">
        <f t="shared" si="67"/>
        <v>15</v>
      </c>
    </row>
    <row r="267" spans="1:17" x14ac:dyDescent="0.25">
      <c r="A267" s="491"/>
      <c r="B267" s="515"/>
      <c r="C267" s="510" t="s">
        <v>428</v>
      </c>
      <c r="D267" s="507"/>
      <c r="E267" s="507"/>
      <c r="F267" s="215" t="s">
        <v>384</v>
      </c>
      <c r="G267" s="27">
        <f>0.048*0.06</f>
        <v>2.8799999999999997E-3</v>
      </c>
      <c r="H267" s="215">
        <v>1</v>
      </c>
      <c r="I267" s="27">
        <f>G267*H267*1.1*351</f>
        <v>1.1119679999999998</v>
      </c>
      <c r="J267" s="215">
        <v>4</v>
      </c>
      <c r="K267" s="27">
        <v>279.92</v>
      </c>
      <c r="L267" s="27"/>
      <c r="M267" s="28">
        <f t="shared" si="66"/>
        <v>311.26208255999995</v>
      </c>
      <c r="N267" s="37" t="s">
        <v>314</v>
      </c>
      <c r="O267" s="31">
        <v>1</v>
      </c>
      <c r="P267" s="215">
        <v>102</v>
      </c>
      <c r="Q267" s="29">
        <f t="shared" si="67"/>
        <v>102</v>
      </c>
    </row>
    <row r="268" spans="1:17" x14ac:dyDescent="0.25">
      <c r="A268" s="491"/>
      <c r="B268" s="515"/>
      <c r="C268" s="502"/>
      <c r="D268" s="507"/>
      <c r="E268" s="507"/>
      <c r="F268" s="215" t="s">
        <v>386</v>
      </c>
      <c r="G268" s="223">
        <f>G267*0.1</f>
        <v>2.8800000000000001E-4</v>
      </c>
      <c r="H268" s="215">
        <v>11</v>
      </c>
      <c r="I268" s="27">
        <f t="shared" ref="I268" si="70">G268*H268*1.1*351</f>
        <v>1.2231648000000002</v>
      </c>
      <c r="J268" s="215">
        <v>4</v>
      </c>
      <c r="K268" s="27">
        <v>279.92</v>
      </c>
      <c r="L268" s="27"/>
      <c r="M268" s="28">
        <f t="shared" si="66"/>
        <v>342.38829081600005</v>
      </c>
      <c r="N268" s="37" t="s">
        <v>426</v>
      </c>
      <c r="O268" s="31">
        <v>1</v>
      </c>
      <c r="P268" s="215">
        <v>15</v>
      </c>
      <c r="Q268" s="29">
        <f t="shared" si="67"/>
        <v>15</v>
      </c>
    </row>
    <row r="269" spans="1:17" s="27" customFormat="1" x14ac:dyDescent="0.25">
      <c r="A269" s="491"/>
      <c r="B269" s="515"/>
      <c r="C269" s="510" t="s">
        <v>462</v>
      </c>
      <c r="D269" s="507"/>
      <c r="E269" s="507"/>
      <c r="F269" s="215" t="s">
        <v>384</v>
      </c>
      <c r="G269" s="27">
        <f>0.06*0.142</f>
        <v>8.5199999999999981E-3</v>
      </c>
      <c r="H269" s="215">
        <v>1</v>
      </c>
      <c r="I269" s="27">
        <f>G269*H269*1.1*351</f>
        <v>3.2895719999999993</v>
      </c>
      <c r="J269" s="215">
        <v>4</v>
      </c>
      <c r="K269" s="27">
        <v>279.92</v>
      </c>
      <c r="M269" s="28">
        <f t="shared" si="66"/>
        <v>920.81699423999987</v>
      </c>
      <c r="N269" s="37" t="s">
        <v>314</v>
      </c>
      <c r="O269" s="31">
        <v>1</v>
      </c>
      <c r="P269" s="215">
        <v>102</v>
      </c>
      <c r="Q269" s="29">
        <f t="shared" si="67"/>
        <v>102</v>
      </c>
    </row>
    <row r="270" spans="1:17" s="33" customFormat="1" x14ac:dyDescent="0.25">
      <c r="A270" s="491"/>
      <c r="B270" s="515"/>
      <c r="C270" s="502"/>
      <c r="D270" s="507"/>
      <c r="E270" s="507"/>
      <c r="F270" s="215" t="s">
        <v>386</v>
      </c>
      <c r="G270" s="223">
        <f>G269*0.1</f>
        <v>8.5199999999999989E-4</v>
      </c>
      <c r="H270" s="215">
        <v>11</v>
      </c>
      <c r="I270" s="27">
        <f t="shared" ref="I270" si="71">G270*H270*1.1*351</f>
        <v>3.6185291999999998</v>
      </c>
      <c r="J270" s="215">
        <v>4</v>
      </c>
      <c r="K270" s="27">
        <v>279.92</v>
      </c>
      <c r="L270" s="27"/>
      <c r="M270" s="28">
        <f t="shared" si="66"/>
        <v>1012.898693664</v>
      </c>
      <c r="N270" s="37" t="s">
        <v>426</v>
      </c>
      <c r="O270" s="31">
        <v>1</v>
      </c>
      <c r="P270" s="215">
        <v>15</v>
      </c>
      <c r="Q270" s="29">
        <f t="shared" si="67"/>
        <v>15</v>
      </c>
    </row>
    <row r="271" spans="1:17" s="27" customFormat="1" x14ac:dyDescent="0.25">
      <c r="A271" s="491"/>
      <c r="B271" s="515"/>
      <c r="C271" s="502" t="s">
        <v>429</v>
      </c>
      <c r="D271" s="507"/>
      <c r="E271" s="507"/>
      <c r="F271" s="215" t="s">
        <v>384</v>
      </c>
      <c r="G271" s="27">
        <f>0.04*0.563</f>
        <v>2.2519999999999998E-2</v>
      </c>
      <c r="H271" s="215">
        <v>1</v>
      </c>
      <c r="I271" s="27">
        <f>G271*H271*1.1*351</f>
        <v>8.6949719999999999</v>
      </c>
      <c r="J271" s="215">
        <v>4</v>
      </c>
      <c r="K271" s="27">
        <v>279.92</v>
      </c>
      <c r="M271" s="28">
        <f t="shared" si="66"/>
        <v>2433.8965622400001</v>
      </c>
      <c r="N271" s="37" t="s">
        <v>314</v>
      </c>
      <c r="O271" s="31">
        <v>1</v>
      </c>
      <c r="P271" s="215">
        <v>102</v>
      </c>
      <c r="Q271" s="29">
        <f t="shared" si="67"/>
        <v>102</v>
      </c>
    </row>
    <row r="272" spans="1:17" s="33" customFormat="1" x14ac:dyDescent="0.25">
      <c r="A272" s="491"/>
      <c r="B272" s="515"/>
      <c r="C272" s="502"/>
      <c r="D272" s="507"/>
      <c r="E272" s="507"/>
      <c r="F272" s="215" t="s">
        <v>386</v>
      </c>
      <c r="G272" s="223">
        <f>G271*0.1</f>
        <v>2.2520000000000001E-3</v>
      </c>
      <c r="H272" s="215">
        <v>11</v>
      </c>
      <c r="I272" s="27">
        <f t="shared" ref="I272" si="72">G272*H272*1.1*351</f>
        <v>9.5644692000000013</v>
      </c>
      <c r="J272" s="215">
        <v>4</v>
      </c>
      <c r="K272" s="27">
        <v>279.92</v>
      </c>
      <c r="L272" s="27"/>
      <c r="M272" s="28">
        <f t="shared" si="66"/>
        <v>2677.2862184640007</v>
      </c>
      <c r="N272" s="37" t="s">
        <v>426</v>
      </c>
      <c r="O272" s="31">
        <v>1</v>
      </c>
      <c r="P272" s="215">
        <v>15</v>
      </c>
      <c r="Q272" s="29">
        <f t="shared" si="67"/>
        <v>15</v>
      </c>
    </row>
    <row r="273" spans="1:17" s="27" customFormat="1" x14ac:dyDescent="0.25">
      <c r="A273" s="491"/>
      <c r="B273" s="515"/>
      <c r="C273" s="502" t="s">
        <v>521</v>
      </c>
      <c r="D273" s="507"/>
      <c r="E273" s="507"/>
      <c r="F273" s="215" t="s">
        <v>384</v>
      </c>
      <c r="G273" s="27">
        <f>0.014*3*1.6</f>
        <v>6.720000000000001E-2</v>
      </c>
      <c r="H273" s="215">
        <v>1</v>
      </c>
      <c r="I273" s="27">
        <f>G273*H273*1.1*351</f>
        <v>25.945920000000005</v>
      </c>
      <c r="J273" s="215">
        <v>4</v>
      </c>
      <c r="K273" s="27">
        <v>279.92</v>
      </c>
      <c r="M273" s="28">
        <f t="shared" si="66"/>
        <v>7262.7819264000018</v>
      </c>
      <c r="N273" s="37" t="s">
        <v>426</v>
      </c>
      <c r="O273" s="31">
        <v>3</v>
      </c>
      <c r="P273" s="215">
        <v>15</v>
      </c>
      <c r="Q273" s="29">
        <f t="shared" si="67"/>
        <v>45</v>
      </c>
    </row>
    <row r="274" spans="1:17" s="27" customFormat="1" x14ac:dyDescent="0.25">
      <c r="A274" s="491"/>
      <c r="B274" s="515"/>
      <c r="C274" s="502"/>
      <c r="D274" s="507"/>
      <c r="E274" s="507"/>
      <c r="F274" s="215" t="s">
        <v>386</v>
      </c>
      <c r="G274" s="223">
        <f>G273*0.1</f>
        <v>6.7200000000000011E-3</v>
      </c>
      <c r="H274" s="215">
        <v>11</v>
      </c>
      <c r="I274" s="27">
        <f t="shared" ref="I274" si="73">G274*H274*1.1*351</f>
        <v>28.540512000000007</v>
      </c>
      <c r="J274" s="215">
        <v>4</v>
      </c>
      <c r="K274" s="27">
        <v>279.92</v>
      </c>
      <c r="M274" s="28">
        <f t="shared" si="66"/>
        <v>7989.0601190400021</v>
      </c>
      <c r="N274" s="524"/>
      <c r="O274" s="526"/>
      <c r="P274" s="489"/>
      <c r="Q274" s="558"/>
    </row>
    <row r="275" spans="1:17" x14ac:dyDescent="0.25">
      <c r="A275" s="491"/>
      <c r="B275" s="515"/>
      <c r="C275" s="512" t="s">
        <v>464</v>
      </c>
      <c r="D275" s="508"/>
      <c r="E275" s="509"/>
      <c r="F275" s="215" t="s">
        <v>384</v>
      </c>
      <c r="G275" s="27">
        <f>0.012*0.97</f>
        <v>1.1639999999999999E-2</v>
      </c>
      <c r="H275" s="215">
        <v>1</v>
      </c>
      <c r="I275" s="27">
        <f>G275*H275*1.1*351</f>
        <v>4.4942039999999999</v>
      </c>
      <c r="J275" s="215">
        <v>4</v>
      </c>
      <c r="K275" s="27">
        <v>279.92</v>
      </c>
      <c r="L275" s="27"/>
      <c r="M275" s="28">
        <f t="shared" si="66"/>
        <v>1258.0175836800001</v>
      </c>
      <c r="N275" s="524"/>
      <c r="O275" s="526"/>
      <c r="P275" s="490"/>
      <c r="Q275" s="559"/>
    </row>
    <row r="276" spans="1:17" ht="31.5" x14ac:dyDescent="0.25">
      <c r="A276" s="491"/>
      <c r="B276" s="515"/>
      <c r="C276" s="512"/>
      <c r="D276" s="508"/>
      <c r="E276" s="509"/>
      <c r="F276" s="215" t="s">
        <v>386</v>
      </c>
      <c r="G276" s="223">
        <f>G275*0.1</f>
        <v>1.1639999999999999E-3</v>
      </c>
      <c r="H276" s="215">
        <v>11</v>
      </c>
      <c r="I276" s="27">
        <f t="shared" ref="I276:I320" si="74">G276*H276*1.1*351</f>
        <v>4.9436244</v>
      </c>
      <c r="J276" s="215">
        <v>4</v>
      </c>
      <c r="K276" s="27">
        <v>279.92</v>
      </c>
      <c r="L276" s="27"/>
      <c r="M276" s="28">
        <f t="shared" si="66"/>
        <v>1383.8193420480002</v>
      </c>
      <c r="N276" s="224" t="s">
        <v>488</v>
      </c>
      <c r="O276" s="215">
        <v>1</v>
      </c>
      <c r="P276" s="215">
        <v>173</v>
      </c>
      <c r="Q276" s="29">
        <f t="shared" si="67"/>
        <v>173</v>
      </c>
    </row>
    <row r="277" spans="1:17" x14ac:dyDescent="0.25">
      <c r="A277" s="491">
        <v>6</v>
      </c>
      <c r="B277" s="515" t="s">
        <v>1027</v>
      </c>
      <c r="C277" s="534" t="s">
        <v>382</v>
      </c>
      <c r="D277" s="535" t="s">
        <v>522</v>
      </c>
      <c r="E277" s="513">
        <v>18.399999999999999</v>
      </c>
      <c r="F277" s="215" t="s">
        <v>384</v>
      </c>
      <c r="G277" s="27">
        <f>0.006*1.5</f>
        <v>9.0000000000000011E-3</v>
      </c>
      <c r="H277" s="215">
        <v>2</v>
      </c>
      <c r="I277" s="27">
        <f t="shared" si="74"/>
        <v>6.9498000000000015</v>
      </c>
      <c r="J277" s="215">
        <v>4</v>
      </c>
      <c r="K277" s="27">
        <v>279.92</v>
      </c>
      <c r="L277" s="27"/>
      <c r="M277" s="28">
        <f t="shared" si="66"/>
        <v>1945.3880160000006</v>
      </c>
      <c r="N277" s="524" t="s">
        <v>468</v>
      </c>
      <c r="O277" s="526">
        <v>2</v>
      </c>
      <c r="P277" s="489">
        <v>1175</v>
      </c>
      <c r="Q277" s="558">
        <f t="shared" si="67"/>
        <v>2350</v>
      </c>
    </row>
    <row r="278" spans="1:17" x14ac:dyDescent="0.25">
      <c r="A278" s="491"/>
      <c r="B278" s="515"/>
      <c r="C278" s="534"/>
      <c r="D278" s="535"/>
      <c r="E278" s="513"/>
      <c r="F278" s="215" t="s">
        <v>386</v>
      </c>
      <c r="G278" s="223">
        <f>G277*0.1</f>
        <v>9.0000000000000019E-4</v>
      </c>
      <c r="H278" s="215">
        <v>10</v>
      </c>
      <c r="I278" s="27">
        <f t="shared" si="74"/>
        <v>3.4749000000000008</v>
      </c>
      <c r="J278" s="215">
        <v>4</v>
      </c>
      <c r="K278" s="27">
        <v>279.92</v>
      </c>
      <c r="L278" s="27"/>
      <c r="M278" s="28">
        <f t="shared" si="66"/>
        <v>972.69400800000028</v>
      </c>
      <c r="N278" s="524"/>
      <c r="O278" s="526"/>
      <c r="P278" s="490"/>
      <c r="Q278" s="559">
        <f t="shared" si="67"/>
        <v>0</v>
      </c>
    </row>
    <row r="279" spans="1:17" x14ac:dyDescent="0.25">
      <c r="A279" s="491"/>
      <c r="B279" s="515"/>
      <c r="C279" s="534" t="s">
        <v>387</v>
      </c>
      <c r="D279" s="535" t="s">
        <v>522</v>
      </c>
      <c r="E279" s="513">
        <v>18.399999999999999</v>
      </c>
      <c r="F279" s="215" t="s">
        <v>384</v>
      </c>
      <c r="G279" s="27">
        <f>0.006*1.5</f>
        <v>9.0000000000000011E-3</v>
      </c>
      <c r="H279" s="215">
        <v>2</v>
      </c>
      <c r="I279" s="27">
        <f t="shared" si="74"/>
        <v>6.9498000000000015</v>
      </c>
      <c r="J279" s="215">
        <v>4</v>
      </c>
      <c r="K279" s="27">
        <v>279.92</v>
      </c>
      <c r="L279" s="27"/>
      <c r="M279" s="28">
        <f t="shared" si="66"/>
        <v>1945.3880160000006</v>
      </c>
      <c r="N279" s="524" t="s">
        <v>468</v>
      </c>
      <c r="O279" s="526">
        <v>2</v>
      </c>
      <c r="P279" s="489">
        <v>1175</v>
      </c>
      <c r="Q279" s="558">
        <f t="shared" si="67"/>
        <v>2350</v>
      </c>
    </row>
    <row r="280" spans="1:17" x14ac:dyDescent="0.25">
      <c r="A280" s="491"/>
      <c r="B280" s="515"/>
      <c r="C280" s="534"/>
      <c r="D280" s="535"/>
      <c r="E280" s="513"/>
      <c r="F280" s="215" t="s">
        <v>386</v>
      </c>
      <c r="G280" s="223">
        <f>G279*0.1</f>
        <v>9.0000000000000019E-4</v>
      </c>
      <c r="H280" s="215">
        <v>10</v>
      </c>
      <c r="I280" s="27">
        <f t="shared" si="74"/>
        <v>3.4749000000000008</v>
      </c>
      <c r="J280" s="215">
        <v>4</v>
      </c>
      <c r="K280" s="27">
        <v>279.92</v>
      </c>
      <c r="L280" s="27"/>
      <c r="M280" s="28">
        <f t="shared" si="66"/>
        <v>972.69400800000028</v>
      </c>
      <c r="N280" s="524"/>
      <c r="O280" s="526"/>
      <c r="P280" s="490"/>
      <c r="Q280" s="559">
        <f t="shared" si="67"/>
        <v>0</v>
      </c>
    </row>
    <row r="281" spans="1:17" x14ac:dyDescent="0.25">
      <c r="A281" s="491"/>
      <c r="B281" s="515"/>
      <c r="C281" s="534" t="s">
        <v>388</v>
      </c>
      <c r="D281" s="535" t="s">
        <v>522</v>
      </c>
      <c r="E281" s="513">
        <v>18.399999999999999</v>
      </c>
      <c r="F281" s="215" t="s">
        <v>384</v>
      </c>
      <c r="G281" s="27">
        <f>0.006*1.5</f>
        <v>9.0000000000000011E-3</v>
      </c>
      <c r="H281" s="215">
        <v>2</v>
      </c>
      <c r="I281" s="27">
        <f t="shared" si="74"/>
        <v>6.9498000000000015</v>
      </c>
      <c r="J281" s="215">
        <v>4</v>
      </c>
      <c r="K281" s="27">
        <v>279.92</v>
      </c>
      <c r="L281" s="27"/>
      <c r="M281" s="28">
        <f t="shared" si="66"/>
        <v>1945.3880160000006</v>
      </c>
      <c r="N281" s="524" t="s">
        <v>468</v>
      </c>
      <c r="O281" s="526">
        <v>2</v>
      </c>
      <c r="P281" s="489">
        <v>1175</v>
      </c>
      <c r="Q281" s="558">
        <f t="shared" si="67"/>
        <v>2350</v>
      </c>
    </row>
    <row r="282" spans="1:17" x14ac:dyDescent="0.25">
      <c r="A282" s="491"/>
      <c r="B282" s="515"/>
      <c r="C282" s="534"/>
      <c r="D282" s="535"/>
      <c r="E282" s="513"/>
      <c r="F282" s="215" t="s">
        <v>386</v>
      </c>
      <c r="G282" s="223">
        <f>G281*0.1</f>
        <v>9.0000000000000019E-4</v>
      </c>
      <c r="H282" s="215">
        <v>10</v>
      </c>
      <c r="I282" s="27">
        <f t="shared" si="74"/>
        <v>3.4749000000000008</v>
      </c>
      <c r="J282" s="215">
        <v>4</v>
      </c>
      <c r="K282" s="27">
        <v>279.92</v>
      </c>
      <c r="L282" s="27"/>
      <c r="M282" s="28">
        <f t="shared" si="66"/>
        <v>972.69400800000028</v>
      </c>
      <c r="N282" s="524"/>
      <c r="O282" s="526"/>
      <c r="P282" s="490"/>
      <c r="Q282" s="559">
        <f t="shared" si="67"/>
        <v>0</v>
      </c>
    </row>
    <row r="283" spans="1:17" x14ac:dyDescent="0.25">
      <c r="A283" s="491"/>
      <c r="B283" s="515"/>
      <c r="C283" s="534" t="s">
        <v>391</v>
      </c>
      <c r="D283" s="535" t="s">
        <v>523</v>
      </c>
      <c r="E283" s="513">
        <v>19</v>
      </c>
      <c r="F283" s="215" t="s">
        <v>384</v>
      </c>
      <c r="G283" s="27">
        <f>0.006*1.5</f>
        <v>9.0000000000000011E-3</v>
      </c>
      <c r="H283" s="215">
        <v>2</v>
      </c>
      <c r="I283" s="27">
        <f t="shared" si="74"/>
        <v>6.9498000000000015</v>
      </c>
      <c r="J283" s="215">
        <v>4</v>
      </c>
      <c r="K283" s="27">
        <v>279.92</v>
      </c>
      <c r="L283" s="27"/>
      <c r="M283" s="28">
        <f t="shared" si="66"/>
        <v>1945.3880160000006</v>
      </c>
      <c r="N283" s="524" t="s">
        <v>468</v>
      </c>
      <c r="O283" s="526">
        <v>2</v>
      </c>
      <c r="P283" s="489">
        <v>1175</v>
      </c>
      <c r="Q283" s="558">
        <f t="shared" si="67"/>
        <v>2350</v>
      </c>
    </row>
    <row r="284" spans="1:17" x14ac:dyDescent="0.25">
      <c r="A284" s="491"/>
      <c r="B284" s="515"/>
      <c r="C284" s="534"/>
      <c r="D284" s="535"/>
      <c r="E284" s="513"/>
      <c r="F284" s="215" t="s">
        <v>386</v>
      </c>
      <c r="G284" s="223">
        <f>G283*0.1</f>
        <v>9.0000000000000019E-4</v>
      </c>
      <c r="H284" s="215">
        <v>10</v>
      </c>
      <c r="I284" s="27">
        <f t="shared" si="74"/>
        <v>3.4749000000000008</v>
      </c>
      <c r="J284" s="215">
        <v>4</v>
      </c>
      <c r="K284" s="27">
        <v>279.92</v>
      </c>
      <c r="L284" s="27"/>
      <c r="M284" s="28">
        <f t="shared" si="66"/>
        <v>972.69400800000028</v>
      </c>
      <c r="N284" s="524"/>
      <c r="O284" s="526"/>
      <c r="P284" s="490"/>
      <c r="Q284" s="559">
        <f t="shared" si="67"/>
        <v>0</v>
      </c>
    </row>
    <row r="285" spans="1:17" x14ac:dyDescent="0.25">
      <c r="A285" s="491"/>
      <c r="B285" s="515"/>
      <c r="C285" s="534" t="s">
        <v>524</v>
      </c>
      <c r="D285" s="535" t="s">
        <v>523</v>
      </c>
      <c r="E285" s="513">
        <v>19</v>
      </c>
      <c r="F285" s="215" t="s">
        <v>384</v>
      </c>
      <c r="G285" s="27">
        <f>0.006*1.5</f>
        <v>9.0000000000000011E-3</v>
      </c>
      <c r="H285" s="215">
        <v>2</v>
      </c>
      <c r="I285" s="27">
        <f t="shared" si="74"/>
        <v>6.9498000000000015</v>
      </c>
      <c r="J285" s="215">
        <v>4</v>
      </c>
      <c r="K285" s="27">
        <v>279.92</v>
      </c>
      <c r="L285" s="27"/>
      <c r="M285" s="28">
        <f t="shared" si="66"/>
        <v>1945.3880160000006</v>
      </c>
      <c r="N285" s="524" t="s">
        <v>468</v>
      </c>
      <c r="O285" s="526">
        <v>2</v>
      </c>
      <c r="P285" s="489">
        <v>1175</v>
      </c>
      <c r="Q285" s="558">
        <f t="shared" si="67"/>
        <v>2350</v>
      </c>
    </row>
    <row r="286" spans="1:17" x14ac:dyDescent="0.25">
      <c r="A286" s="491"/>
      <c r="B286" s="515"/>
      <c r="C286" s="534"/>
      <c r="D286" s="535"/>
      <c r="E286" s="513"/>
      <c r="F286" s="215" t="s">
        <v>386</v>
      </c>
      <c r="G286" s="223">
        <f>G285*0.1</f>
        <v>9.0000000000000019E-4</v>
      </c>
      <c r="H286" s="215">
        <v>10</v>
      </c>
      <c r="I286" s="27">
        <f t="shared" si="74"/>
        <v>3.4749000000000008</v>
      </c>
      <c r="J286" s="215">
        <v>4</v>
      </c>
      <c r="K286" s="27">
        <v>279.92</v>
      </c>
      <c r="L286" s="27"/>
      <c r="M286" s="28">
        <f t="shared" si="66"/>
        <v>972.69400800000028</v>
      </c>
      <c r="N286" s="524"/>
      <c r="O286" s="526"/>
      <c r="P286" s="490"/>
      <c r="Q286" s="559">
        <f t="shared" si="67"/>
        <v>0</v>
      </c>
    </row>
    <row r="287" spans="1:17" x14ac:dyDescent="0.25">
      <c r="A287" s="491"/>
      <c r="B287" s="515"/>
      <c r="C287" s="534" t="s">
        <v>525</v>
      </c>
      <c r="D287" s="535" t="s">
        <v>526</v>
      </c>
      <c r="E287" s="513">
        <v>18.5</v>
      </c>
      <c r="F287" s="215" t="s">
        <v>384</v>
      </c>
      <c r="G287" s="27">
        <f>0.006*1.5</f>
        <v>9.0000000000000011E-3</v>
      </c>
      <c r="H287" s="215">
        <v>2</v>
      </c>
      <c r="I287" s="27">
        <f t="shared" si="74"/>
        <v>6.9498000000000015</v>
      </c>
      <c r="J287" s="215">
        <v>4</v>
      </c>
      <c r="K287" s="27">
        <v>279.92</v>
      </c>
      <c r="L287" s="27"/>
      <c r="M287" s="28">
        <f t="shared" si="66"/>
        <v>1945.3880160000006</v>
      </c>
      <c r="N287" s="524" t="s">
        <v>468</v>
      </c>
      <c r="O287" s="526">
        <v>2</v>
      </c>
      <c r="P287" s="489">
        <v>1175</v>
      </c>
      <c r="Q287" s="558">
        <f t="shared" si="67"/>
        <v>2350</v>
      </c>
    </row>
    <row r="288" spans="1:17" x14ac:dyDescent="0.25">
      <c r="A288" s="491"/>
      <c r="B288" s="515"/>
      <c r="C288" s="534"/>
      <c r="D288" s="535"/>
      <c r="E288" s="513"/>
      <c r="F288" s="215" t="s">
        <v>386</v>
      </c>
      <c r="G288" s="223">
        <f>G287*0.1</f>
        <v>9.0000000000000019E-4</v>
      </c>
      <c r="H288" s="215">
        <v>10</v>
      </c>
      <c r="I288" s="27">
        <f t="shared" si="74"/>
        <v>3.4749000000000008</v>
      </c>
      <c r="J288" s="215">
        <v>4</v>
      </c>
      <c r="K288" s="27">
        <v>279.92</v>
      </c>
      <c r="L288" s="27"/>
      <c r="M288" s="28">
        <f t="shared" si="66"/>
        <v>972.69400800000028</v>
      </c>
      <c r="N288" s="524"/>
      <c r="O288" s="526"/>
      <c r="P288" s="490"/>
      <c r="Q288" s="559">
        <f t="shared" si="67"/>
        <v>0</v>
      </c>
    </row>
    <row r="289" spans="1:17" x14ac:dyDescent="0.25">
      <c r="A289" s="491"/>
      <c r="B289" s="515"/>
      <c r="C289" s="534" t="s">
        <v>527</v>
      </c>
      <c r="D289" s="535" t="s">
        <v>526</v>
      </c>
      <c r="E289" s="513">
        <v>18.5</v>
      </c>
      <c r="F289" s="215" t="s">
        <v>384</v>
      </c>
      <c r="G289" s="27">
        <f>0.006*1.5</f>
        <v>9.0000000000000011E-3</v>
      </c>
      <c r="H289" s="215">
        <v>2</v>
      </c>
      <c r="I289" s="27">
        <f t="shared" si="74"/>
        <v>6.9498000000000015</v>
      </c>
      <c r="J289" s="215">
        <v>4</v>
      </c>
      <c r="K289" s="27">
        <v>279.92</v>
      </c>
      <c r="L289" s="27"/>
      <c r="M289" s="28">
        <f t="shared" si="66"/>
        <v>1945.3880160000006</v>
      </c>
      <c r="N289" s="524" t="s">
        <v>468</v>
      </c>
      <c r="O289" s="526">
        <v>2</v>
      </c>
      <c r="P289" s="489">
        <v>1175</v>
      </c>
      <c r="Q289" s="558">
        <f t="shared" si="67"/>
        <v>2350</v>
      </c>
    </row>
    <row r="290" spans="1:17" x14ac:dyDescent="0.25">
      <c r="A290" s="491"/>
      <c r="B290" s="515"/>
      <c r="C290" s="534"/>
      <c r="D290" s="535"/>
      <c r="E290" s="513"/>
      <c r="F290" s="215" t="s">
        <v>386</v>
      </c>
      <c r="G290" s="223">
        <f>G289*0.1</f>
        <v>9.0000000000000019E-4</v>
      </c>
      <c r="H290" s="215">
        <v>10</v>
      </c>
      <c r="I290" s="27">
        <f t="shared" si="74"/>
        <v>3.4749000000000008</v>
      </c>
      <c r="J290" s="215">
        <v>4</v>
      </c>
      <c r="K290" s="27">
        <v>279.92</v>
      </c>
      <c r="L290" s="27"/>
      <c r="M290" s="28">
        <f t="shared" si="66"/>
        <v>972.69400800000028</v>
      </c>
      <c r="N290" s="524"/>
      <c r="O290" s="526"/>
      <c r="P290" s="490"/>
      <c r="Q290" s="559">
        <f t="shared" si="67"/>
        <v>0</v>
      </c>
    </row>
    <row r="291" spans="1:17" x14ac:dyDescent="0.25">
      <c r="A291" s="491"/>
      <c r="B291" s="515"/>
      <c r="C291" s="534" t="s">
        <v>528</v>
      </c>
      <c r="D291" s="535" t="s">
        <v>526</v>
      </c>
      <c r="E291" s="513">
        <v>18.5</v>
      </c>
      <c r="F291" s="215" t="s">
        <v>384</v>
      </c>
      <c r="G291" s="27">
        <f>0.006*1.5</f>
        <v>9.0000000000000011E-3</v>
      </c>
      <c r="H291" s="215">
        <v>2</v>
      </c>
      <c r="I291" s="27">
        <f t="shared" si="74"/>
        <v>6.9498000000000015</v>
      </c>
      <c r="J291" s="215">
        <v>4</v>
      </c>
      <c r="K291" s="27">
        <v>279.92</v>
      </c>
      <c r="L291" s="27"/>
      <c r="M291" s="28">
        <f t="shared" si="66"/>
        <v>1945.3880160000006</v>
      </c>
      <c r="N291" s="524" t="s">
        <v>468</v>
      </c>
      <c r="O291" s="526">
        <v>2</v>
      </c>
      <c r="P291" s="489">
        <v>1175</v>
      </c>
      <c r="Q291" s="558">
        <f t="shared" si="67"/>
        <v>2350</v>
      </c>
    </row>
    <row r="292" spans="1:17" x14ac:dyDescent="0.25">
      <c r="A292" s="491"/>
      <c r="B292" s="515"/>
      <c r="C292" s="534"/>
      <c r="D292" s="535"/>
      <c r="E292" s="513"/>
      <c r="F292" s="215" t="s">
        <v>386</v>
      </c>
      <c r="G292" s="223">
        <f>G291*0.1</f>
        <v>9.0000000000000019E-4</v>
      </c>
      <c r="H292" s="215">
        <v>10</v>
      </c>
      <c r="I292" s="27">
        <f t="shared" si="74"/>
        <v>3.4749000000000008</v>
      </c>
      <c r="J292" s="215">
        <v>4</v>
      </c>
      <c r="K292" s="27">
        <v>279.92</v>
      </c>
      <c r="L292" s="27"/>
      <c r="M292" s="28">
        <f t="shared" si="66"/>
        <v>972.69400800000028</v>
      </c>
      <c r="N292" s="524"/>
      <c r="O292" s="526"/>
      <c r="P292" s="490"/>
      <c r="Q292" s="559">
        <f t="shared" si="67"/>
        <v>0</v>
      </c>
    </row>
    <row r="293" spans="1:17" x14ac:dyDescent="0.25">
      <c r="A293" s="491"/>
      <c r="B293" s="515"/>
      <c r="C293" s="534" t="s">
        <v>529</v>
      </c>
      <c r="D293" s="535" t="s">
        <v>530</v>
      </c>
      <c r="E293" s="513">
        <v>75</v>
      </c>
      <c r="F293" s="215" t="s">
        <v>384</v>
      </c>
      <c r="G293" s="27">
        <f>0.011*1.5</f>
        <v>1.6500000000000001E-2</v>
      </c>
      <c r="H293" s="215">
        <v>2</v>
      </c>
      <c r="I293" s="27">
        <f t="shared" si="74"/>
        <v>12.741300000000003</v>
      </c>
      <c r="J293" s="215">
        <v>4</v>
      </c>
      <c r="K293" s="27">
        <v>279.92</v>
      </c>
      <c r="L293" s="27"/>
      <c r="M293" s="28">
        <f t="shared" si="66"/>
        <v>3566.5446960000008</v>
      </c>
      <c r="N293" s="524" t="s">
        <v>448</v>
      </c>
      <c r="O293" s="526">
        <v>2</v>
      </c>
      <c r="P293" s="489">
        <v>13165</v>
      </c>
      <c r="Q293" s="558">
        <f t="shared" si="67"/>
        <v>26330</v>
      </c>
    </row>
    <row r="294" spans="1:17" x14ac:dyDescent="0.25">
      <c r="A294" s="491"/>
      <c r="B294" s="515"/>
      <c r="C294" s="534"/>
      <c r="D294" s="535"/>
      <c r="E294" s="513"/>
      <c r="F294" s="215" t="s">
        <v>386</v>
      </c>
      <c r="G294" s="223">
        <f>G293*0.1</f>
        <v>1.6500000000000002E-3</v>
      </c>
      <c r="H294" s="215">
        <v>10</v>
      </c>
      <c r="I294" s="27">
        <f t="shared" si="74"/>
        <v>6.3706500000000013</v>
      </c>
      <c r="J294" s="215">
        <v>4</v>
      </c>
      <c r="K294" s="27">
        <v>279.92</v>
      </c>
      <c r="L294" s="27"/>
      <c r="M294" s="28">
        <f t="shared" si="66"/>
        <v>1783.2723480000004</v>
      </c>
      <c r="N294" s="524"/>
      <c r="O294" s="526"/>
      <c r="P294" s="490"/>
      <c r="Q294" s="559">
        <f t="shared" si="67"/>
        <v>0</v>
      </c>
    </row>
    <row r="295" spans="1:17" x14ac:dyDescent="0.25">
      <c r="A295" s="491"/>
      <c r="B295" s="515"/>
      <c r="C295" s="534" t="s">
        <v>531</v>
      </c>
      <c r="D295" s="535" t="s">
        <v>530</v>
      </c>
      <c r="E295" s="513">
        <v>75</v>
      </c>
      <c r="F295" s="215" t="s">
        <v>384</v>
      </c>
      <c r="G295" s="27">
        <f>0.011*1.5</f>
        <v>1.6500000000000001E-2</v>
      </c>
      <c r="H295" s="215">
        <v>2</v>
      </c>
      <c r="I295" s="27">
        <f t="shared" si="74"/>
        <v>12.741300000000003</v>
      </c>
      <c r="J295" s="215">
        <v>4</v>
      </c>
      <c r="K295" s="27">
        <v>279.92</v>
      </c>
      <c r="L295" s="27"/>
      <c r="M295" s="28">
        <f t="shared" si="66"/>
        <v>3566.5446960000008</v>
      </c>
      <c r="N295" s="524" t="s">
        <v>448</v>
      </c>
      <c r="O295" s="526">
        <v>2</v>
      </c>
      <c r="P295" s="489">
        <v>13165</v>
      </c>
      <c r="Q295" s="558">
        <f t="shared" si="67"/>
        <v>26330</v>
      </c>
    </row>
    <row r="296" spans="1:17" x14ac:dyDescent="0.25">
      <c r="A296" s="491"/>
      <c r="B296" s="515"/>
      <c r="C296" s="534"/>
      <c r="D296" s="535"/>
      <c r="E296" s="513"/>
      <c r="F296" s="215" t="s">
        <v>386</v>
      </c>
      <c r="G296" s="223">
        <f>G295*0.1</f>
        <v>1.6500000000000002E-3</v>
      </c>
      <c r="H296" s="215">
        <v>10</v>
      </c>
      <c r="I296" s="27">
        <f t="shared" si="74"/>
        <v>6.3706500000000013</v>
      </c>
      <c r="J296" s="215">
        <v>4</v>
      </c>
      <c r="K296" s="27">
        <v>279.92</v>
      </c>
      <c r="L296" s="27"/>
      <c r="M296" s="28">
        <f t="shared" si="66"/>
        <v>1783.2723480000004</v>
      </c>
      <c r="N296" s="524"/>
      <c r="O296" s="526"/>
      <c r="P296" s="490"/>
      <c r="Q296" s="559">
        <f t="shared" si="67"/>
        <v>0</v>
      </c>
    </row>
    <row r="297" spans="1:17" x14ac:dyDescent="0.25">
      <c r="A297" s="491"/>
      <c r="B297" s="515"/>
      <c r="C297" s="534" t="s">
        <v>532</v>
      </c>
      <c r="D297" s="535" t="s">
        <v>530</v>
      </c>
      <c r="E297" s="513">
        <v>75</v>
      </c>
      <c r="F297" s="215" t="s">
        <v>384</v>
      </c>
      <c r="G297" s="27">
        <f>0.011*1.5</f>
        <v>1.6500000000000001E-2</v>
      </c>
      <c r="H297" s="215">
        <v>2</v>
      </c>
      <c r="I297" s="27">
        <f t="shared" si="74"/>
        <v>12.741300000000003</v>
      </c>
      <c r="J297" s="215">
        <v>4</v>
      </c>
      <c r="K297" s="27">
        <v>279.92</v>
      </c>
      <c r="L297" s="27"/>
      <c r="M297" s="28">
        <f t="shared" si="66"/>
        <v>3566.5446960000008</v>
      </c>
      <c r="N297" s="524" t="s">
        <v>448</v>
      </c>
      <c r="O297" s="526">
        <v>2</v>
      </c>
      <c r="P297" s="489">
        <v>13165</v>
      </c>
      <c r="Q297" s="558">
        <f t="shared" si="67"/>
        <v>26330</v>
      </c>
    </row>
    <row r="298" spans="1:17" x14ac:dyDescent="0.25">
      <c r="A298" s="491"/>
      <c r="B298" s="515"/>
      <c r="C298" s="534"/>
      <c r="D298" s="535"/>
      <c r="E298" s="513"/>
      <c r="F298" s="215" t="s">
        <v>386</v>
      </c>
      <c r="G298" s="223">
        <f>G297*0.1</f>
        <v>1.6500000000000002E-3</v>
      </c>
      <c r="H298" s="215">
        <v>10</v>
      </c>
      <c r="I298" s="27">
        <f t="shared" si="74"/>
        <v>6.3706500000000013</v>
      </c>
      <c r="J298" s="215">
        <v>4</v>
      </c>
      <c r="K298" s="27">
        <v>279.92</v>
      </c>
      <c r="L298" s="27"/>
      <c r="M298" s="28">
        <f t="shared" si="66"/>
        <v>1783.2723480000004</v>
      </c>
      <c r="N298" s="524"/>
      <c r="O298" s="526"/>
      <c r="P298" s="490"/>
      <c r="Q298" s="559">
        <f t="shared" si="67"/>
        <v>0</v>
      </c>
    </row>
    <row r="299" spans="1:17" x14ac:dyDescent="0.25">
      <c r="A299" s="491"/>
      <c r="B299" s="515"/>
      <c r="C299" s="534" t="s">
        <v>533</v>
      </c>
      <c r="D299" s="535" t="s">
        <v>534</v>
      </c>
      <c r="E299" s="513">
        <v>0.55000000000000004</v>
      </c>
      <c r="F299" s="215" t="s">
        <v>384</v>
      </c>
      <c r="G299" s="27">
        <f>0.001*1.5</f>
        <v>1.5E-3</v>
      </c>
      <c r="H299" s="215">
        <v>2</v>
      </c>
      <c r="I299" s="27">
        <f t="shared" si="74"/>
        <v>1.1583000000000001</v>
      </c>
      <c r="J299" s="215">
        <v>4</v>
      </c>
      <c r="K299" s="27">
        <v>279.92</v>
      </c>
      <c r="L299" s="27"/>
      <c r="M299" s="28">
        <f t="shared" si="66"/>
        <v>324.23133600000006</v>
      </c>
      <c r="N299" s="524" t="s">
        <v>441</v>
      </c>
      <c r="O299" s="526">
        <v>2</v>
      </c>
      <c r="P299" s="489">
        <v>220</v>
      </c>
      <c r="Q299" s="558">
        <f t="shared" si="67"/>
        <v>440</v>
      </c>
    </row>
    <row r="300" spans="1:17" x14ac:dyDescent="0.25">
      <c r="A300" s="491"/>
      <c r="B300" s="515"/>
      <c r="C300" s="534"/>
      <c r="D300" s="535"/>
      <c r="E300" s="513"/>
      <c r="F300" s="215" t="s">
        <v>386</v>
      </c>
      <c r="G300" s="223">
        <f>G299*0.1</f>
        <v>1.5000000000000001E-4</v>
      </c>
      <c r="H300" s="215">
        <v>10</v>
      </c>
      <c r="I300" s="27">
        <f t="shared" si="74"/>
        <v>0.57915000000000005</v>
      </c>
      <c r="J300" s="215">
        <v>4</v>
      </c>
      <c r="K300" s="27">
        <v>279.92</v>
      </c>
      <c r="L300" s="27"/>
      <c r="M300" s="28">
        <f t="shared" si="66"/>
        <v>162.11566800000003</v>
      </c>
      <c r="N300" s="524"/>
      <c r="O300" s="526"/>
      <c r="P300" s="490"/>
      <c r="Q300" s="559">
        <f t="shared" si="67"/>
        <v>0</v>
      </c>
    </row>
    <row r="301" spans="1:17" x14ac:dyDescent="0.25">
      <c r="A301" s="491"/>
      <c r="B301" s="515"/>
      <c r="C301" s="534" t="s">
        <v>535</v>
      </c>
      <c r="D301" s="535" t="s">
        <v>536</v>
      </c>
      <c r="E301" s="513">
        <v>0.75</v>
      </c>
      <c r="F301" s="215" t="s">
        <v>384</v>
      </c>
      <c r="G301" s="27">
        <f>0.001*1.5</f>
        <v>1.5E-3</v>
      </c>
      <c r="H301" s="215">
        <v>2</v>
      </c>
      <c r="I301" s="27">
        <f t="shared" si="74"/>
        <v>1.1583000000000001</v>
      </c>
      <c r="J301" s="215">
        <v>4</v>
      </c>
      <c r="K301" s="27">
        <v>279.92</v>
      </c>
      <c r="L301" s="27"/>
      <c r="M301" s="28">
        <f t="shared" si="66"/>
        <v>324.23133600000006</v>
      </c>
      <c r="N301" s="524" t="s">
        <v>441</v>
      </c>
      <c r="O301" s="526">
        <v>2</v>
      </c>
      <c r="P301" s="489">
        <v>220</v>
      </c>
      <c r="Q301" s="558">
        <f t="shared" si="67"/>
        <v>440</v>
      </c>
    </row>
    <row r="302" spans="1:17" x14ac:dyDescent="0.25">
      <c r="A302" s="491"/>
      <c r="B302" s="515"/>
      <c r="C302" s="534"/>
      <c r="D302" s="535"/>
      <c r="E302" s="513"/>
      <c r="F302" s="215" t="s">
        <v>386</v>
      </c>
      <c r="G302" s="223">
        <f>G301*0.1</f>
        <v>1.5000000000000001E-4</v>
      </c>
      <c r="H302" s="215">
        <v>10</v>
      </c>
      <c r="I302" s="27">
        <f t="shared" si="74"/>
        <v>0.57915000000000005</v>
      </c>
      <c r="J302" s="215">
        <v>4</v>
      </c>
      <c r="K302" s="27">
        <v>279.92</v>
      </c>
      <c r="L302" s="27"/>
      <c r="M302" s="28">
        <f t="shared" si="66"/>
        <v>162.11566800000003</v>
      </c>
      <c r="N302" s="524"/>
      <c r="O302" s="526"/>
      <c r="P302" s="490"/>
      <c r="Q302" s="559">
        <f t="shared" si="67"/>
        <v>0</v>
      </c>
    </row>
    <row r="303" spans="1:17" x14ac:dyDescent="0.25">
      <c r="A303" s="491"/>
      <c r="B303" s="515"/>
      <c r="C303" s="534" t="s">
        <v>537</v>
      </c>
      <c r="D303" s="535" t="s">
        <v>536</v>
      </c>
      <c r="E303" s="513">
        <v>0.75</v>
      </c>
      <c r="F303" s="215" t="s">
        <v>384</v>
      </c>
      <c r="G303" s="27">
        <f>0.001*1.5</f>
        <v>1.5E-3</v>
      </c>
      <c r="H303" s="215">
        <v>2</v>
      </c>
      <c r="I303" s="27">
        <f t="shared" si="74"/>
        <v>1.1583000000000001</v>
      </c>
      <c r="J303" s="215">
        <v>4</v>
      </c>
      <c r="K303" s="27">
        <v>279.92</v>
      </c>
      <c r="L303" s="27"/>
      <c r="M303" s="28">
        <f t="shared" si="66"/>
        <v>324.23133600000006</v>
      </c>
      <c r="N303" s="524" t="s">
        <v>441</v>
      </c>
      <c r="O303" s="526">
        <v>2</v>
      </c>
      <c r="P303" s="489">
        <v>220</v>
      </c>
      <c r="Q303" s="558">
        <f t="shared" si="67"/>
        <v>440</v>
      </c>
    </row>
    <row r="304" spans="1:17" x14ac:dyDescent="0.25">
      <c r="A304" s="491"/>
      <c r="B304" s="515"/>
      <c r="C304" s="534"/>
      <c r="D304" s="535"/>
      <c r="E304" s="513"/>
      <c r="F304" s="215" t="s">
        <v>386</v>
      </c>
      <c r="G304" s="223">
        <f>G303*0.1</f>
        <v>1.5000000000000001E-4</v>
      </c>
      <c r="H304" s="215">
        <v>10</v>
      </c>
      <c r="I304" s="27">
        <f t="shared" si="74"/>
        <v>0.57915000000000005</v>
      </c>
      <c r="J304" s="215">
        <v>4</v>
      </c>
      <c r="K304" s="27">
        <v>279.92</v>
      </c>
      <c r="L304" s="27"/>
      <c r="M304" s="28">
        <f t="shared" si="66"/>
        <v>162.11566800000003</v>
      </c>
      <c r="N304" s="524"/>
      <c r="O304" s="526"/>
      <c r="P304" s="490"/>
      <c r="Q304" s="559">
        <f t="shared" si="67"/>
        <v>0</v>
      </c>
    </row>
    <row r="305" spans="1:17" x14ac:dyDescent="0.25">
      <c r="A305" s="491"/>
      <c r="B305" s="515"/>
      <c r="C305" s="534" t="s">
        <v>538</v>
      </c>
      <c r="D305" s="535" t="s">
        <v>539</v>
      </c>
      <c r="E305" s="513">
        <v>4</v>
      </c>
      <c r="F305" s="215" t="s">
        <v>384</v>
      </c>
      <c r="G305" s="27">
        <f>0.003*1.5</f>
        <v>4.5000000000000005E-3</v>
      </c>
      <c r="H305" s="215">
        <v>2</v>
      </c>
      <c r="I305" s="27">
        <f t="shared" si="74"/>
        <v>3.4749000000000008</v>
      </c>
      <c r="J305" s="215">
        <v>4</v>
      </c>
      <c r="K305" s="27">
        <v>279.92</v>
      </c>
      <c r="L305" s="27"/>
      <c r="M305" s="28">
        <f t="shared" si="66"/>
        <v>972.69400800000028</v>
      </c>
      <c r="N305" s="224" t="s">
        <v>436</v>
      </c>
      <c r="O305" s="215">
        <v>1</v>
      </c>
      <c r="P305" s="215">
        <v>965</v>
      </c>
      <c r="Q305" s="29">
        <f>P305*O305</f>
        <v>965</v>
      </c>
    </row>
    <row r="306" spans="1:17" x14ac:dyDescent="0.25">
      <c r="A306" s="491"/>
      <c r="B306" s="515"/>
      <c r="C306" s="534"/>
      <c r="D306" s="535"/>
      <c r="E306" s="513"/>
      <c r="F306" s="215" t="s">
        <v>386</v>
      </c>
      <c r="G306" s="223">
        <f>G305*0.1</f>
        <v>4.500000000000001E-4</v>
      </c>
      <c r="H306" s="215">
        <v>10</v>
      </c>
      <c r="I306" s="27">
        <f t="shared" si="74"/>
        <v>1.7374500000000004</v>
      </c>
      <c r="J306" s="215">
        <v>4</v>
      </c>
      <c r="K306" s="27">
        <v>279.92</v>
      </c>
      <c r="L306" s="27"/>
      <c r="M306" s="28">
        <f t="shared" si="66"/>
        <v>486.34700400000014</v>
      </c>
      <c r="N306" s="224" t="s">
        <v>402</v>
      </c>
      <c r="O306" s="215">
        <v>1</v>
      </c>
      <c r="P306" s="215">
        <v>570</v>
      </c>
      <c r="Q306" s="29">
        <f t="shared" si="67"/>
        <v>570</v>
      </c>
    </row>
    <row r="307" spans="1:17" x14ac:dyDescent="0.25">
      <c r="A307" s="491"/>
      <c r="B307" s="515"/>
      <c r="C307" s="534" t="s">
        <v>540</v>
      </c>
      <c r="D307" s="535" t="s">
        <v>541</v>
      </c>
      <c r="E307" s="513">
        <v>4</v>
      </c>
      <c r="F307" s="215" t="s">
        <v>384</v>
      </c>
      <c r="G307" s="27">
        <f>0.003*1.5</f>
        <v>4.5000000000000005E-3</v>
      </c>
      <c r="H307" s="215">
        <v>2</v>
      </c>
      <c r="I307" s="27">
        <f t="shared" si="74"/>
        <v>3.4749000000000008</v>
      </c>
      <c r="J307" s="215">
        <v>4</v>
      </c>
      <c r="K307" s="27">
        <v>279.92</v>
      </c>
      <c r="L307" s="27"/>
      <c r="M307" s="28">
        <f t="shared" si="66"/>
        <v>972.69400800000028</v>
      </c>
      <c r="N307" s="224" t="s">
        <v>436</v>
      </c>
      <c r="O307" s="215">
        <v>1</v>
      </c>
      <c r="P307" s="215">
        <v>965</v>
      </c>
      <c r="Q307" s="29">
        <f t="shared" si="67"/>
        <v>965</v>
      </c>
    </row>
    <row r="308" spans="1:17" x14ac:dyDescent="0.25">
      <c r="A308" s="491"/>
      <c r="B308" s="515"/>
      <c r="C308" s="534"/>
      <c r="D308" s="535"/>
      <c r="E308" s="513"/>
      <c r="F308" s="215" t="s">
        <v>386</v>
      </c>
      <c r="G308" s="223">
        <f>G307*0.1</f>
        <v>4.500000000000001E-4</v>
      </c>
      <c r="H308" s="215">
        <v>10</v>
      </c>
      <c r="I308" s="27">
        <f t="shared" si="74"/>
        <v>1.7374500000000004</v>
      </c>
      <c r="J308" s="215">
        <v>4</v>
      </c>
      <c r="K308" s="27">
        <v>279.92</v>
      </c>
      <c r="L308" s="27"/>
      <c r="M308" s="28">
        <f t="shared" si="66"/>
        <v>486.34700400000014</v>
      </c>
      <c r="N308" s="224" t="s">
        <v>402</v>
      </c>
      <c r="O308" s="215">
        <v>1</v>
      </c>
      <c r="P308" s="215">
        <v>570</v>
      </c>
      <c r="Q308" s="29">
        <f t="shared" si="67"/>
        <v>570</v>
      </c>
    </row>
    <row r="309" spans="1:17" x14ac:dyDescent="0.25">
      <c r="A309" s="491"/>
      <c r="B309" s="515"/>
      <c r="C309" s="534" t="s">
        <v>542</v>
      </c>
      <c r="D309" s="535" t="s">
        <v>543</v>
      </c>
      <c r="E309" s="513">
        <v>11</v>
      </c>
      <c r="F309" s="215" t="s">
        <v>384</v>
      </c>
      <c r="G309" s="27">
        <f>0.005*1.5</f>
        <v>7.4999999999999997E-3</v>
      </c>
      <c r="H309" s="215">
        <v>2</v>
      </c>
      <c r="I309" s="27">
        <f t="shared" si="74"/>
        <v>5.7915000000000001</v>
      </c>
      <c r="J309" s="215">
        <v>4</v>
      </c>
      <c r="K309" s="27">
        <v>279.92</v>
      </c>
      <c r="L309" s="27"/>
      <c r="M309" s="28">
        <f t="shared" si="66"/>
        <v>1621.1566800000001</v>
      </c>
      <c r="N309" s="524" t="s">
        <v>494</v>
      </c>
      <c r="O309" s="526">
        <v>2</v>
      </c>
      <c r="P309" s="489">
        <v>2800</v>
      </c>
      <c r="Q309" s="558">
        <f t="shared" si="67"/>
        <v>5600</v>
      </c>
    </row>
    <row r="310" spans="1:17" x14ac:dyDescent="0.25">
      <c r="A310" s="491"/>
      <c r="B310" s="515"/>
      <c r="C310" s="534"/>
      <c r="D310" s="535"/>
      <c r="E310" s="513"/>
      <c r="F310" s="215" t="s">
        <v>386</v>
      </c>
      <c r="G310" s="223">
        <f>G309*0.1</f>
        <v>7.5000000000000002E-4</v>
      </c>
      <c r="H310" s="215">
        <v>10</v>
      </c>
      <c r="I310" s="27">
        <f t="shared" si="74"/>
        <v>2.89575</v>
      </c>
      <c r="J310" s="215">
        <v>4</v>
      </c>
      <c r="K310" s="27">
        <v>279.92</v>
      </c>
      <c r="L310" s="27"/>
      <c r="M310" s="28">
        <f t="shared" si="66"/>
        <v>810.57834000000003</v>
      </c>
      <c r="N310" s="524"/>
      <c r="O310" s="526"/>
      <c r="P310" s="490"/>
      <c r="Q310" s="559">
        <f t="shared" si="67"/>
        <v>0</v>
      </c>
    </row>
    <row r="311" spans="1:17" x14ac:dyDescent="0.25">
      <c r="A311" s="491"/>
      <c r="B311" s="515"/>
      <c r="C311" s="534" t="s">
        <v>544</v>
      </c>
      <c r="D311" s="535" t="s">
        <v>543</v>
      </c>
      <c r="E311" s="513">
        <v>11</v>
      </c>
      <c r="F311" s="215" t="s">
        <v>384</v>
      </c>
      <c r="G311" s="27">
        <f>0.005*1.5</f>
        <v>7.4999999999999997E-3</v>
      </c>
      <c r="H311" s="215">
        <v>2</v>
      </c>
      <c r="I311" s="27">
        <f t="shared" si="74"/>
        <v>5.7915000000000001</v>
      </c>
      <c r="J311" s="215">
        <v>4</v>
      </c>
      <c r="K311" s="27">
        <v>279.92</v>
      </c>
      <c r="L311" s="27"/>
      <c r="M311" s="28">
        <f t="shared" si="66"/>
        <v>1621.1566800000001</v>
      </c>
      <c r="N311" s="524" t="s">
        <v>494</v>
      </c>
      <c r="O311" s="526">
        <v>2</v>
      </c>
      <c r="P311" s="489">
        <v>2800</v>
      </c>
      <c r="Q311" s="558">
        <f t="shared" si="67"/>
        <v>5600</v>
      </c>
    </row>
    <row r="312" spans="1:17" x14ac:dyDescent="0.25">
      <c r="A312" s="491"/>
      <c r="B312" s="515"/>
      <c r="C312" s="534"/>
      <c r="D312" s="535"/>
      <c r="E312" s="513"/>
      <c r="F312" s="215" t="s">
        <v>386</v>
      </c>
      <c r="G312" s="223">
        <f>G311*0.1</f>
        <v>7.5000000000000002E-4</v>
      </c>
      <c r="H312" s="215">
        <v>10</v>
      </c>
      <c r="I312" s="27">
        <f t="shared" si="74"/>
        <v>2.89575</v>
      </c>
      <c r="J312" s="215">
        <v>4</v>
      </c>
      <c r="K312" s="27">
        <v>279.92</v>
      </c>
      <c r="L312" s="27"/>
      <c r="M312" s="28">
        <f t="shared" si="66"/>
        <v>810.57834000000003</v>
      </c>
      <c r="N312" s="524"/>
      <c r="O312" s="526"/>
      <c r="P312" s="490"/>
      <c r="Q312" s="559">
        <f t="shared" si="67"/>
        <v>0</v>
      </c>
    </row>
    <row r="313" spans="1:17" x14ac:dyDescent="0.25">
      <c r="A313" s="491"/>
      <c r="B313" s="515"/>
      <c r="C313" s="534" t="s">
        <v>545</v>
      </c>
      <c r="D313" s="535" t="s">
        <v>546</v>
      </c>
      <c r="E313" s="513">
        <v>2.2000000000000002</v>
      </c>
      <c r="F313" s="215" t="s">
        <v>384</v>
      </c>
      <c r="G313" s="27">
        <f>0.002*1.5</f>
        <v>3.0000000000000001E-3</v>
      </c>
      <c r="H313" s="215">
        <v>2</v>
      </c>
      <c r="I313" s="27">
        <f t="shared" si="74"/>
        <v>2.3166000000000002</v>
      </c>
      <c r="J313" s="215">
        <v>4</v>
      </c>
      <c r="K313" s="27">
        <v>279.92</v>
      </c>
      <c r="L313" s="27"/>
      <c r="M313" s="28">
        <f t="shared" si="66"/>
        <v>648.46267200000011</v>
      </c>
      <c r="N313" s="224" t="s">
        <v>402</v>
      </c>
      <c r="O313" s="215">
        <v>1</v>
      </c>
      <c r="P313" s="215">
        <v>570</v>
      </c>
      <c r="Q313" s="29">
        <f t="shared" si="67"/>
        <v>570</v>
      </c>
    </row>
    <row r="314" spans="1:17" x14ac:dyDescent="0.25">
      <c r="A314" s="491"/>
      <c r="B314" s="515"/>
      <c r="C314" s="534"/>
      <c r="D314" s="535"/>
      <c r="E314" s="513"/>
      <c r="F314" s="215" t="s">
        <v>386</v>
      </c>
      <c r="G314" s="223">
        <f>G313*0.1</f>
        <v>3.0000000000000003E-4</v>
      </c>
      <c r="H314" s="215">
        <v>10</v>
      </c>
      <c r="I314" s="27">
        <f t="shared" si="74"/>
        <v>1.1583000000000001</v>
      </c>
      <c r="J314" s="215">
        <v>4</v>
      </c>
      <c r="K314" s="27">
        <v>279.92</v>
      </c>
      <c r="L314" s="27"/>
      <c r="M314" s="28">
        <f t="shared" si="66"/>
        <v>324.23133600000006</v>
      </c>
      <c r="N314" s="224" t="s">
        <v>399</v>
      </c>
      <c r="O314" s="215">
        <v>1</v>
      </c>
      <c r="P314" s="215">
        <v>450</v>
      </c>
      <c r="Q314" s="29">
        <f t="shared" si="67"/>
        <v>450</v>
      </c>
    </row>
    <row r="315" spans="1:17" x14ac:dyDescent="0.25">
      <c r="A315" s="491"/>
      <c r="B315" s="515"/>
      <c r="C315" s="534" t="s">
        <v>547</v>
      </c>
      <c r="D315" s="535" t="s">
        <v>546</v>
      </c>
      <c r="E315" s="513">
        <v>2.2000000000000002</v>
      </c>
      <c r="F315" s="215" t="s">
        <v>384</v>
      </c>
      <c r="G315" s="27">
        <f>0.002*1.5</f>
        <v>3.0000000000000001E-3</v>
      </c>
      <c r="H315" s="215">
        <v>2</v>
      </c>
      <c r="I315" s="27">
        <f t="shared" si="74"/>
        <v>2.3166000000000002</v>
      </c>
      <c r="J315" s="215">
        <v>4</v>
      </c>
      <c r="K315" s="27">
        <v>279.92</v>
      </c>
      <c r="L315" s="27"/>
      <c r="M315" s="28">
        <f t="shared" si="66"/>
        <v>648.46267200000011</v>
      </c>
      <c r="N315" s="224" t="s">
        <v>402</v>
      </c>
      <c r="O315" s="215">
        <v>1</v>
      </c>
      <c r="P315" s="215">
        <v>570</v>
      </c>
      <c r="Q315" s="29">
        <f t="shared" si="67"/>
        <v>570</v>
      </c>
    </row>
    <row r="316" spans="1:17" x14ac:dyDescent="0.25">
      <c r="A316" s="491"/>
      <c r="B316" s="515"/>
      <c r="C316" s="534"/>
      <c r="D316" s="535"/>
      <c r="E316" s="513"/>
      <c r="F316" s="215" t="s">
        <v>386</v>
      </c>
      <c r="G316" s="223">
        <f>G315*0.1</f>
        <v>3.0000000000000003E-4</v>
      </c>
      <c r="H316" s="215">
        <v>10</v>
      </c>
      <c r="I316" s="27">
        <f t="shared" si="74"/>
        <v>1.1583000000000001</v>
      </c>
      <c r="J316" s="215">
        <v>4</v>
      </c>
      <c r="K316" s="27">
        <v>279.92</v>
      </c>
      <c r="L316" s="27"/>
      <c r="M316" s="28">
        <f t="shared" si="66"/>
        <v>324.23133600000006</v>
      </c>
      <c r="N316" s="224" t="s">
        <v>399</v>
      </c>
      <c r="O316" s="215">
        <v>1</v>
      </c>
      <c r="P316" s="215">
        <v>450</v>
      </c>
      <c r="Q316" s="29">
        <f t="shared" si="67"/>
        <v>450</v>
      </c>
    </row>
    <row r="317" spans="1:17" x14ac:dyDescent="0.25">
      <c r="A317" s="491"/>
      <c r="B317" s="515"/>
      <c r="C317" s="534" t="s">
        <v>501</v>
      </c>
      <c r="D317" s="535" t="s">
        <v>548</v>
      </c>
      <c r="E317" s="513">
        <v>1.1000000000000001</v>
      </c>
      <c r="F317" s="215" t="s">
        <v>384</v>
      </c>
      <c r="G317" s="27">
        <f>0.001*1.5</f>
        <v>1.5E-3</v>
      </c>
      <c r="H317" s="215">
        <v>2</v>
      </c>
      <c r="I317" s="27">
        <f t="shared" si="74"/>
        <v>1.1583000000000001</v>
      </c>
      <c r="J317" s="215">
        <v>4</v>
      </c>
      <c r="K317" s="27">
        <v>279.92</v>
      </c>
      <c r="L317" s="27"/>
      <c r="M317" s="28">
        <f t="shared" si="66"/>
        <v>324.23133600000006</v>
      </c>
      <c r="N317" s="224" t="s">
        <v>399</v>
      </c>
      <c r="O317" s="215">
        <v>1</v>
      </c>
      <c r="P317" s="215">
        <v>450</v>
      </c>
      <c r="Q317" s="29">
        <f t="shared" si="67"/>
        <v>450</v>
      </c>
    </row>
    <row r="318" spans="1:17" x14ac:dyDescent="0.25">
      <c r="A318" s="491"/>
      <c r="B318" s="515"/>
      <c r="C318" s="534"/>
      <c r="D318" s="535"/>
      <c r="E318" s="513"/>
      <c r="F318" s="215" t="s">
        <v>386</v>
      </c>
      <c r="G318" s="223">
        <f>G317*0.1</f>
        <v>1.5000000000000001E-4</v>
      </c>
      <c r="H318" s="215">
        <v>10</v>
      </c>
      <c r="I318" s="27">
        <f t="shared" si="74"/>
        <v>0.57915000000000005</v>
      </c>
      <c r="J318" s="215">
        <v>4</v>
      </c>
      <c r="K318" s="27">
        <v>279.92</v>
      </c>
      <c r="L318" s="27"/>
      <c r="M318" s="28">
        <f t="shared" si="66"/>
        <v>162.11566800000003</v>
      </c>
      <c r="N318" s="224" t="s">
        <v>400</v>
      </c>
      <c r="O318" s="215">
        <v>1</v>
      </c>
      <c r="P318" s="215">
        <v>345</v>
      </c>
      <c r="Q318" s="29">
        <f t="shared" si="67"/>
        <v>345</v>
      </c>
    </row>
    <row r="319" spans="1:17" x14ac:dyDescent="0.25">
      <c r="A319" s="491"/>
      <c r="B319" s="515"/>
      <c r="C319" s="534" t="s">
        <v>503</v>
      </c>
      <c r="D319" s="535" t="s">
        <v>548</v>
      </c>
      <c r="E319" s="513">
        <v>1.1000000000000001</v>
      </c>
      <c r="F319" s="215" t="s">
        <v>384</v>
      </c>
      <c r="G319" s="27">
        <f>0.001*1.5</f>
        <v>1.5E-3</v>
      </c>
      <c r="H319" s="215">
        <v>2</v>
      </c>
      <c r="I319" s="27">
        <f t="shared" si="74"/>
        <v>1.1583000000000001</v>
      </c>
      <c r="J319" s="215">
        <v>4</v>
      </c>
      <c r="K319" s="27">
        <v>279.92</v>
      </c>
      <c r="L319" s="27"/>
      <c r="M319" s="28">
        <f t="shared" si="66"/>
        <v>324.23133600000006</v>
      </c>
      <c r="N319" s="224" t="s">
        <v>399</v>
      </c>
      <c r="O319" s="215">
        <v>1</v>
      </c>
      <c r="P319" s="215">
        <v>450</v>
      </c>
      <c r="Q319" s="29">
        <f t="shared" si="67"/>
        <v>450</v>
      </c>
    </row>
    <row r="320" spans="1:17" x14ac:dyDescent="0.25">
      <c r="A320" s="491"/>
      <c r="B320" s="515"/>
      <c r="C320" s="534"/>
      <c r="D320" s="535"/>
      <c r="E320" s="513"/>
      <c r="F320" s="215" t="s">
        <v>386</v>
      </c>
      <c r="G320" s="223">
        <f>G319*0.1</f>
        <v>1.5000000000000001E-4</v>
      </c>
      <c r="H320" s="215">
        <v>10</v>
      </c>
      <c r="I320" s="27">
        <f t="shared" si="74"/>
        <v>0.57915000000000005</v>
      </c>
      <c r="J320" s="215">
        <v>4</v>
      </c>
      <c r="K320" s="27">
        <v>279.92</v>
      </c>
      <c r="L320" s="27"/>
      <c r="M320" s="28">
        <f t="shared" si="66"/>
        <v>162.11566800000003</v>
      </c>
      <c r="N320" s="224" t="s">
        <v>400</v>
      </c>
      <c r="O320" s="215">
        <v>1</v>
      </c>
      <c r="P320" s="215">
        <v>345</v>
      </c>
      <c r="Q320" s="29">
        <f t="shared" si="67"/>
        <v>345</v>
      </c>
    </row>
    <row r="321" spans="1:17" x14ac:dyDescent="0.25">
      <c r="A321" s="491"/>
      <c r="B321" s="515"/>
      <c r="C321" s="499" t="s">
        <v>549</v>
      </c>
      <c r="D321" s="533"/>
      <c r="E321" s="513"/>
      <c r="F321" s="215" t="s">
        <v>384</v>
      </c>
      <c r="G321" s="27">
        <f>0.002*11*1.6</f>
        <v>3.5200000000000002E-2</v>
      </c>
      <c r="H321" s="215">
        <v>2</v>
      </c>
      <c r="I321" s="27">
        <f>G321*H321*1.1*351</f>
        <v>27.181440000000002</v>
      </c>
      <c r="J321" s="215">
        <v>4</v>
      </c>
      <c r="K321" s="27">
        <v>279.92</v>
      </c>
      <c r="L321" s="27"/>
      <c r="M321" s="28">
        <f t="shared" si="66"/>
        <v>7608.6286848000009</v>
      </c>
      <c r="N321" s="524" t="s">
        <v>426</v>
      </c>
      <c r="O321" s="526">
        <v>3</v>
      </c>
      <c r="P321" s="489">
        <v>15</v>
      </c>
      <c r="Q321" s="558">
        <f t="shared" si="67"/>
        <v>45</v>
      </c>
    </row>
    <row r="322" spans="1:17" x14ac:dyDescent="0.25">
      <c r="A322" s="491"/>
      <c r="B322" s="515"/>
      <c r="C322" s="499"/>
      <c r="D322" s="533"/>
      <c r="E322" s="513"/>
      <c r="F322" s="215" t="s">
        <v>386</v>
      </c>
      <c r="G322" s="223">
        <f>G321*0.1</f>
        <v>3.5200000000000006E-3</v>
      </c>
      <c r="H322" s="215">
        <v>10</v>
      </c>
      <c r="I322" s="27">
        <f t="shared" ref="I322" si="75">G322*H322*1.1*351</f>
        <v>13.590720000000005</v>
      </c>
      <c r="J322" s="215">
        <v>4</v>
      </c>
      <c r="K322" s="27">
        <v>279.92</v>
      </c>
      <c r="L322" s="27"/>
      <c r="M322" s="28">
        <f t="shared" si="66"/>
        <v>3804.3143424000014</v>
      </c>
      <c r="N322" s="524"/>
      <c r="O322" s="526"/>
      <c r="P322" s="490"/>
      <c r="Q322" s="559">
        <f t="shared" si="67"/>
        <v>0</v>
      </c>
    </row>
    <row r="323" spans="1:17" x14ac:dyDescent="0.25">
      <c r="A323" s="491"/>
      <c r="B323" s="515"/>
      <c r="C323" s="499" t="s">
        <v>550</v>
      </c>
      <c r="D323" s="533"/>
      <c r="E323" s="513"/>
      <c r="F323" s="215" t="s">
        <v>384</v>
      </c>
      <c r="G323" s="27">
        <f>0.003*3*1.6</f>
        <v>1.4400000000000003E-2</v>
      </c>
      <c r="H323" s="215">
        <v>2</v>
      </c>
      <c r="I323" s="27">
        <f>G323*H323*1.1*351</f>
        <v>11.119680000000002</v>
      </c>
      <c r="J323" s="215">
        <v>4</v>
      </c>
      <c r="K323" s="27">
        <v>279.92</v>
      </c>
      <c r="L323" s="27"/>
      <c r="M323" s="28">
        <f t="shared" si="66"/>
        <v>3112.6208256000009</v>
      </c>
      <c r="N323" s="524" t="s">
        <v>426</v>
      </c>
      <c r="O323" s="526">
        <v>1</v>
      </c>
      <c r="P323" s="489">
        <v>15</v>
      </c>
      <c r="Q323" s="558">
        <f t="shared" si="67"/>
        <v>15</v>
      </c>
    </row>
    <row r="324" spans="1:17" x14ac:dyDescent="0.25">
      <c r="A324" s="491"/>
      <c r="B324" s="515"/>
      <c r="C324" s="499"/>
      <c r="D324" s="533"/>
      <c r="E324" s="513"/>
      <c r="F324" s="215" t="s">
        <v>386</v>
      </c>
      <c r="G324" s="223">
        <f>G323*0.1</f>
        <v>1.4400000000000003E-3</v>
      </c>
      <c r="H324" s="215">
        <v>10</v>
      </c>
      <c r="I324" s="27">
        <f t="shared" ref="I324" si="76">G324*H324*1.1*351</f>
        <v>5.5598400000000012</v>
      </c>
      <c r="J324" s="215">
        <v>4</v>
      </c>
      <c r="K324" s="27">
        <v>279.92</v>
      </c>
      <c r="L324" s="27"/>
      <c r="M324" s="28">
        <f t="shared" si="66"/>
        <v>1556.3104128000004</v>
      </c>
      <c r="N324" s="524"/>
      <c r="O324" s="526"/>
      <c r="P324" s="490"/>
      <c r="Q324" s="559">
        <f t="shared" si="67"/>
        <v>0</v>
      </c>
    </row>
    <row r="325" spans="1:17" x14ac:dyDescent="0.25">
      <c r="A325" s="491"/>
      <c r="B325" s="515"/>
      <c r="C325" s="499" t="s">
        <v>551</v>
      </c>
      <c r="D325" s="533"/>
      <c r="E325" s="513"/>
      <c r="F325" s="215" t="s">
        <v>384</v>
      </c>
      <c r="G325" s="27">
        <f>0.006*3*1.6</f>
        <v>2.8800000000000006E-2</v>
      </c>
      <c r="H325" s="215">
        <v>2</v>
      </c>
      <c r="I325" s="27">
        <f>G325*H325*1.1*351</f>
        <v>22.239360000000005</v>
      </c>
      <c r="J325" s="215">
        <v>4</v>
      </c>
      <c r="K325" s="27">
        <v>279.92</v>
      </c>
      <c r="L325" s="27"/>
      <c r="M325" s="28">
        <f t="shared" si="66"/>
        <v>6225.2416512000018</v>
      </c>
      <c r="N325" s="524" t="s">
        <v>426</v>
      </c>
      <c r="O325" s="526">
        <v>1</v>
      </c>
      <c r="P325" s="489">
        <v>15</v>
      </c>
      <c r="Q325" s="558">
        <f t="shared" si="67"/>
        <v>15</v>
      </c>
    </row>
    <row r="326" spans="1:17" x14ac:dyDescent="0.25">
      <c r="A326" s="491"/>
      <c r="B326" s="515"/>
      <c r="C326" s="499"/>
      <c r="D326" s="533"/>
      <c r="E326" s="513"/>
      <c r="F326" s="215" t="s">
        <v>386</v>
      </c>
      <c r="G326" s="223">
        <f>G325*0.1</f>
        <v>2.8800000000000006E-3</v>
      </c>
      <c r="H326" s="215">
        <v>10</v>
      </c>
      <c r="I326" s="27">
        <f t="shared" ref="I326:I330" si="77">G326*H326*1.1*351</f>
        <v>11.119680000000002</v>
      </c>
      <c r="J326" s="215">
        <v>4</v>
      </c>
      <c r="K326" s="27">
        <v>279.92</v>
      </c>
      <c r="L326" s="27"/>
      <c r="M326" s="28">
        <f t="shared" ref="M326:M389" si="78">I326*K326</f>
        <v>3112.6208256000009</v>
      </c>
      <c r="N326" s="524"/>
      <c r="O326" s="526"/>
      <c r="P326" s="490"/>
      <c r="Q326" s="559">
        <f t="shared" ref="Q326:Q344" si="79">P326*O326</f>
        <v>0</v>
      </c>
    </row>
    <row r="327" spans="1:17" x14ac:dyDescent="0.25">
      <c r="A327" s="491"/>
      <c r="B327" s="515"/>
      <c r="C327" s="499" t="s">
        <v>506</v>
      </c>
      <c r="D327" s="512" t="s">
        <v>461</v>
      </c>
      <c r="E327" s="513">
        <v>0.25</v>
      </c>
      <c r="F327" s="215" t="s">
        <v>384</v>
      </c>
      <c r="G327" s="27">
        <f>0.007*1.6</f>
        <v>1.1200000000000002E-2</v>
      </c>
      <c r="H327" s="215">
        <v>1</v>
      </c>
      <c r="I327" s="27">
        <f t="shared" si="77"/>
        <v>4.3243200000000011</v>
      </c>
      <c r="J327" s="215">
        <v>4</v>
      </c>
      <c r="K327" s="27">
        <v>279.92</v>
      </c>
      <c r="L327" s="27"/>
      <c r="M327" s="28">
        <f t="shared" si="78"/>
        <v>1210.4636544000005</v>
      </c>
      <c r="N327" s="524" t="s">
        <v>426</v>
      </c>
      <c r="O327" s="526">
        <v>1</v>
      </c>
      <c r="P327" s="489">
        <v>15</v>
      </c>
      <c r="Q327" s="558">
        <f t="shared" si="79"/>
        <v>15</v>
      </c>
    </row>
    <row r="328" spans="1:17" x14ac:dyDescent="0.25">
      <c r="A328" s="491"/>
      <c r="B328" s="515"/>
      <c r="C328" s="499"/>
      <c r="D328" s="512"/>
      <c r="E328" s="513"/>
      <c r="F328" s="215" t="s">
        <v>386</v>
      </c>
      <c r="G328" s="223">
        <f>G327*0.1</f>
        <v>1.1200000000000001E-3</v>
      </c>
      <c r="H328" s="215">
        <v>11</v>
      </c>
      <c r="I328" s="27">
        <f t="shared" si="77"/>
        <v>4.7567520000000005</v>
      </c>
      <c r="J328" s="215">
        <v>4</v>
      </c>
      <c r="K328" s="27">
        <v>279.92</v>
      </c>
      <c r="L328" s="27"/>
      <c r="M328" s="28">
        <f t="shared" si="78"/>
        <v>1331.5100198400003</v>
      </c>
      <c r="N328" s="524"/>
      <c r="O328" s="526"/>
      <c r="P328" s="490"/>
      <c r="Q328" s="559">
        <f t="shared" si="79"/>
        <v>0</v>
      </c>
    </row>
    <row r="329" spans="1:17" ht="15.75" customHeight="1" x14ac:dyDescent="0.25">
      <c r="A329" s="491"/>
      <c r="B329" s="515"/>
      <c r="C329" s="512" t="s">
        <v>485</v>
      </c>
      <c r="D329" s="533"/>
      <c r="E329" s="513"/>
      <c r="F329" s="215" t="s">
        <v>384</v>
      </c>
      <c r="G329" s="27">
        <f>0.006*1.6</f>
        <v>9.6000000000000009E-3</v>
      </c>
      <c r="H329" s="215">
        <v>1</v>
      </c>
      <c r="I329" s="27">
        <f t="shared" si="77"/>
        <v>3.7065600000000005</v>
      </c>
      <c r="J329" s="215">
        <v>4</v>
      </c>
      <c r="K329" s="27">
        <v>279.92</v>
      </c>
      <c r="L329" s="27"/>
      <c r="M329" s="28">
        <f t="shared" si="78"/>
        <v>1037.5402752000002</v>
      </c>
      <c r="N329" s="524" t="s">
        <v>415</v>
      </c>
      <c r="O329" s="526">
        <v>8</v>
      </c>
      <c r="P329" s="489">
        <v>145.88999999999999</v>
      </c>
      <c r="Q329" s="558">
        <f t="shared" si="79"/>
        <v>1167.1199999999999</v>
      </c>
    </row>
    <row r="330" spans="1:17" x14ac:dyDescent="0.25">
      <c r="A330" s="491"/>
      <c r="B330" s="515"/>
      <c r="C330" s="512"/>
      <c r="D330" s="533"/>
      <c r="E330" s="513"/>
      <c r="F330" s="215" t="s">
        <v>386</v>
      </c>
      <c r="G330" s="223">
        <f>G329*0.1</f>
        <v>9.6000000000000013E-4</v>
      </c>
      <c r="H330" s="215">
        <v>11</v>
      </c>
      <c r="I330" s="27">
        <f t="shared" si="77"/>
        <v>4.0772160000000008</v>
      </c>
      <c r="J330" s="215">
        <v>4</v>
      </c>
      <c r="K330" s="27">
        <v>279.92</v>
      </c>
      <c r="L330" s="27"/>
      <c r="M330" s="28">
        <f t="shared" si="78"/>
        <v>1141.2943027200004</v>
      </c>
      <c r="N330" s="524"/>
      <c r="O330" s="526"/>
      <c r="P330" s="490"/>
      <c r="Q330" s="559">
        <f t="shared" si="79"/>
        <v>0</v>
      </c>
    </row>
    <row r="331" spans="1:17" ht="15.75" customHeight="1" x14ac:dyDescent="0.25">
      <c r="A331" s="491"/>
      <c r="B331" s="515"/>
      <c r="C331" s="504" t="s">
        <v>419</v>
      </c>
      <c r="D331" s="515"/>
      <c r="E331" s="500"/>
      <c r="F331" s="215" t="s">
        <v>384</v>
      </c>
      <c r="G331" s="27">
        <f>0.004*2.7*1.6</f>
        <v>1.728E-2</v>
      </c>
      <c r="H331" s="215">
        <v>1</v>
      </c>
      <c r="I331" s="27">
        <f>G331*H331*1.1*351</f>
        <v>6.6718080000000004</v>
      </c>
      <c r="J331" s="215">
        <v>4</v>
      </c>
      <c r="K331" s="27">
        <v>279.92</v>
      </c>
      <c r="L331" s="27"/>
      <c r="M331" s="28">
        <f t="shared" si="78"/>
        <v>1867.5724953600002</v>
      </c>
      <c r="N331" s="524" t="s">
        <v>420</v>
      </c>
      <c r="O331" s="526">
        <v>54</v>
      </c>
      <c r="P331" s="489">
        <v>219.92</v>
      </c>
      <c r="Q331" s="558">
        <f t="shared" si="79"/>
        <v>11875.679999999998</v>
      </c>
    </row>
    <row r="332" spans="1:17" x14ac:dyDescent="0.25">
      <c r="A332" s="491"/>
      <c r="B332" s="515"/>
      <c r="C332" s="504"/>
      <c r="D332" s="515"/>
      <c r="E332" s="500"/>
      <c r="F332" s="215" t="s">
        <v>386</v>
      </c>
      <c r="G332" s="223">
        <f>G331*0.1</f>
        <v>1.7280000000000002E-3</v>
      </c>
      <c r="H332" s="215">
        <v>11</v>
      </c>
      <c r="I332" s="27">
        <f t="shared" ref="I332" si="80">G332*H332*1.1*351</f>
        <v>7.338988800000001</v>
      </c>
      <c r="J332" s="215">
        <v>4</v>
      </c>
      <c r="K332" s="27">
        <v>279.92</v>
      </c>
      <c r="L332" s="27"/>
      <c r="M332" s="28">
        <f t="shared" si="78"/>
        <v>2054.3297448960002</v>
      </c>
      <c r="N332" s="524"/>
      <c r="O332" s="526"/>
      <c r="P332" s="490"/>
      <c r="Q332" s="559">
        <f t="shared" si="79"/>
        <v>0</v>
      </c>
    </row>
    <row r="333" spans="1:17" x14ac:dyDescent="0.25">
      <c r="A333" s="491"/>
      <c r="B333" s="515"/>
      <c r="C333" s="510" t="s">
        <v>424</v>
      </c>
      <c r="D333" s="507"/>
      <c r="E333" s="507"/>
      <c r="F333" s="215" t="s">
        <v>384</v>
      </c>
      <c r="G333" s="27">
        <f>0.028*0.485</f>
        <v>1.358E-2</v>
      </c>
      <c r="H333" s="215">
        <v>1</v>
      </c>
      <c r="I333" s="27">
        <f>G333*H333*1.1*351</f>
        <v>5.2432380000000007</v>
      </c>
      <c r="J333" s="215">
        <v>4</v>
      </c>
      <c r="K333" s="27">
        <v>279.92</v>
      </c>
      <c r="L333" s="27"/>
      <c r="M333" s="28">
        <f t="shared" si="78"/>
        <v>1467.6871809600002</v>
      </c>
      <c r="N333" s="37" t="s">
        <v>314</v>
      </c>
      <c r="O333" s="31">
        <v>1</v>
      </c>
      <c r="P333" s="215">
        <v>102</v>
      </c>
      <c r="Q333" s="29">
        <f t="shared" si="79"/>
        <v>102</v>
      </c>
    </row>
    <row r="334" spans="1:17" x14ac:dyDescent="0.25">
      <c r="A334" s="491"/>
      <c r="B334" s="515"/>
      <c r="C334" s="502"/>
      <c r="D334" s="507"/>
      <c r="E334" s="507"/>
      <c r="F334" s="215" t="s">
        <v>386</v>
      </c>
      <c r="G334" s="223">
        <f>G333*0.1</f>
        <v>1.358E-3</v>
      </c>
      <c r="H334" s="215">
        <v>11</v>
      </c>
      <c r="I334" s="27">
        <f t="shared" ref="I334" si="81">G334*H334*1.1*351</f>
        <v>5.7675618000000002</v>
      </c>
      <c r="J334" s="215">
        <v>4</v>
      </c>
      <c r="K334" s="27">
        <v>279.92</v>
      </c>
      <c r="L334" s="27"/>
      <c r="M334" s="28">
        <f t="shared" si="78"/>
        <v>1614.4558990560001</v>
      </c>
      <c r="N334" s="37" t="s">
        <v>426</v>
      </c>
      <c r="O334" s="31">
        <v>1</v>
      </c>
      <c r="P334" s="215">
        <v>15</v>
      </c>
      <c r="Q334" s="29">
        <f t="shared" si="79"/>
        <v>15</v>
      </c>
    </row>
    <row r="335" spans="1:17" x14ac:dyDescent="0.25">
      <c r="A335" s="491"/>
      <c r="B335" s="515"/>
      <c r="C335" s="510" t="s">
        <v>427</v>
      </c>
      <c r="D335" s="507"/>
      <c r="E335" s="507"/>
      <c r="F335" s="215" t="s">
        <v>384</v>
      </c>
      <c r="G335" s="27">
        <f>0.04*0.11</f>
        <v>4.4000000000000003E-3</v>
      </c>
      <c r="H335" s="215">
        <v>1</v>
      </c>
      <c r="I335" s="27">
        <f>G335*H335*1.1*351</f>
        <v>1.6988400000000001</v>
      </c>
      <c r="J335" s="215">
        <v>4</v>
      </c>
      <c r="K335" s="27">
        <v>279.92</v>
      </c>
      <c r="L335" s="27"/>
      <c r="M335" s="28">
        <f t="shared" si="78"/>
        <v>475.53929280000006</v>
      </c>
      <c r="N335" s="37" t="s">
        <v>314</v>
      </c>
      <c r="O335" s="31">
        <v>1</v>
      </c>
      <c r="P335" s="215">
        <v>102</v>
      </c>
      <c r="Q335" s="29">
        <f t="shared" si="79"/>
        <v>102</v>
      </c>
    </row>
    <row r="336" spans="1:17" x14ac:dyDescent="0.25">
      <c r="A336" s="491"/>
      <c r="B336" s="515"/>
      <c r="C336" s="502"/>
      <c r="D336" s="507"/>
      <c r="E336" s="507"/>
      <c r="F336" s="215" t="s">
        <v>386</v>
      </c>
      <c r="G336" s="223">
        <f>G335*0.1</f>
        <v>4.4000000000000007E-4</v>
      </c>
      <c r="H336" s="215">
        <v>11</v>
      </c>
      <c r="I336" s="27">
        <f t="shared" ref="I336:I362" si="82">G336*H336*1.1*351</f>
        <v>1.8687240000000003</v>
      </c>
      <c r="J336" s="215">
        <v>4</v>
      </c>
      <c r="K336" s="27">
        <v>279.92</v>
      </c>
      <c r="L336" s="27"/>
      <c r="M336" s="28">
        <f>I336*K336</f>
        <v>523.09322208000015</v>
      </c>
      <c r="N336" s="37" t="s">
        <v>426</v>
      </c>
      <c r="O336" s="31">
        <v>1</v>
      </c>
      <c r="P336" s="215">
        <v>15</v>
      </c>
      <c r="Q336" s="29">
        <f t="shared" si="79"/>
        <v>15</v>
      </c>
    </row>
    <row r="337" spans="1:17" x14ac:dyDescent="0.25">
      <c r="A337" s="491"/>
      <c r="B337" s="515"/>
      <c r="C337" s="510" t="s">
        <v>462</v>
      </c>
      <c r="D337" s="507"/>
      <c r="E337" s="507"/>
      <c r="F337" s="215" t="s">
        <v>384</v>
      </c>
      <c r="G337" s="27">
        <f>0.06*0.175</f>
        <v>1.0499999999999999E-2</v>
      </c>
      <c r="H337" s="215">
        <v>1</v>
      </c>
      <c r="I337" s="27">
        <f t="shared" si="82"/>
        <v>4.0540500000000002</v>
      </c>
      <c r="J337" s="215">
        <v>4</v>
      </c>
      <c r="K337" s="27">
        <v>279.92</v>
      </c>
      <c r="L337" s="27"/>
      <c r="M337" s="28">
        <f t="shared" si="78"/>
        <v>1134.8096760000001</v>
      </c>
      <c r="N337" s="37" t="s">
        <v>314</v>
      </c>
      <c r="O337" s="31">
        <v>1</v>
      </c>
      <c r="P337" s="215">
        <v>102</v>
      </c>
      <c r="Q337" s="29">
        <f t="shared" si="79"/>
        <v>102</v>
      </c>
    </row>
    <row r="338" spans="1:17" x14ac:dyDescent="0.25">
      <c r="A338" s="491"/>
      <c r="B338" s="515"/>
      <c r="C338" s="502"/>
      <c r="D338" s="507"/>
      <c r="E338" s="507"/>
      <c r="F338" s="215" t="s">
        <v>386</v>
      </c>
      <c r="G338" s="223">
        <f>G337*0.1</f>
        <v>1.0499999999999999E-3</v>
      </c>
      <c r="H338" s="215">
        <v>11</v>
      </c>
      <c r="I338" s="27">
        <f t="shared" si="82"/>
        <v>4.4594550000000002</v>
      </c>
      <c r="J338" s="215">
        <v>4</v>
      </c>
      <c r="K338" s="27">
        <v>279.92</v>
      </c>
      <c r="L338" s="27"/>
      <c r="M338" s="28">
        <f t="shared" si="78"/>
        <v>1248.2906436000001</v>
      </c>
      <c r="N338" s="37" t="s">
        <v>426</v>
      </c>
      <c r="O338" s="31">
        <v>1</v>
      </c>
      <c r="P338" s="215">
        <v>15</v>
      </c>
      <c r="Q338" s="29">
        <f t="shared" si="79"/>
        <v>15</v>
      </c>
    </row>
    <row r="339" spans="1:17" x14ac:dyDescent="0.25">
      <c r="A339" s="491"/>
      <c r="B339" s="515"/>
      <c r="C339" s="502" t="s">
        <v>552</v>
      </c>
      <c r="D339" s="507"/>
      <c r="E339" s="507"/>
      <c r="F339" s="215" t="s">
        <v>384</v>
      </c>
      <c r="G339" s="27">
        <f>0.014*4*1.6</f>
        <v>8.9600000000000013E-2</v>
      </c>
      <c r="H339" s="215">
        <v>1</v>
      </c>
      <c r="I339" s="27">
        <f t="shared" si="82"/>
        <v>34.594560000000008</v>
      </c>
      <c r="J339" s="215">
        <v>4</v>
      </c>
      <c r="K339" s="27">
        <v>279.92</v>
      </c>
      <c r="L339" s="27"/>
      <c r="M339" s="28">
        <f t="shared" si="78"/>
        <v>9683.7092352000036</v>
      </c>
      <c r="N339" s="530" t="s">
        <v>426</v>
      </c>
      <c r="O339" s="532">
        <v>1</v>
      </c>
      <c r="P339" s="215">
        <v>15</v>
      </c>
      <c r="Q339" s="29">
        <f t="shared" si="79"/>
        <v>15</v>
      </c>
    </row>
    <row r="340" spans="1:17" x14ac:dyDescent="0.25">
      <c r="A340" s="491"/>
      <c r="B340" s="515"/>
      <c r="C340" s="502"/>
      <c r="D340" s="507"/>
      <c r="E340" s="507"/>
      <c r="F340" s="215" t="s">
        <v>386</v>
      </c>
      <c r="G340" s="223">
        <f>G339*0.1</f>
        <v>8.9600000000000009E-3</v>
      </c>
      <c r="H340" s="215">
        <v>11</v>
      </c>
      <c r="I340" s="27">
        <f t="shared" si="82"/>
        <v>38.054016000000004</v>
      </c>
      <c r="J340" s="215">
        <v>4</v>
      </c>
      <c r="K340" s="27">
        <v>279.92</v>
      </c>
      <c r="L340" s="27"/>
      <c r="M340" s="28">
        <f t="shared" si="78"/>
        <v>10652.080158720002</v>
      </c>
      <c r="N340" s="530"/>
      <c r="O340" s="532"/>
      <c r="P340" s="215"/>
      <c r="Q340" s="29"/>
    </row>
    <row r="341" spans="1:17" x14ac:dyDescent="0.25">
      <c r="A341" s="491"/>
      <c r="B341" s="515"/>
      <c r="C341" s="512" t="s">
        <v>464</v>
      </c>
      <c r="D341" s="508"/>
      <c r="E341" s="509"/>
      <c r="F341" s="215" t="s">
        <v>384</v>
      </c>
      <c r="G341" s="27">
        <f>0.012*0.54</f>
        <v>6.4800000000000005E-3</v>
      </c>
      <c r="H341" s="215">
        <v>1</v>
      </c>
      <c r="I341" s="27">
        <f t="shared" si="82"/>
        <v>2.5019280000000004</v>
      </c>
      <c r="J341" s="215">
        <v>4</v>
      </c>
      <c r="K341" s="27">
        <v>279.92</v>
      </c>
      <c r="L341" s="27"/>
      <c r="M341" s="28">
        <f t="shared" si="78"/>
        <v>700.33968576000018</v>
      </c>
      <c r="N341" s="36"/>
      <c r="O341" s="215"/>
      <c r="P341" s="215"/>
      <c r="Q341" s="29"/>
    </row>
    <row r="342" spans="1:17" ht="31.5" x14ac:dyDescent="0.25">
      <c r="A342" s="491"/>
      <c r="B342" s="515"/>
      <c r="C342" s="512"/>
      <c r="D342" s="508"/>
      <c r="E342" s="509"/>
      <c r="F342" s="215" t="s">
        <v>386</v>
      </c>
      <c r="G342" s="223">
        <f>G341*0.1</f>
        <v>6.4800000000000014E-4</v>
      </c>
      <c r="H342" s="215">
        <v>11</v>
      </c>
      <c r="I342" s="27">
        <f t="shared" si="82"/>
        <v>2.7521208000000006</v>
      </c>
      <c r="J342" s="215">
        <v>4</v>
      </c>
      <c r="K342" s="27">
        <v>279.92</v>
      </c>
      <c r="L342" s="27"/>
      <c r="M342" s="28">
        <f t="shared" si="78"/>
        <v>770.37365433600019</v>
      </c>
      <c r="N342" s="224" t="s">
        <v>553</v>
      </c>
      <c r="O342" s="215">
        <v>1</v>
      </c>
      <c r="P342" s="215">
        <v>173</v>
      </c>
      <c r="Q342" s="29">
        <f t="shared" si="79"/>
        <v>173</v>
      </c>
    </row>
    <row r="343" spans="1:17" x14ac:dyDescent="0.25">
      <c r="A343" s="526">
        <v>7</v>
      </c>
      <c r="B343" s="532" t="s">
        <v>1032</v>
      </c>
      <c r="C343" s="530" t="s">
        <v>782</v>
      </c>
      <c r="D343" s="460" t="s">
        <v>793</v>
      </c>
      <c r="E343" s="527">
        <v>15</v>
      </c>
      <c r="F343" s="215" t="s">
        <v>43</v>
      </c>
      <c r="G343" s="222">
        <f>0.005*1.5</f>
        <v>7.4999999999999997E-3</v>
      </c>
      <c r="H343" s="30">
        <v>2</v>
      </c>
      <c r="I343" s="238">
        <f t="shared" si="82"/>
        <v>5.7915000000000001</v>
      </c>
      <c r="J343" s="215">
        <v>4</v>
      </c>
      <c r="K343" s="27">
        <v>279.92</v>
      </c>
      <c r="L343" s="241"/>
      <c r="M343" s="28">
        <f>I343*K343</f>
        <v>1621.1566800000001</v>
      </c>
      <c r="N343" s="556" t="s">
        <v>797</v>
      </c>
      <c r="O343" s="489">
        <v>2</v>
      </c>
      <c r="P343" s="489">
        <v>1401</v>
      </c>
      <c r="Q343" s="560">
        <f t="shared" si="79"/>
        <v>2802</v>
      </c>
    </row>
    <row r="344" spans="1:17" x14ac:dyDescent="0.25">
      <c r="A344" s="526"/>
      <c r="B344" s="532"/>
      <c r="C344" s="503"/>
      <c r="D344" s="460"/>
      <c r="E344" s="528"/>
      <c r="F344" s="215" t="s">
        <v>44</v>
      </c>
      <c r="G344" s="222">
        <f>G343*0.1</f>
        <v>7.5000000000000002E-4</v>
      </c>
      <c r="H344" s="30">
        <v>10</v>
      </c>
      <c r="I344" s="238">
        <f t="shared" si="82"/>
        <v>2.89575</v>
      </c>
      <c r="J344" s="215">
        <v>4</v>
      </c>
      <c r="K344" s="27">
        <v>279.92</v>
      </c>
      <c r="L344" s="241"/>
      <c r="M344" s="28">
        <f t="shared" si="78"/>
        <v>810.57834000000003</v>
      </c>
      <c r="N344" s="557"/>
      <c r="O344" s="490"/>
      <c r="P344" s="490"/>
      <c r="Q344" s="561">
        <f t="shared" si="79"/>
        <v>0</v>
      </c>
    </row>
    <row r="345" spans="1:17" x14ac:dyDescent="0.25">
      <c r="A345" s="526"/>
      <c r="B345" s="532"/>
      <c r="C345" s="530" t="s">
        <v>783</v>
      </c>
      <c r="D345" s="460" t="s">
        <v>793</v>
      </c>
      <c r="E345" s="527">
        <v>15</v>
      </c>
      <c r="F345" s="215" t="s">
        <v>43</v>
      </c>
      <c r="G345" s="222">
        <f>0.005*1.5</f>
        <v>7.4999999999999997E-3</v>
      </c>
      <c r="H345" s="30">
        <v>2</v>
      </c>
      <c r="I345" s="238">
        <f t="shared" si="82"/>
        <v>5.7915000000000001</v>
      </c>
      <c r="J345" s="215">
        <v>4</v>
      </c>
      <c r="K345" s="27">
        <v>279.92</v>
      </c>
      <c r="L345" s="241"/>
      <c r="M345" s="28">
        <f t="shared" si="78"/>
        <v>1621.1566800000001</v>
      </c>
      <c r="N345" s="226" t="s">
        <v>797</v>
      </c>
      <c r="O345" s="489">
        <v>2</v>
      </c>
      <c r="P345" s="489">
        <v>1401</v>
      </c>
      <c r="Q345" s="560">
        <f t="shared" ref="Q345:Q348" si="83">P345*O345</f>
        <v>2802</v>
      </c>
    </row>
    <row r="346" spans="1:17" x14ac:dyDescent="0.25">
      <c r="A346" s="526"/>
      <c r="B346" s="532"/>
      <c r="C346" s="503"/>
      <c r="D346" s="460"/>
      <c r="E346" s="528"/>
      <c r="F346" s="215" t="s">
        <v>44</v>
      </c>
      <c r="G346" s="222">
        <f>G345*0.1</f>
        <v>7.5000000000000002E-4</v>
      </c>
      <c r="H346" s="30">
        <v>10</v>
      </c>
      <c r="I346" s="238">
        <f t="shared" si="82"/>
        <v>2.89575</v>
      </c>
      <c r="J346" s="215">
        <v>4</v>
      </c>
      <c r="K346" s="27">
        <v>279.92</v>
      </c>
      <c r="L346" s="241"/>
      <c r="M346" s="28">
        <f t="shared" si="78"/>
        <v>810.57834000000003</v>
      </c>
      <c r="N346" s="226"/>
      <c r="O346" s="490"/>
      <c r="P346" s="490"/>
      <c r="Q346" s="561">
        <f t="shared" si="83"/>
        <v>0</v>
      </c>
    </row>
    <row r="347" spans="1:17" x14ac:dyDescent="0.25">
      <c r="A347" s="526"/>
      <c r="B347" s="532"/>
      <c r="C347" s="530" t="s">
        <v>784</v>
      </c>
      <c r="D347" s="460" t="s">
        <v>794</v>
      </c>
      <c r="E347" s="527">
        <v>11</v>
      </c>
      <c r="F347" s="215" t="s">
        <v>43</v>
      </c>
      <c r="G347" s="222">
        <f>0.005*1.5</f>
        <v>7.4999999999999997E-3</v>
      </c>
      <c r="H347" s="30">
        <v>2</v>
      </c>
      <c r="I347" s="238">
        <f t="shared" si="82"/>
        <v>5.7915000000000001</v>
      </c>
      <c r="J347" s="215">
        <v>4</v>
      </c>
      <c r="K347" s="27">
        <v>279.92</v>
      </c>
      <c r="L347" s="241"/>
      <c r="M347" s="28">
        <f t="shared" si="78"/>
        <v>1621.1566800000001</v>
      </c>
      <c r="N347" s="219" t="s">
        <v>798</v>
      </c>
      <c r="O347" s="489">
        <v>2</v>
      </c>
      <c r="P347" s="489">
        <v>1580</v>
      </c>
      <c r="Q347" s="560">
        <f t="shared" si="83"/>
        <v>3160</v>
      </c>
    </row>
    <row r="348" spans="1:17" x14ac:dyDescent="0.25">
      <c r="A348" s="526"/>
      <c r="B348" s="532"/>
      <c r="C348" s="503"/>
      <c r="D348" s="460"/>
      <c r="E348" s="528"/>
      <c r="F348" s="215" t="s">
        <v>44</v>
      </c>
      <c r="G348" s="222">
        <f>G347*0.1</f>
        <v>7.5000000000000002E-4</v>
      </c>
      <c r="H348" s="30">
        <v>10</v>
      </c>
      <c r="I348" s="238">
        <f t="shared" si="82"/>
        <v>2.89575</v>
      </c>
      <c r="J348" s="215">
        <v>4</v>
      </c>
      <c r="K348" s="27">
        <v>279.92</v>
      </c>
      <c r="L348" s="241"/>
      <c r="M348" s="28">
        <f t="shared" si="78"/>
        <v>810.57834000000003</v>
      </c>
      <c r="N348" s="219"/>
      <c r="O348" s="490"/>
      <c r="P348" s="490"/>
      <c r="Q348" s="561">
        <f t="shared" si="83"/>
        <v>0</v>
      </c>
    </row>
    <row r="349" spans="1:17" x14ac:dyDescent="0.25">
      <c r="A349" s="526"/>
      <c r="B349" s="532"/>
      <c r="C349" s="530" t="s">
        <v>785</v>
      </c>
      <c r="D349" s="460" t="s">
        <v>794</v>
      </c>
      <c r="E349" s="527">
        <v>11</v>
      </c>
      <c r="F349" s="215" t="s">
        <v>43</v>
      </c>
      <c r="G349" s="222">
        <f>0.005*1.5</f>
        <v>7.4999999999999997E-3</v>
      </c>
      <c r="H349" s="30">
        <v>2</v>
      </c>
      <c r="I349" s="238">
        <f t="shared" si="82"/>
        <v>5.7915000000000001</v>
      </c>
      <c r="J349" s="215">
        <v>4</v>
      </c>
      <c r="K349" s="27">
        <v>279.92</v>
      </c>
      <c r="L349" s="241"/>
      <c r="M349" s="28">
        <f t="shared" si="78"/>
        <v>1621.1566800000001</v>
      </c>
      <c r="N349" s="219" t="s">
        <v>798</v>
      </c>
      <c r="O349" s="489">
        <v>2</v>
      </c>
      <c r="P349" s="489">
        <v>1580</v>
      </c>
      <c r="Q349" s="560">
        <f t="shared" ref="Q349:Q396" si="84">P349*O349</f>
        <v>3160</v>
      </c>
    </row>
    <row r="350" spans="1:17" x14ac:dyDescent="0.25">
      <c r="A350" s="526"/>
      <c r="B350" s="532"/>
      <c r="C350" s="503"/>
      <c r="D350" s="460"/>
      <c r="E350" s="528"/>
      <c r="F350" s="215" t="s">
        <v>44</v>
      </c>
      <c r="G350" s="222">
        <f>G349*0.1</f>
        <v>7.5000000000000002E-4</v>
      </c>
      <c r="H350" s="30">
        <v>10</v>
      </c>
      <c r="I350" s="238">
        <f t="shared" si="82"/>
        <v>2.89575</v>
      </c>
      <c r="J350" s="215">
        <v>4</v>
      </c>
      <c r="K350" s="27">
        <v>279.92</v>
      </c>
      <c r="L350" s="241"/>
      <c r="M350" s="28">
        <f t="shared" si="78"/>
        <v>810.57834000000003</v>
      </c>
      <c r="N350" s="219"/>
      <c r="O350" s="490"/>
      <c r="P350" s="490"/>
      <c r="Q350" s="561">
        <f t="shared" si="84"/>
        <v>0</v>
      </c>
    </row>
    <row r="351" spans="1:17" x14ac:dyDescent="0.25">
      <c r="A351" s="526"/>
      <c r="B351" s="532"/>
      <c r="C351" s="530" t="s">
        <v>786</v>
      </c>
      <c r="D351" s="460" t="s">
        <v>795</v>
      </c>
      <c r="E351" s="527">
        <v>0.37</v>
      </c>
      <c r="F351" s="215" t="s">
        <v>43</v>
      </c>
      <c r="G351" s="222">
        <f>0.001*1.5</f>
        <v>1.5E-3</v>
      </c>
      <c r="H351" s="30">
        <v>2</v>
      </c>
      <c r="I351" s="238">
        <f t="shared" si="82"/>
        <v>1.1583000000000001</v>
      </c>
      <c r="J351" s="215">
        <v>4</v>
      </c>
      <c r="K351" s="27">
        <v>279.92</v>
      </c>
      <c r="L351" s="241"/>
      <c r="M351" s="28">
        <f t="shared" si="78"/>
        <v>324.23133600000006</v>
      </c>
      <c r="N351" s="524" t="s">
        <v>799</v>
      </c>
      <c r="O351" s="526">
        <v>0.06</v>
      </c>
      <c r="P351" s="489">
        <v>7725</v>
      </c>
      <c r="Q351" s="560">
        <f t="shared" si="84"/>
        <v>463.5</v>
      </c>
    </row>
    <row r="352" spans="1:17" x14ac:dyDescent="0.25">
      <c r="A352" s="526"/>
      <c r="B352" s="532"/>
      <c r="C352" s="503"/>
      <c r="D352" s="460"/>
      <c r="E352" s="528"/>
      <c r="F352" s="215" t="s">
        <v>44</v>
      </c>
      <c r="G352" s="222">
        <f>G351*0.1</f>
        <v>1.5000000000000001E-4</v>
      </c>
      <c r="H352" s="30">
        <v>10</v>
      </c>
      <c r="I352" s="238">
        <f t="shared" si="82"/>
        <v>0.57915000000000005</v>
      </c>
      <c r="J352" s="215">
        <v>4</v>
      </c>
      <c r="K352" s="27">
        <v>279.92</v>
      </c>
      <c r="L352" s="241"/>
      <c r="M352" s="28">
        <f t="shared" si="78"/>
        <v>162.11566800000003</v>
      </c>
      <c r="N352" s="524"/>
      <c r="O352" s="526"/>
      <c r="P352" s="490"/>
      <c r="Q352" s="561">
        <f t="shared" si="84"/>
        <v>0</v>
      </c>
    </row>
    <row r="353" spans="1:17" x14ac:dyDescent="0.25">
      <c r="A353" s="526"/>
      <c r="B353" s="532"/>
      <c r="C353" s="530" t="s">
        <v>787</v>
      </c>
      <c r="D353" s="460" t="s">
        <v>795</v>
      </c>
      <c r="E353" s="527">
        <v>0.37</v>
      </c>
      <c r="F353" s="215" t="s">
        <v>43</v>
      </c>
      <c r="G353" s="222">
        <f>0.001*1.5</f>
        <v>1.5E-3</v>
      </c>
      <c r="H353" s="30">
        <v>2</v>
      </c>
      <c r="I353" s="238">
        <f t="shared" si="82"/>
        <v>1.1583000000000001</v>
      </c>
      <c r="J353" s="215">
        <v>4</v>
      </c>
      <c r="K353" s="27">
        <v>279.92</v>
      </c>
      <c r="L353" s="241"/>
      <c r="M353" s="28">
        <f t="shared" si="78"/>
        <v>324.23133600000006</v>
      </c>
      <c r="N353" s="524" t="s">
        <v>799</v>
      </c>
      <c r="O353" s="526">
        <v>0.06</v>
      </c>
      <c r="P353" s="489">
        <v>7725</v>
      </c>
      <c r="Q353" s="560">
        <f t="shared" si="84"/>
        <v>463.5</v>
      </c>
    </row>
    <row r="354" spans="1:17" x14ac:dyDescent="0.25">
      <c r="A354" s="526"/>
      <c r="B354" s="532"/>
      <c r="C354" s="503"/>
      <c r="D354" s="460"/>
      <c r="E354" s="528"/>
      <c r="F354" s="215" t="s">
        <v>44</v>
      </c>
      <c r="G354" s="222">
        <f>G353*0.1</f>
        <v>1.5000000000000001E-4</v>
      </c>
      <c r="H354" s="30">
        <v>10</v>
      </c>
      <c r="I354" s="238">
        <f t="shared" si="82"/>
        <v>0.57915000000000005</v>
      </c>
      <c r="J354" s="215">
        <v>4</v>
      </c>
      <c r="K354" s="27">
        <v>279.92</v>
      </c>
      <c r="L354" s="241"/>
      <c r="M354" s="28">
        <f t="shared" si="78"/>
        <v>162.11566800000003</v>
      </c>
      <c r="N354" s="524"/>
      <c r="O354" s="526"/>
      <c r="P354" s="490"/>
      <c r="Q354" s="561">
        <f t="shared" si="84"/>
        <v>0</v>
      </c>
    </row>
    <row r="355" spans="1:17" ht="15.75" customHeight="1" x14ac:dyDescent="0.25">
      <c r="A355" s="526"/>
      <c r="B355" s="532"/>
      <c r="C355" s="502" t="s">
        <v>788</v>
      </c>
      <c r="D355" s="526"/>
      <c r="E355" s="529"/>
      <c r="F355" s="215" t="s">
        <v>43</v>
      </c>
      <c r="G355" s="222">
        <f>0.002*14*1.6</f>
        <v>4.4800000000000006E-2</v>
      </c>
      <c r="H355" s="30">
        <v>2</v>
      </c>
      <c r="I355" s="238">
        <f t="shared" si="82"/>
        <v>34.594560000000008</v>
      </c>
      <c r="J355" s="215">
        <v>4</v>
      </c>
      <c r="K355" s="27">
        <v>279.92</v>
      </c>
      <c r="L355" s="241"/>
      <c r="M355" s="28">
        <f t="shared" si="78"/>
        <v>9683.7092352000036</v>
      </c>
      <c r="N355" s="524" t="s">
        <v>1016</v>
      </c>
      <c r="O355" s="526">
        <v>2</v>
      </c>
      <c r="P355" s="489">
        <v>60.7</v>
      </c>
      <c r="Q355" s="560">
        <f t="shared" si="84"/>
        <v>121.4</v>
      </c>
    </row>
    <row r="356" spans="1:17" x14ac:dyDescent="0.25">
      <c r="A356" s="526"/>
      <c r="B356" s="532"/>
      <c r="C356" s="502"/>
      <c r="D356" s="526"/>
      <c r="E356" s="529"/>
      <c r="F356" s="215" t="s">
        <v>44</v>
      </c>
      <c r="G356" s="222">
        <f>G355*0.1</f>
        <v>4.4800000000000005E-3</v>
      </c>
      <c r="H356" s="30">
        <v>10</v>
      </c>
      <c r="I356" s="238">
        <f t="shared" si="82"/>
        <v>17.297280000000004</v>
      </c>
      <c r="J356" s="215">
        <v>4</v>
      </c>
      <c r="K356" s="27">
        <v>279.92</v>
      </c>
      <c r="L356" s="241"/>
      <c r="M356" s="28">
        <f t="shared" si="78"/>
        <v>4841.8546176000018</v>
      </c>
      <c r="N356" s="524"/>
      <c r="O356" s="526"/>
      <c r="P356" s="490"/>
      <c r="Q356" s="561">
        <f t="shared" si="84"/>
        <v>0</v>
      </c>
    </row>
    <row r="357" spans="1:17" x14ac:dyDescent="0.25">
      <c r="A357" s="526"/>
      <c r="B357" s="532"/>
      <c r="C357" s="502" t="s">
        <v>789</v>
      </c>
      <c r="D357" s="526"/>
      <c r="E357" s="526"/>
      <c r="F357" s="215" t="s">
        <v>43</v>
      </c>
      <c r="G357" s="222">
        <f>0.028*0.046</f>
        <v>1.2880000000000001E-3</v>
      </c>
      <c r="H357" s="30">
        <v>1</v>
      </c>
      <c r="I357" s="238">
        <f t="shared" si="82"/>
        <v>0.49729680000000004</v>
      </c>
      <c r="J357" s="215">
        <v>4</v>
      </c>
      <c r="K357" s="27">
        <v>279.92</v>
      </c>
      <c r="L357" s="241"/>
      <c r="M357" s="28">
        <f t="shared" si="78"/>
        <v>139.20332025600001</v>
      </c>
      <c r="N357" s="524" t="s">
        <v>314</v>
      </c>
      <c r="O357" s="526">
        <v>1</v>
      </c>
      <c r="P357" s="489">
        <v>52</v>
      </c>
      <c r="Q357" s="560">
        <f t="shared" si="84"/>
        <v>52</v>
      </c>
    </row>
    <row r="358" spans="1:17" x14ac:dyDescent="0.25">
      <c r="A358" s="526"/>
      <c r="B358" s="532"/>
      <c r="C358" s="502"/>
      <c r="D358" s="526"/>
      <c r="E358" s="526"/>
      <c r="F358" s="215" t="s">
        <v>44</v>
      </c>
      <c r="G358" s="222">
        <f>G357*0.1</f>
        <v>1.2880000000000001E-4</v>
      </c>
      <c r="H358" s="30">
        <v>11</v>
      </c>
      <c r="I358" s="238">
        <f t="shared" si="82"/>
        <v>0.54702648000000009</v>
      </c>
      <c r="J358" s="215">
        <v>4</v>
      </c>
      <c r="K358" s="27">
        <v>279.92</v>
      </c>
      <c r="L358" s="241"/>
      <c r="M358" s="28">
        <f t="shared" si="78"/>
        <v>153.12365228160004</v>
      </c>
      <c r="N358" s="524"/>
      <c r="O358" s="526"/>
      <c r="P358" s="490"/>
      <c r="Q358" s="561">
        <f t="shared" si="84"/>
        <v>0</v>
      </c>
    </row>
    <row r="359" spans="1:17" x14ac:dyDescent="0.25">
      <c r="A359" s="526"/>
      <c r="B359" s="532"/>
      <c r="C359" s="531" t="s">
        <v>790</v>
      </c>
      <c r="D359" s="526" t="s">
        <v>796</v>
      </c>
      <c r="E359" s="529"/>
      <c r="F359" s="215" t="s">
        <v>43</v>
      </c>
      <c r="G359" s="222">
        <f>0.004*1*1.6</f>
        <v>6.4000000000000003E-3</v>
      </c>
      <c r="H359" s="215">
        <v>1</v>
      </c>
      <c r="I359" s="242">
        <f t="shared" si="82"/>
        <v>2.4710400000000003</v>
      </c>
      <c r="J359" s="215">
        <v>4</v>
      </c>
      <c r="K359" s="27">
        <v>279.92</v>
      </c>
      <c r="L359" s="241"/>
      <c r="M359" s="28">
        <f t="shared" si="78"/>
        <v>691.69351680000011</v>
      </c>
      <c r="N359" s="524" t="s">
        <v>800</v>
      </c>
      <c r="O359" s="526">
        <v>10</v>
      </c>
      <c r="P359" s="489">
        <v>791</v>
      </c>
      <c r="Q359" s="560">
        <f t="shared" si="84"/>
        <v>7910</v>
      </c>
    </row>
    <row r="360" spans="1:17" x14ac:dyDescent="0.25">
      <c r="A360" s="526"/>
      <c r="B360" s="532"/>
      <c r="C360" s="531"/>
      <c r="D360" s="526"/>
      <c r="E360" s="529"/>
      <c r="F360" s="215" t="s">
        <v>44</v>
      </c>
      <c r="G360" s="222">
        <f>G359*0.1</f>
        <v>6.4000000000000005E-4</v>
      </c>
      <c r="H360" s="30">
        <v>11</v>
      </c>
      <c r="I360" s="238">
        <f t="shared" si="82"/>
        <v>2.7181440000000001</v>
      </c>
      <c r="J360" s="215">
        <v>4</v>
      </c>
      <c r="K360" s="27">
        <v>279.92</v>
      </c>
      <c r="L360" s="241"/>
      <c r="M360" s="28">
        <f t="shared" si="78"/>
        <v>760.86286848000009</v>
      </c>
      <c r="N360" s="524"/>
      <c r="O360" s="526"/>
      <c r="P360" s="490"/>
      <c r="Q360" s="561">
        <f t="shared" si="84"/>
        <v>0</v>
      </c>
    </row>
    <row r="361" spans="1:17" x14ac:dyDescent="0.25">
      <c r="A361" s="526"/>
      <c r="B361" s="532"/>
      <c r="C361" s="502" t="s">
        <v>791</v>
      </c>
      <c r="D361" s="526"/>
      <c r="E361" s="526"/>
      <c r="F361" s="215" t="s">
        <v>43</v>
      </c>
      <c r="G361" s="222">
        <f>0.028*0.027</f>
        <v>7.5600000000000005E-4</v>
      </c>
      <c r="H361" s="30">
        <v>1</v>
      </c>
      <c r="I361" s="238">
        <f t="shared" si="82"/>
        <v>0.29189160000000003</v>
      </c>
      <c r="J361" s="215">
        <v>4</v>
      </c>
      <c r="K361" s="27">
        <v>279.92</v>
      </c>
      <c r="L361" s="241"/>
      <c r="M361" s="28">
        <f t="shared" si="78"/>
        <v>81.706296672000008</v>
      </c>
      <c r="N361" s="524" t="s">
        <v>314</v>
      </c>
      <c r="O361" s="526">
        <v>1</v>
      </c>
      <c r="P361" s="489">
        <v>52</v>
      </c>
      <c r="Q361" s="560">
        <f t="shared" si="84"/>
        <v>52</v>
      </c>
    </row>
    <row r="362" spans="1:17" x14ac:dyDescent="0.25">
      <c r="A362" s="526"/>
      <c r="B362" s="532"/>
      <c r="C362" s="502"/>
      <c r="D362" s="526"/>
      <c r="E362" s="526"/>
      <c r="F362" s="215" t="s">
        <v>44</v>
      </c>
      <c r="G362" s="222">
        <f>G361*0.1</f>
        <v>7.5600000000000008E-5</v>
      </c>
      <c r="H362" s="30">
        <v>11</v>
      </c>
      <c r="I362" s="238">
        <f t="shared" si="82"/>
        <v>0.32108076000000008</v>
      </c>
      <c r="J362" s="215">
        <v>4</v>
      </c>
      <c r="K362" s="27">
        <v>279.92</v>
      </c>
      <c r="L362" s="241"/>
      <c r="M362" s="28">
        <f t="shared" si="78"/>
        <v>89.876926339200025</v>
      </c>
      <c r="N362" s="524"/>
      <c r="O362" s="526"/>
      <c r="P362" s="490"/>
      <c r="Q362" s="561">
        <f t="shared" si="84"/>
        <v>0</v>
      </c>
    </row>
    <row r="363" spans="1:17" x14ac:dyDescent="0.25">
      <c r="A363" s="526"/>
      <c r="B363" s="532"/>
      <c r="C363" s="502" t="s">
        <v>792</v>
      </c>
      <c r="D363" s="526"/>
      <c r="E363" s="460"/>
      <c r="F363" s="215" t="s">
        <v>43</v>
      </c>
      <c r="G363" s="223">
        <f>0.014*1.6</f>
        <v>2.2400000000000003E-2</v>
      </c>
      <c r="H363" s="215">
        <v>1</v>
      </c>
      <c r="I363" s="27">
        <f>G363*H363*1.1*351</f>
        <v>8.6486400000000021</v>
      </c>
      <c r="J363" s="215">
        <v>5</v>
      </c>
      <c r="K363" s="27">
        <v>297.57</v>
      </c>
      <c r="L363" s="241"/>
      <c r="M363" s="28">
        <f t="shared" si="78"/>
        <v>2573.5758048000007</v>
      </c>
      <c r="N363" s="524" t="s">
        <v>801</v>
      </c>
      <c r="O363" s="526">
        <v>19</v>
      </c>
      <c r="P363" s="489">
        <v>490</v>
      </c>
      <c r="Q363" s="560">
        <f t="shared" si="84"/>
        <v>9310</v>
      </c>
    </row>
    <row r="364" spans="1:17" x14ac:dyDescent="0.25">
      <c r="A364" s="526"/>
      <c r="B364" s="532"/>
      <c r="C364" s="502"/>
      <c r="D364" s="526"/>
      <c r="E364" s="526"/>
      <c r="F364" s="215" t="s">
        <v>44</v>
      </c>
      <c r="G364" s="223">
        <f>G363*0.1</f>
        <v>2.2400000000000002E-3</v>
      </c>
      <c r="H364" s="215">
        <v>11</v>
      </c>
      <c r="I364" s="27">
        <f t="shared" ref="I364:I366" si="85">G364*H364*1.1*351</f>
        <v>9.5135040000000011</v>
      </c>
      <c r="J364" s="215">
        <v>5</v>
      </c>
      <c r="K364" s="27">
        <v>297.57</v>
      </c>
      <c r="L364" s="241"/>
      <c r="M364" s="28">
        <f t="shared" si="78"/>
        <v>2830.93338528</v>
      </c>
      <c r="N364" s="524"/>
      <c r="O364" s="526"/>
      <c r="P364" s="490"/>
      <c r="Q364" s="561">
        <f t="shared" si="84"/>
        <v>0</v>
      </c>
    </row>
    <row r="365" spans="1:17" x14ac:dyDescent="0.25">
      <c r="A365" s="523">
        <v>8</v>
      </c>
      <c r="B365" s="521" t="s">
        <v>1034</v>
      </c>
      <c r="C365" s="520" t="s">
        <v>802</v>
      </c>
      <c r="D365" s="521" t="s">
        <v>803</v>
      </c>
      <c r="E365" s="521">
        <v>37.5</v>
      </c>
      <c r="F365" s="221" t="s">
        <v>384</v>
      </c>
      <c r="G365" s="228">
        <f>0.008*1.5</f>
        <v>1.2E-2</v>
      </c>
      <c r="H365" s="221">
        <v>1</v>
      </c>
      <c r="I365" s="229">
        <f t="shared" si="85"/>
        <v>4.6332000000000004</v>
      </c>
      <c r="J365" s="221">
        <v>4</v>
      </c>
      <c r="K365" s="27">
        <v>279.92</v>
      </c>
      <c r="L365" s="241"/>
      <c r="M365" s="28">
        <f t="shared" si="78"/>
        <v>1296.9253440000002</v>
      </c>
      <c r="N365" s="524" t="s">
        <v>390</v>
      </c>
      <c r="O365" s="526">
        <v>2</v>
      </c>
      <c r="P365" s="489">
        <v>2077</v>
      </c>
      <c r="Q365" s="560">
        <f t="shared" si="84"/>
        <v>4154</v>
      </c>
    </row>
    <row r="366" spans="1:17" x14ac:dyDescent="0.25">
      <c r="A366" s="523"/>
      <c r="B366" s="521"/>
      <c r="C366" s="520"/>
      <c r="D366" s="521"/>
      <c r="E366" s="521"/>
      <c r="F366" s="221" t="s">
        <v>386</v>
      </c>
      <c r="G366" s="229">
        <f>G365*0.1</f>
        <v>1.2000000000000001E-3</v>
      </c>
      <c r="H366" s="221">
        <v>11</v>
      </c>
      <c r="I366" s="229">
        <f t="shared" si="85"/>
        <v>5.0965200000000008</v>
      </c>
      <c r="J366" s="221">
        <v>4</v>
      </c>
      <c r="K366" s="27">
        <v>279.92</v>
      </c>
      <c r="L366" s="241"/>
      <c r="M366" s="28">
        <f t="shared" si="78"/>
        <v>1426.6178784000003</v>
      </c>
      <c r="N366" s="524"/>
      <c r="O366" s="526"/>
      <c r="P366" s="490"/>
      <c r="Q366" s="561">
        <f t="shared" si="84"/>
        <v>0</v>
      </c>
    </row>
    <row r="367" spans="1:17" x14ac:dyDescent="0.25">
      <c r="A367" s="523"/>
      <c r="B367" s="521"/>
      <c r="C367" s="520" t="s">
        <v>804</v>
      </c>
      <c r="D367" s="521" t="s">
        <v>803</v>
      </c>
      <c r="E367" s="521">
        <v>37.5</v>
      </c>
      <c r="F367" s="221" t="s">
        <v>384</v>
      </c>
      <c r="G367" s="228">
        <f>0.008*1.5</f>
        <v>1.2E-2</v>
      </c>
      <c r="H367" s="221">
        <v>1</v>
      </c>
      <c r="I367" s="229">
        <f>G367*H367*1.1*351</f>
        <v>4.6332000000000004</v>
      </c>
      <c r="J367" s="221">
        <v>4</v>
      </c>
      <c r="K367" s="27">
        <v>279.92</v>
      </c>
      <c r="L367" s="241"/>
      <c r="M367" s="28">
        <f t="shared" si="78"/>
        <v>1296.9253440000002</v>
      </c>
      <c r="N367" s="524" t="s">
        <v>390</v>
      </c>
      <c r="O367" s="526">
        <v>2</v>
      </c>
      <c r="P367" s="489">
        <v>2077</v>
      </c>
      <c r="Q367" s="560">
        <f t="shared" si="84"/>
        <v>4154</v>
      </c>
    </row>
    <row r="368" spans="1:17" x14ac:dyDescent="0.25">
      <c r="A368" s="523"/>
      <c r="B368" s="521"/>
      <c r="C368" s="520"/>
      <c r="D368" s="521"/>
      <c r="E368" s="521"/>
      <c r="F368" s="221" t="s">
        <v>386</v>
      </c>
      <c r="G368" s="229">
        <f>G367*0.1</f>
        <v>1.2000000000000001E-3</v>
      </c>
      <c r="H368" s="221">
        <v>11</v>
      </c>
      <c r="I368" s="229">
        <f t="shared" ref="I368:I370" si="86">G368*H368*1.1*351</f>
        <v>5.0965200000000008</v>
      </c>
      <c r="J368" s="221">
        <v>4</v>
      </c>
      <c r="K368" s="27">
        <v>279.92</v>
      </c>
      <c r="L368" s="241"/>
      <c r="M368" s="28">
        <f t="shared" si="78"/>
        <v>1426.6178784000003</v>
      </c>
      <c r="N368" s="524"/>
      <c r="O368" s="526"/>
      <c r="P368" s="490"/>
      <c r="Q368" s="561">
        <f t="shared" si="84"/>
        <v>0</v>
      </c>
    </row>
    <row r="369" spans="1:17" x14ac:dyDescent="0.25">
      <c r="A369" s="523"/>
      <c r="B369" s="521"/>
      <c r="C369" s="520" t="s">
        <v>805</v>
      </c>
      <c r="D369" s="521" t="s">
        <v>806</v>
      </c>
      <c r="E369" s="521">
        <v>15.5</v>
      </c>
      <c r="F369" s="221" t="s">
        <v>384</v>
      </c>
      <c r="G369" s="228">
        <f>0.005*1.5</f>
        <v>7.4999999999999997E-3</v>
      </c>
      <c r="H369" s="221">
        <v>1</v>
      </c>
      <c r="I369" s="229">
        <f t="shared" si="86"/>
        <v>2.89575</v>
      </c>
      <c r="J369" s="221">
        <v>4</v>
      </c>
      <c r="K369" s="27">
        <v>279.92</v>
      </c>
      <c r="L369" s="241"/>
      <c r="M369" s="28">
        <f t="shared" si="78"/>
        <v>810.57834000000003</v>
      </c>
      <c r="N369" s="524" t="s">
        <v>494</v>
      </c>
      <c r="O369" s="526">
        <v>2</v>
      </c>
      <c r="P369" s="489">
        <v>2214</v>
      </c>
      <c r="Q369" s="560">
        <f t="shared" si="84"/>
        <v>4428</v>
      </c>
    </row>
    <row r="370" spans="1:17" x14ac:dyDescent="0.25">
      <c r="A370" s="523"/>
      <c r="B370" s="521"/>
      <c r="C370" s="520"/>
      <c r="D370" s="521"/>
      <c r="E370" s="521"/>
      <c r="F370" s="221" t="s">
        <v>386</v>
      </c>
      <c r="G370" s="229">
        <f>G369*0.1</f>
        <v>7.5000000000000002E-4</v>
      </c>
      <c r="H370" s="221">
        <v>11</v>
      </c>
      <c r="I370" s="229">
        <f t="shared" si="86"/>
        <v>3.1853250000000006</v>
      </c>
      <c r="J370" s="221">
        <v>4</v>
      </c>
      <c r="K370" s="27">
        <v>279.92</v>
      </c>
      <c r="L370" s="241"/>
      <c r="M370" s="28">
        <f t="shared" si="78"/>
        <v>891.63617400000021</v>
      </c>
      <c r="N370" s="524"/>
      <c r="O370" s="526"/>
      <c r="P370" s="490"/>
      <c r="Q370" s="561">
        <f t="shared" si="84"/>
        <v>0</v>
      </c>
    </row>
    <row r="371" spans="1:17" x14ac:dyDescent="0.25">
      <c r="A371" s="523"/>
      <c r="B371" s="521"/>
      <c r="C371" s="520" t="s">
        <v>807</v>
      </c>
      <c r="D371" s="521" t="s">
        <v>808</v>
      </c>
      <c r="E371" s="521">
        <v>11</v>
      </c>
      <c r="F371" s="221" t="s">
        <v>384</v>
      </c>
      <c r="G371" s="228">
        <f>0.005*1.5</f>
        <v>7.4999999999999997E-3</v>
      </c>
      <c r="H371" s="221">
        <v>1</v>
      </c>
      <c r="I371" s="229">
        <f>G371*H371*1.1*351</f>
        <v>2.89575</v>
      </c>
      <c r="J371" s="221">
        <v>4</v>
      </c>
      <c r="K371" s="27">
        <v>279.92</v>
      </c>
      <c r="L371" s="241"/>
      <c r="M371" s="28">
        <f t="shared" si="78"/>
        <v>810.57834000000003</v>
      </c>
      <c r="N371" s="524" t="s">
        <v>494</v>
      </c>
      <c r="O371" s="526">
        <v>2</v>
      </c>
      <c r="P371" s="489">
        <v>2214</v>
      </c>
      <c r="Q371" s="560">
        <f t="shared" si="84"/>
        <v>4428</v>
      </c>
    </row>
    <row r="372" spans="1:17" x14ac:dyDescent="0.25">
      <c r="A372" s="523"/>
      <c r="B372" s="521"/>
      <c r="C372" s="520"/>
      <c r="D372" s="521"/>
      <c r="E372" s="521"/>
      <c r="F372" s="221" t="s">
        <v>386</v>
      </c>
      <c r="G372" s="229">
        <f>G371*0.1</f>
        <v>7.5000000000000002E-4</v>
      </c>
      <c r="H372" s="221">
        <v>11</v>
      </c>
      <c r="I372" s="229">
        <f t="shared" ref="I372" si="87">G372*H372*1.1*351</f>
        <v>3.1853250000000006</v>
      </c>
      <c r="J372" s="221">
        <v>4</v>
      </c>
      <c r="K372" s="27">
        <v>279.92</v>
      </c>
      <c r="L372" s="241"/>
      <c r="M372" s="28">
        <f t="shared" si="78"/>
        <v>891.63617400000021</v>
      </c>
      <c r="N372" s="524"/>
      <c r="O372" s="526"/>
      <c r="P372" s="490"/>
      <c r="Q372" s="561">
        <f t="shared" si="84"/>
        <v>0</v>
      </c>
    </row>
    <row r="373" spans="1:17" x14ac:dyDescent="0.25">
      <c r="A373" s="523"/>
      <c r="B373" s="521"/>
      <c r="C373" s="520" t="s">
        <v>809</v>
      </c>
      <c r="D373" s="521" t="s">
        <v>808</v>
      </c>
      <c r="E373" s="521">
        <v>11</v>
      </c>
      <c r="F373" s="221" t="s">
        <v>384</v>
      </c>
      <c r="G373" s="228">
        <f>0.005*1.5</f>
        <v>7.4999999999999997E-3</v>
      </c>
      <c r="H373" s="221">
        <v>1</v>
      </c>
      <c r="I373" s="229">
        <f>G373*H373*1.1*351</f>
        <v>2.89575</v>
      </c>
      <c r="J373" s="221">
        <v>4</v>
      </c>
      <c r="K373" s="27">
        <v>279.92</v>
      </c>
      <c r="L373" s="241"/>
      <c r="M373" s="28">
        <f t="shared" si="78"/>
        <v>810.57834000000003</v>
      </c>
      <c r="N373" s="524" t="s">
        <v>494</v>
      </c>
      <c r="O373" s="526">
        <v>2</v>
      </c>
      <c r="P373" s="489">
        <v>2214</v>
      </c>
      <c r="Q373" s="560">
        <f t="shared" si="84"/>
        <v>4428</v>
      </c>
    </row>
    <row r="374" spans="1:17" x14ac:dyDescent="0.25">
      <c r="A374" s="523"/>
      <c r="B374" s="521"/>
      <c r="C374" s="520"/>
      <c r="D374" s="521"/>
      <c r="E374" s="521"/>
      <c r="F374" s="221" t="s">
        <v>386</v>
      </c>
      <c r="G374" s="229">
        <f>G373*0.1</f>
        <v>7.5000000000000002E-4</v>
      </c>
      <c r="H374" s="221">
        <v>11</v>
      </c>
      <c r="I374" s="229">
        <f t="shared" ref="I374" si="88">G374*H374*1.1*351</f>
        <v>3.1853250000000006</v>
      </c>
      <c r="J374" s="221">
        <v>4</v>
      </c>
      <c r="K374" s="27">
        <v>279.92</v>
      </c>
      <c r="L374" s="241"/>
      <c r="M374" s="28">
        <f t="shared" si="78"/>
        <v>891.63617400000021</v>
      </c>
      <c r="N374" s="524"/>
      <c r="O374" s="526"/>
      <c r="P374" s="490"/>
      <c r="Q374" s="561">
        <f t="shared" si="84"/>
        <v>0</v>
      </c>
    </row>
    <row r="375" spans="1:17" x14ac:dyDescent="0.25">
      <c r="A375" s="523"/>
      <c r="B375" s="521"/>
      <c r="C375" s="520" t="s">
        <v>810</v>
      </c>
      <c r="D375" s="521" t="s">
        <v>811</v>
      </c>
      <c r="E375" s="521">
        <v>3</v>
      </c>
      <c r="F375" s="221" t="s">
        <v>384</v>
      </c>
      <c r="G375" s="228">
        <f>0.002*1.5</f>
        <v>3.0000000000000001E-3</v>
      </c>
      <c r="H375" s="221">
        <v>1</v>
      </c>
      <c r="I375" s="229">
        <f>G375*H375*1.1*351</f>
        <v>1.1583000000000001</v>
      </c>
      <c r="J375" s="221">
        <v>4</v>
      </c>
      <c r="K375" s="27">
        <v>279.92</v>
      </c>
      <c r="L375" s="241"/>
      <c r="M375" s="28">
        <f t="shared" si="78"/>
        <v>324.23133600000006</v>
      </c>
      <c r="N375" s="524" t="s">
        <v>494</v>
      </c>
      <c r="O375" s="526">
        <v>2</v>
      </c>
      <c r="P375" s="489">
        <v>2214</v>
      </c>
      <c r="Q375" s="560">
        <v>4428</v>
      </c>
    </row>
    <row r="376" spans="1:17" x14ac:dyDescent="0.25">
      <c r="A376" s="523"/>
      <c r="B376" s="521"/>
      <c r="C376" s="520"/>
      <c r="D376" s="521"/>
      <c r="E376" s="521"/>
      <c r="F376" s="221" t="s">
        <v>386</v>
      </c>
      <c r="G376" s="229">
        <f>G375*0.1</f>
        <v>3.0000000000000003E-4</v>
      </c>
      <c r="H376" s="221">
        <v>11</v>
      </c>
      <c r="I376" s="229">
        <f t="shared" ref="I376" si="89">G376*H376*1.1*351</f>
        <v>1.2741300000000002</v>
      </c>
      <c r="J376" s="221">
        <v>4</v>
      </c>
      <c r="K376" s="27">
        <v>279.92</v>
      </c>
      <c r="L376" s="241"/>
      <c r="M376" s="28">
        <f t="shared" si="78"/>
        <v>356.65446960000008</v>
      </c>
      <c r="N376" s="524"/>
      <c r="O376" s="526"/>
      <c r="P376" s="490"/>
      <c r="Q376" s="561">
        <v>0</v>
      </c>
    </row>
    <row r="377" spans="1:17" x14ac:dyDescent="0.25">
      <c r="A377" s="523"/>
      <c r="B377" s="521"/>
      <c r="C377" s="520" t="s">
        <v>525</v>
      </c>
      <c r="D377" s="521" t="s">
        <v>812</v>
      </c>
      <c r="E377" s="521">
        <v>45</v>
      </c>
      <c r="F377" s="221" t="s">
        <v>384</v>
      </c>
      <c r="G377" s="228">
        <f>0.01*1.5</f>
        <v>1.4999999999999999E-2</v>
      </c>
      <c r="H377" s="221">
        <v>1</v>
      </c>
      <c r="I377" s="229">
        <f>G377*H377*1.1*351</f>
        <v>5.7915000000000001</v>
      </c>
      <c r="J377" s="221">
        <v>4</v>
      </c>
      <c r="K377" s="27">
        <v>279.92</v>
      </c>
      <c r="L377" s="241"/>
      <c r="M377" s="28">
        <f t="shared" si="78"/>
        <v>1621.1566800000001</v>
      </c>
      <c r="N377" s="524" t="s">
        <v>394</v>
      </c>
      <c r="O377" s="526">
        <v>2</v>
      </c>
      <c r="P377" s="489">
        <v>2629</v>
      </c>
      <c r="Q377" s="560">
        <f t="shared" si="84"/>
        <v>5258</v>
      </c>
    </row>
    <row r="378" spans="1:17" x14ac:dyDescent="0.25">
      <c r="A378" s="523"/>
      <c r="B378" s="521"/>
      <c r="C378" s="520"/>
      <c r="D378" s="521"/>
      <c r="E378" s="521"/>
      <c r="F378" s="221" t="s">
        <v>386</v>
      </c>
      <c r="G378" s="229">
        <f>G377*0.1</f>
        <v>1.5E-3</v>
      </c>
      <c r="H378" s="221">
        <v>11</v>
      </c>
      <c r="I378" s="229">
        <f t="shared" ref="I378" si="90">G378*H378*1.1*351</f>
        <v>6.3706500000000013</v>
      </c>
      <c r="J378" s="221">
        <v>4</v>
      </c>
      <c r="K378" s="27">
        <v>279.92</v>
      </c>
      <c r="L378" s="241"/>
      <c r="M378" s="28">
        <f t="shared" si="78"/>
        <v>1783.2723480000004</v>
      </c>
      <c r="N378" s="524"/>
      <c r="O378" s="526"/>
      <c r="P378" s="490"/>
      <c r="Q378" s="561">
        <f t="shared" si="84"/>
        <v>0</v>
      </c>
    </row>
    <row r="379" spans="1:17" x14ac:dyDescent="0.25">
      <c r="A379" s="523"/>
      <c r="B379" s="521"/>
      <c r="C379" s="520" t="s">
        <v>527</v>
      </c>
      <c r="D379" s="521" t="s">
        <v>812</v>
      </c>
      <c r="E379" s="521">
        <v>45</v>
      </c>
      <c r="F379" s="221" t="s">
        <v>384</v>
      </c>
      <c r="G379" s="228">
        <f>0.01*1.5</f>
        <v>1.4999999999999999E-2</v>
      </c>
      <c r="H379" s="221">
        <v>1</v>
      </c>
      <c r="I379" s="229">
        <f>G379*H379*1.1*351</f>
        <v>5.7915000000000001</v>
      </c>
      <c r="J379" s="221">
        <v>4</v>
      </c>
      <c r="K379" s="27">
        <v>279.92</v>
      </c>
      <c r="L379" s="241"/>
      <c r="M379" s="28">
        <f t="shared" si="78"/>
        <v>1621.1566800000001</v>
      </c>
      <c r="N379" s="524" t="s">
        <v>394</v>
      </c>
      <c r="O379" s="526">
        <v>2</v>
      </c>
      <c r="P379" s="489">
        <v>2629</v>
      </c>
      <c r="Q379" s="560">
        <f t="shared" si="84"/>
        <v>5258</v>
      </c>
    </row>
    <row r="380" spans="1:17" x14ac:dyDescent="0.25">
      <c r="A380" s="523"/>
      <c r="B380" s="521"/>
      <c r="C380" s="520"/>
      <c r="D380" s="521"/>
      <c r="E380" s="521"/>
      <c r="F380" s="221" t="s">
        <v>386</v>
      </c>
      <c r="G380" s="229">
        <f>G379*0.1</f>
        <v>1.5E-3</v>
      </c>
      <c r="H380" s="221">
        <v>11</v>
      </c>
      <c r="I380" s="229">
        <f t="shared" ref="I380" si="91">G380*H380*1.1*351</f>
        <v>6.3706500000000013</v>
      </c>
      <c r="J380" s="221">
        <v>4</v>
      </c>
      <c r="K380" s="27">
        <v>279.92</v>
      </c>
      <c r="L380" s="241"/>
      <c r="M380" s="28">
        <f t="shared" si="78"/>
        <v>1783.2723480000004</v>
      </c>
      <c r="N380" s="524"/>
      <c r="O380" s="526"/>
      <c r="P380" s="490"/>
      <c r="Q380" s="561">
        <f t="shared" si="84"/>
        <v>0</v>
      </c>
    </row>
    <row r="381" spans="1:17" x14ac:dyDescent="0.25">
      <c r="A381" s="523"/>
      <c r="B381" s="521"/>
      <c r="C381" s="520" t="s">
        <v>528</v>
      </c>
      <c r="D381" s="521" t="s">
        <v>812</v>
      </c>
      <c r="E381" s="521">
        <v>45</v>
      </c>
      <c r="F381" s="221" t="s">
        <v>384</v>
      </c>
      <c r="G381" s="228">
        <f>0.01*1.5</f>
        <v>1.4999999999999999E-2</v>
      </c>
      <c r="H381" s="221">
        <v>1</v>
      </c>
      <c r="I381" s="229">
        <f>G381*H381*1.1*351</f>
        <v>5.7915000000000001</v>
      </c>
      <c r="J381" s="221">
        <v>4</v>
      </c>
      <c r="K381" s="27">
        <v>279.92</v>
      </c>
      <c r="L381" s="241"/>
      <c r="M381" s="28">
        <f t="shared" si="78"/>
        <v>1621.1566800000001</v>
      </c>
      <c r="N381" s="524" t="s">
        <v>394</v>
      </c>
      <c r="O381" s="526">
        <v>2</v>
      </c>
      <c r="P381" s="489">
        <v>2629</v>
      </c>
      <c r="Q381" s="560">
        <f t="shared" si="84"/>
        <v>5258</v>
      </c>
    </row>
    <row r="382" spans="1:17" x14ac:dyDescent="0.25">
      <c r="A382" s="523"/>
      <c r="B382" s="521"/>
      <c r="C382" s="520"/>
      <c r="D382" s="521"/>
      <c r="E382" s="521"/>
      <c r="F382" s="221" t="s">
        <v>386</v>
      </c>
      <c r="G382" s="229">
        <f>G381*0.1</f>
        <v>1.5E-3</v>
      </c>
      <c r="H382" s="221">
        <v>11</v>
      </c>
      <c r="I382" s="229">
        <f t="shared" ref="I382" si="92">G382*H382*1.1*351</f>
        <v>6.3706500000000013</v>
      </c>
      <c r="J382" s="221">
        <v>4</v>
      </c>
      <c r="K382" s="27">
        <v>279.92</v>
      </c>
      <c r="L382" s="241"/>
      <c r="M382" s="28">
        <f t="shared" si="78"/>
        <v>1783.2723480000004</v>
      </c>
      <c r="N382" s="524"/>
      <c r="O382" s="526"/>
      <c r="P382" s="490"/>
      <c r="Q382" s="561">
        <f t="shared" si="84"/>
        <v>0</v>
      </c>
    </row>
    <row r="383" spans="1:17" x14ac:dyDescent="0.25">
      <c r="A383" s="523"/>
      <c r="B383" s="521"/>
      <c r="C383" s="520" t="s">
        <v>529</v>
      </c>
      <c r="D383" s="521" t="s">
        <v>812</v>
      </c>
      <c r="E383" s="521">
        <v>45</v>
      </c>
      <c r="F383" s="221" t="s">
        <v>384</v>
      </c>
      <c r="G383" s="228">
        <f>0.01*1.5</f>
        <v>1.4999999999999999E-2</v>
      </c>
      <c r="H383" s="221">
        <v>1</v>
      </c>
      <c r="I383" s="229">
        <f>G383*H383*1.1*351</f>
        <v>5.7915000000000001</v>
      </c>
      <c r="J383" s="221">
        <v>4</v>
      </c>
      <c r="K383" s="27">
        <v>279.92</v>
      </c>
      <c r="L383" s="241"/>
      <c r="M383" s="28">
        <f t="shared" si="78"/>
        <v>1621.1566800000001</v>
      </c>
      <c r="N383" s="524" t="s">
        <v>394</v>
      </c>
      <c r="O383" s="526">
        <v>2</v>
      </c>
      <c r="P383" s="489">
        <v>2629</v>
      </c>
      <c r="Q383" s="560">
        <f t="shared" si="84"/>
        <v>5258</v>
      </c>
    </row>
    <row r="384" spans="1:17" x14ac:dyDescent="0.25">
      <c r="A384" s="523"/>
      <c r="B384" s="521"/>
      <c r="C384" s="520"/>
      <c r="D384" s="521"/>
      <c r="E384" s="521"/>
      <c r="F384" s="221" t="s">
        <v>386</v>
      </c>
      <c r="G384" s="229">
        <f>G383*0.1</f>
        <v>1.5E-3</v>
      </c>
      <c r="H384" s="221">
        <v>11</v>
      </c>
      <c r="I384" s="229">
        <f t="shared" ref="I384:I388" si="93">G384*H384*1.1*351</f>
        <v>6.3706500000000013</v>
      </c>
      <c r="J384" s="221">
        <v>4</v>
      </c>
      <c r="K384" s="27">
        <v>279.92</v>
      </c>
      <c r="L384" s="241"/>
      <c r="M384" s="28">
        <f t="shared" si="78"/>
        <v>1783.2723480000004</v>
      </c>
      <c r="N384" s="524"/>
      <c r="O384" s="526"/>
      <c r="P384" s="490"/>
      <c r="Q384" s="561">
        <f t="shared" si="84"/>
        <v>0</v>
      </c>
    </row>
    <row r="385" spans="1:17" x14ac:dyDescent="0.25">
      <c r="A385" s="523"/>
      <c r="B385" s="521"/>
      <c r="C385" s="520" t="s">
        <v>813</v>
      </c>
      <c r="D385" s="521" t="s">
        <v>814</v>
      </c>
      <c r="E385" s="521">
        <v>1.5</v>
      </c>
      <c r="F385" s="221" t="s">
        <v>384</v>
      </c>
      <c r="G385" s="228">
        <f>0.001*1.5</f>
        <v>1.5E-3</v>
      </c>
      <c r="H385" s="221">
        <v>1</v>
      </c>
      <c r="I385" s="229">
        <f t="shared" si="93"/>
        <v>0.57915000000000005</v>
      </c>
      <c r="J385" s="221">
        <v>4</v>
      </c>
      <c r="K385" s="27">
        <v>279.92</v>
      </c>
      <c r="L385" s="241"/>
      <c r="M385" s="28">
        <f t="shared" si="78"/>
        <v>162.11566800000003</v>
      </c>
      <c r="N385" s="218" t="s">
        <v>399</v>
      </c>
      <c r="O385" s="215">
        <v>1</v>
      </c>
      <c r="P385" s="28">
        <v>931</v>
      </c>
      <c r="Q385" s="401">
        <f t="shared" si="84"/>
        <v>931</v>
      </c>
    </row>
    <row r="386" spans="1:17" x14ac:dyDescent="0.25">
      <c r="A386" s="523"/>
      <c r="B386" s="521"/>
      <c r="C386" s="520"/>
      <c r="D386" s="521"/>
      <c r="E386" s="521"/>
      <c r="F386" s="221" t="s">
        <v>386</v>
      </c>
      <c r="G386" s="229">
        <f>G385*0.1</f>
        <v>1.5000000000000001E-4</v>
      </c>
      <c r="H386" s="221">
        <v>11</v>
      </c>
      <c r="I386" s="229">
        <f t="shared" si="93"/>
        <v>0.6370650000000001</v>
      </c>
      <c r="J386" s="221">
        <v>4</v>
      </c>
      <c r="K386" s="27">
        <v>279.92</v>
      </c>
      <c r="L386" s="241"/>
      <c r="M386" s="28">
        <f t="shared" si="78"/>
        <v>178.32723480000004</v>
      </c>
      <c r="N386" s="218" t="s">
        <v>400</v>
      </c>
      <c r="O386" s="215">
        <v>1</v>
      </c>
      <c r="P386" s="28">
        <v>904</v>
      </c>
      <c r="Q386" s="401">
        <f t="shared" si="84"/>
        <v>904</v>
      </c>
    </row>
    <row r="387" spans="1:17" x14ac:dyDescent="0.25">
      <c r="A387" s="523"/>
      <c r="B387" s="521"/>
      <c r="C387" s="520" t="s">
        <v>815</v>
      </c>
      <c r="D387" s="521" t="s">
        <v>814</v>
      </c>
      <c r="E387" s="521">
        <v>1.5</v>
      </c>
      <c r="F387" s="221" t="s">
        <v>384</v>
      </c>
      <c r="G387" s="228">
        <f>0.001*1.5</f>
        <v>1.5E-3</v>
      </c>
      <c r="H387" s="221">
        <v>1</v>
      </c>
      <c r="I387" s="229">
        <f t="shared" si="93"/>
        <v>0.57915000000000005</v>
      </c>
      <c r="J387" s="221">
        <v>4</v>
      </c>
      <c r="K387" s="27">
        <v>279.92</v>
      </c>
      <c r="L387" s="241"/>
      <c r="M387" s="28">
        <f t="shared" si="78"/>
        <v>162.11566800000003</v>
      </c>
      <c r="N387" s="218" t="s">
        <v>399</v>
      </c>
      <c r="O387" s="215">
        <v>1</v>
      </c>
      <c r="P387" s="28">
        <v>931</v>
      </c>
      <c r="Q387" s="401">
        <f t="shared" si="84"/>
        <v>931</v>
      </c>
    </row>
    <row r="388" spans="1:17" x14ac:dyDescent="0.25">
      <c r="A388" s="523"/>
      <c r="B388" s="521"/>
      <c r="C388" s="520"/>
      <c r="D388" s="521"/>
      <c r="E388" s="521"/>
      <c r="F388" s="221" t="s">
        <v>386</v>
      </c>
      <c r="G388" s="229">
        <f>G387*0.1</f>
        <v>1.5000000000000001E-4</v>
      </c>
      <c r="H388" s="221">
        <v>11</v>
      </c>
      <c r="I388" s="229">
        <f t="shared" si="93"/>
        <v>0.6370650000000001</v>
      </c>
      <c r="J388" s="221">
        <v>4</v>
      </c>
      <c r="K388" s="27">
        <v>279.92</v>
      </c>
      <c r="L388" s="241"/>
      <c r="M388" s="28">
        <f t="shared" si="78"/>
        <v>178.32723480000004</v>
      </c>
      <c r="N388" s="218" t="s">
        <v>400</v>
      </c>
      <c r="O388" s="215">
        <v>1</v>
      </c>
      <c r="P388" s="28">
        <v>904</v>
      </c>
      <c r="Q388" s="401">
        <f t="shared" si="84"/>
        <v>904</v>
      </c>
    </row>
    <row r="389" spans="1:17" x14ac:dyDescent="0.25">
      <c r="A389" s="523"/>
      <c r="B389" s="521"/>
      <c r="C389" s="520" t="s">
        <v>816</v>
      </c>
      <c r="D389" s="521" t="s">
        <v>817</v>
      </c>
      <c r="E389" s="521">
        <v>3</v>
      </c>
      <c r="F389" s="221" t="s">
        <v>384</v>
      </c>
      <c r="G389" s="228">
        <f>0.002*1.5</f>
        <v>3.0000000000000001E-3</v>
      </c>
      <c r="H389" s="221">
        <v>1</v>
      </c>
      <c r="I389" s="229">
        <f>G389*H389*1.1*351</f>
        <v>1.1583000000000001</v>
      </c>
      <c r="J389" s="221">
        <v>4</v>
      </c>
      <c r="K389" s="27">
        <v>279.92</v>
      </c>
      <c r="L389" s="241"/>
      <c r="M389" s="28">
        <f t="shared" si="78"/>
        <v>324.23133600000006</v>
      </c>
      <c r="N389" s="27" t="s">
        <v>840</v>
      </c>
      <c r="O389" s="215">
        <v>1</v>
      </c>
      <c r="P389" s="28">
        <v>483</v>
      </c>
      <c r="Q389" s="401">
        <f t="shared" si="84"/>
        <v>483</v>
      </c>
    </row>
    <row r="390" spans="1:17" x14ac:dyDescent="0.25">
      <c r="A390" s="523"/>
      <c r="B390" s="521"/>
      <c r="C390" s="520"/>
      <c r="D390" s="521"/>
      <c r="E390" s="521"/>
      <c r="F390" s="221" t="s">
        <v>386</v>
      </c>
      <c r="G390" s="229">
        <f>G389*0.1</f>
        <v>3.0000000000000003E-4</v>
      </c>
      <c r="H390" s="221">
        <v>11</v>
      </c>
      <c r="I390" s="229">
        <f t="shared" ref="I390" si="94">G390*H390*1.1*351</f>
        <v>1.2741300000000002</v>
      </c>
      <c r="J390" s="221">
        <v>4</v>
      </c>
      <c r="K390" s="27">
        <v>279.92</v>
      </c>
      <c r="L390" s="241"/>
      <c r="M390" s="28">
        <f t="shared" ref="M390:M453" si="95">I390*K390</f>
        <v>356.65446960000008</v>
      </c>
      <c r="N390" s="27" t="s">
        <v>841</v>
      </c>
      <c r="O390" s="215">
        <v>1</v>
      </c>
      <c r="P390" s="28">
        <v>387</v>
      </c>
      <c r="Q390" s="401">
        <f t="shared" si="84"/>
        <v>387</v>
      </c>
    </row>
    <row r="391" spans="1:17" x14ac:dyDescent="0.25">
      <c r="A391" s="523"/>
      <c r="B391" s="521"/>
      <c r="C391" s="520" t="s">
        <v>818</v>
      </c>
      <c r="D391" s="521" t="s">
        <v>817</v>
      </c>
      <c r="E391" s="521">
        <v>3</v>
      </c>
      <c r="F391" s="221" t="s">
        <v>384</v>
      </c>
      <c r="G391" s="228">
        <f>0.002*1.5</f>
        <v>3.0000000000000001E-3</v>
      </c>
      <c r="H391" s="221">
        <v>1</v>
      </c>
      <c r="I391" s="229">
        <f>G391*H391*1.1*351</f>
        <v>1.1583000000000001</v>
      </c>
      <c r="J391" s="221">
        <v>4</v>
      </c>
      <c r="K391" s="27">
        <v>279.92</v>
      </c>
      <c r="L391" s="241"/>
      <c r="M391" s="28">
        <f t="shared" si="95"/>
        <v>324.23133600000006</v>
      </c>
      <c r="N391" s="27" t="s">
        <v>840</v>
      </c>
      <c r="O391" s="215">
        <v>1</v>
      </c>
      <c r="P391" s="28">
        <v>483</v>
      </c>
      <c r="Q391" s="401">
        <f t="shared" si="84"/>
        <v>483</v>
      </c>
    </row>
    <row r="392" spans="1:17" x14ac:dyDescent="0.25">
      <c r="A392" s="523"/>
      <c r="B392" s="521"/>
      <c r="C392" s="520"/>
      <c r="D392" s="521"/>
      <c r="E392" s="521"/>
      <c r="F392" s="221" t="s">
        <v>386</v>
      </c>
      <c r="G392" s="229">
        <f>G391*0.1</f>
        <v>3.0000000000000003E-4</v>
      </c>
      <c r="H392" s="221">
        <v>11</v>
      </c>
      <c r="I392" s="229">
        <f t="shared" ref="I392" si="96">G392*H392*1.1*351</f>
        <v>1.2741300000000002</v>
      </c>
      <c r="J392" s="221">
        <v>4</v>
      </c>
      <c r="K392" s="27">
        <v>279.92</v>
      </c>
      <c r="L392" s="241"/>
      <c r="M392" s="28">
        <f t="shared" si="95"/>
        <v>356.65446960000008</v>
      </c>
      <c r="N392" s="27" t="s">
        <v>841</v>
      </c>
      <c r="O392" s="215">
        <v>1</v>
      </c>
      <c r="P392" s="28">
        <v>387</v>
      </c>
      <c r="Q392" s="401">
        <f t="shared" si="84"/>
        <v>387</v>
      </c>
    </row>
    <row r="393" spans="1:17" x14ac:dyDescent="0.25">
      <c r="A393" s="523"/>
      <c r="B393" s="521"/>
      <c r="C393" s="520" t="s">
        <v>819</v>
      </c>
      <c r="D393" s="521" t="s">
        <v>820</v>
      </c>
      <c r="E393" s="521">
        <v>2.2000000000000002</v>
      </c>
      <c r="F393" s="221" t="s">
        <v>384</v>
      </c>
      <c r="G393" s="228">
        <f>0.002*1.5</f>
        <v>3.0000000000000001E-3</v>
      </c>
      <c r="H393" s="221">
        <v>1</v>
      </c>
      <c r="I393" s="229">
        <f>G393*H393*1.1*351</f>
        <v>1.1583000000000001</v>
      </c>
      <c r="J393" s="221">
        <v>4</v>
      </c>
      <c r="K393" s="27">
        <v>279.92</v>
      </c>
      <c r="L393" s="241"/>
      <c r="M393" s="28">
        <f t="shared" si="95"/>
        <v>324.23133600000006</v>
      </c>
      <c r="N393" s="219" t="s">
        <v>402</v>
      </c>
      <c r="O393" s="215">
        <v>1</v>
      </c>
      <c r="P393" s="28">
        <v>931</v>
      </c>
      <c r="Q393" s="401">
        <f t="shared" si="84"/>
        <v>931</v>
      </c>
    </row>
    <row r="394" spans="1:17" x14ac:dyDescent="0.25">
      <c r="A394" s="523"/>
      <c r="B394" s="521"/>
      <c r="C394" s="520"/>
      <c r="D394" s="521"/>
      <c r="E394" s="521"/>
      <c r="F394" s="221" t="s">
        <v>386</v>
      </c>
      <c r="G394" s="229">
        <f>G393*0.1</f>
        <v>3.0000000000000003E-4</v>
      </c>
      <c r="H394" s="221">
        <v>11</v>
      </c>
      <c r="I394" s="229">
        <f t="shared" ref="I394" si="97">G394*H394*1.1*351</f>
        <v>1.2741300000000002</v>
      </c>
      <c r="J394" s="221">
        <v>4</v>
      </c>
      <c r="K394" s="27">
        <v>279.92</v>
      </c>
      <c r="L394" s="241"/>
      <c r="M394" s="28">
        <f t="shared" si="95"/>
        <v>356.65446960000008</v>
      </c>
      <c r="N394" s="219" t="s">
        <v>399</v>
      </c>
      <c r="O394" s="215">
        <v>1</v>
      </c>
      <c r="P394" s="28">
        <v>931</v>
      </c>
      <c r="Q394" s="401">
        <f t="shared" si="84"/>
        <v>931</v>
      </c>
    </row>
    <row r="395" spans="1:17" x14ac:dyDescent="0.25">
      <c r="A395" s="523"/>
      <c r="B395" s="521"/>
      <c r="C395" s="520" t="s">
        <v>821</v>
      </c>
      <c r="D395" s="521" t="s">
        <v>820</v>
      </c>
      <c r="E395" s="521">
        <v>2.2000000000000002</v>
      </c>
      <c r="F395" s="221" t="s">
        <v>384</v>
      </c>
      <c r="G395" s="228">
        <f>0.002*1.5</f>
        <v>3.0000000000000001E-3</v>
      </c>
      <c r="H395" s="221">
        <v>1</v>
      </c>
      <c r="I395" s="229">
        <f>G395*H395*1.1*351</f>
        <v>1.1583000000000001</v>
      </c>
      <c r="J395" s="221">
        <v>4</v>
      </c>
      <c r="K395" s="27">
        <v>279.92</v>
      </c>
      <c r="L395" s="241"/>
      <c r="M395" s="28">
        <f t="shared" si="95"/>
        <v>324.23133600000006</v>
      </c>
      <c r="N395" s="219" t="s">
        <v>402</v>
      </c>
      <c r="O395" s="215">
        <v>1</v>
      </c>
      <c r="P395" s="28">
        <v>931</v>
      </c>
      <c r="Q395" s="401">
        <f t="shared" si="84"/>
        <v>931</v>
      </c>
    </row>
    <row r="396" spans="1:17" x14ac:dyDescent="0.25">
      <c r="A396" s="523"/>
      <c r="B396" s="521"/>
      <c r="C396" s="520"/>
      <c r="D396" s="521"/>
      <c r="E396" s="521"/>
      <c r="F396" s="221" t="s">
        <v>386</v>
      </c>
      <c r="G396" s="229">
        <f>G395*0.1</f>
        <v>3.0000000000000003E-4</v>
      </c>
      <c r="H396" s="221">
        <v>11</v>
      </c>
      <c r="I396" s="229">
        <f t="shared" ref="I396:I398" si="98">G396*H396*1.1*351</f>
        <v>1.2741300000000002</v>
      </c>
      <c r="J396" s="221">
        <v>4</v>
      </c>
      <c r="K396" s="27">
        <v>279.92</v>
      </c>
      <c r="L396" s="241"/>
      <c r="M396" s="28">
        <f t="shared" si="95"/>
        <v>356.65446960000008</v>
      </c>
      <c r="N396" s="219" t="s">
        <v>399</v>
      </c>
      <c r="O396" s="215">
        <v>1</v>
      </c>
      <c r="P396" s="28">
        <v>931</v>
      </c>
      <c r="Q396" s="401">
        <f t="shared" si="84"/>
        <v>931</v>
      </c>
    </row>
    <row r="397" spans="1:17" ht="15.75" customHeight="1" x14ac:dyDescent="0.25">
      <c r="A397" s="523"/>
      <c r="B397" s="521"/>
      <c r="C397" s="501" t="s">
        <v>822</v>
      </c>
      <c r="D397" s="497" t="s">
        <v>823</v>
      </c>
      <c r="E397" s="519"/>
      <c r="F397" s="221" t="s">
        <v>384</v>
      </c>
      <c r="G397" s="229">
        <f>0.006*9</f>
        <v>5.3999999999999999E-2</v>
      </c>
      <c r="H397" s="221">
        <v>1</v>
      </c>
      <c r="I397" s="229">
        <f t="shared" si="98"/>
        <v>20.849399999999999</v>
      </c>
      <c r="J397" s="221">
        <v>5</v>
      </c>
      <c r="K397" s="27">
        <v>297.57</v>
      </c>
      <c r="L397" s="241"/>
      <c r="M397" s="28">
        <f t="shared" si="95"/>
        <v>6204.1559579999994</v>
      </c>
      <c r="N397" s="524" t="s">
        <v>413</v>
      </c>
      <c r="O397" s="526"/>
      <c r="P397" s="489"/>
      <c r="Q397" s="560"/>
    </row>
    <row r="398" spans="1:17" x14ac:dyDescent="0.25">
      <c r="A398" s="523"/>
      <c r="B398" s="521"/>
      <c r="C398" s="501"/>
      <c r="D398" s="497"/>
      <c r="E398" s="519"/>
      <c r="F398" s="221" t="s">
        <v>386</v>
      </c>
      <c r="G398" s="229">
        <f>G397*0.1</f>
        <v>5.4000000000000003E-3</v>
      </c>
      <c r="H398" s="221">
        <v>11</v>
      </c>
      <c r="I398" s="229">
        <f t="shared" si="98"/>
        <v>22.934340000000002</v>
      </c>
      <c r="J398" s="221">
        <v>5</v>
      </c>
      <c r="K398" s="27">
        <v>297.57</v>
      </c>
      <c r="L398" s="241"/>
      <c r="M398" s="28">
        <f t="shared" si="95"/>
        <v>6824.5715538000004</v>
      </c>
      <c r="N398" s="524"/>
      <c r="O398" s="526"/>
      <c r="P398" s="490"/>
      <c r="Q398" s="561"/>
    </row>
    <row r="399" spans="1:17" x14ac:dyDescent="0.25">
      <c r="A399" s="523"/>
      <c r="B399" s="521"/>
      <c r="C399" s="514" t="s">
        <v>824</v>
      </c>
      <c r="D399" s="497"/>
      <c r="E399" s="519"/>
      <c r="F399" s="221" t="s">
        <v>384</v>
      </c>
      <c r="G399" s="228">
        <f>0.001*35*1.6</f>
        <v>5.6000000000000008E-2</v>
      </c>
      <c r="H399" s="221">
        <v>1</v>
      </c>
      <c r="I399" s="229">
        <f>G399*H399*1.1*351</f>
        <v>21.621600000000004</v>
      </c>
      <c r="J399" s="215">
        <v>4</v>
      </c>
      <c r="K399" s="27">
        <v>279.92</v>
      </c>
      <c r="L399" s="241"/>
      <c r="M399" s="28">
        <f t="shared" si="95"/>
        <v>6052.3182720000013</v>
      </c>
      <c r="N399" s="524" t="s">
        <v>1017</v>
      </c>
      <c r="O399" s="526">
        <v>2</v>
      </c>
      <c r="P399" s="489">
        <v>60.7</v>
      </c>
      <c r="Q399" s="560">
        <f t="shared" ref="Q399:Q430" si="99">P399*O399</f>
        <v>121.4</v>
      </c>
    </row>
    <row r="400" spans="1:17" x14ac:dyDescent="0.25">
      <c r="A400" s="523"/>
      <c r="B400" s="521"/>
      <c r="C400" s="514"/>
      <c r="D400" s="497"/>
      <c r="E400" s="519"/>
      <c r="F400" s="221" t="s">
        <v>386</v>
      </c>
      <c r="G400" s="229">
        <f>G399*0.1</f>
        <v>5.6000000000000008E-3</v>
      </c>
      <c r="H400" s="221">
        <v>11</v>
      </c>
      <c r="I400" s="229">
        <f t="shared" ref="I400" si="100">G400*H400*1.1*351</f>
        <v>23.783760000000004</v>
      </c>
      <c r="J400" s="215">
        <v>4</v>
      </c>
      <c r="K400" s="27">
        <v>279.92</v>
      </c>
      <c r="L400" s="241"/>
      <c r="M400" s="28">
        <f t="shared" si="95"/>
        <v>6657.5500992000016</v>
      </c>
      <c r="N400" s="524"/>
      <c r="O400" s="526"/>
      <c r="P400" s="490"/>
      <c r="Q400" s="561">
        <f t="shared" si="99"/>
        <v>0</v>
      </c>
    </row>
    <row r="401" spans="1:17" x14ac:dyDescent="0.25">
      <c r="A401" s="523"/>
      <c r="B401" s="521"/>
      <c r="C401" s="514" t="s">
        <v>825</v>
      </c>
      <c r="D401" s="497"/>
      <c r="E401" s="519"/>
      <c r="F401" s="221" t="s">
        <v>384</v>
      </c>
      <c r="G401" s="228">
        <f>0.003*1.6</f>
        <v>4.8000000000000004E-3</v>
      </c>
      <c r="H401" s="221">
        <v>1</v>
      </c>
      <c r="I401" s="229">
        <f>G401*H401*1.1*351</f>
        <v>1.8532800000000003</v>
      </c>
      <c r="J401" s="215">
        <v>4</v>
      </c>
      <c r="K401" s="27">
        <v>279.92</v>
      </c>
      <c r="L401" s="241"/>
      <c r="M401" s="28">
        <f t="shared" si="95"/>
        <v>518.77013760000011</v>
      </c>
      <c r="N401" s="524" t="s">
        <v>1017</v>
      </c>
      <c r="O401" s="526">
        <v>1</v>
      </c>
      <c r="P401" s="489">
        <v>60.7</v>
      </c>
      <c r="Q401" s="560">
        <f t="shared" si="99"/>
        <v>60.7</v>
      </c>
    </row>
    <row r="402" spans="1:17" x14ac:dyDescent="0.25">
      <c r="A402" s="523"/>
      <c r="B402" s="521"/>
      <c r="C402" s="514"/>
      <c r="D402" s="497"/>
      <c r="E402" s="519"/>
      <c r="F402" s="221" t="s">
        <v>386</v>
      </c>
      <c r="G402" s="229">
        <f>G401*0.1</f>
        <v>4.8000000000000007E-4</v>
      </c>
      <c r="H402" s="221">
        <v>11</v>
      </c>
      <c r="I402" s="229">
        <f t="shared" ref="I402" si="101">G402*H402*1.1*351</f>
        <v>2.0386080000000004</v>
      </c>
      <c r="J402" s="215">
        <v>4</v>
      </c>
      <c r="K402" s="27">
        <v>279.92</v>
      </c>
      <c r="L402" s="241"/>
      <c r="M402" s="28">
        <f t="shared" si="95"/>
        <v>570.64715136000018</v>
      </c>
      <c r="N402" s="524"/>
      <c r="O402" s="526"/>
      <c r="P402" s="490"/>
      <c r="Q402" s="561">
        <f t="shared" si="99"/>
        <v>0</v>
      </c>
    </row>
    <row r="403" spans="1:17" x14ac:dyDescent="0.25">
      <c r="A403" s="523"/>
      <c r="B403" s="521"/>
      <c r="C403" s="514" t="s">
        <v>826</v>
      </c>
      <c r="D403" s="497"/>
      <c r="E403" s="519"/>
      <c r="F403" s="221" t="s">
        <v>384</v>
      </c>
      <c r="G403" s="228">
        <f>0.005*2*1.6</f>
        <v>1.6E-2</v>
      </c>
      <c r="H403" s="221">
        <v>1</v>
      </c>
      <c r="I403" s="229">
        <f>G403*H403*1.1*351</f>
        <v>6.1776</v>
      </c>
      <c r="J403" s="215">
        <v>4</v>
      </c>
      <c r="K403" s="27">
        <v>279.92</v>
      </c>
      <c r="L403" s="241"/>
      <c r="M403" s="28">
        <f t="shared" si="95"/>
        <v>1729.233792</v>
      </c>
      <c r="N403" s="524" t="s">
        <v>1017</v>
      </c>
      <c r="O403" s="526">
        <v>2</v>
      </c>
      <c r="P403" s="489">
        <v>60.7</v>
      </c>
      <c r="Q403" s="560">
        <f t="shared" si="99"/>
        <v>121.4</v>
      </c>
    </row>
    <row r="404" spans="1:17" x14ac:dyDescent="0.25">
      <c r="A404" s="523"/>
      <c r="B404" s="521"/>
      <c r="C404" s="514"/>
      <c r="D404" s="497"/>
      <c r="E404" s="519"/>
      <c r="F404" s="221" t="s">
        <v>386</v>
      </c>
      <c r="G404" s="229">
        <f>G403*0.1</f>
        <v>1.6000000000000001E-3</v>
      </c>
      <c r="H404" s="221">
        <v>11</v>
      </c>
      <c r="I404" s="229">
        <f t="shared" ref="I404" si="102">G404*H404*1.1*351</f>
        <v>6.7953600000000005</v>
      </c>
      <c r="J404" s="215">
        <v>4</v>
      </c>
      <c r="K404" s="27">
        <v>279.92</v>
      </c>
      <c r="L404" s="241"/>
      <c r="M404" s="28">
        <f t="shared" si="95"/>
        <v>1902.1571712000002</v>
      </c>
      <c r="N404" s="524"/>
      <c r="O404" s="526"/>
      <c r="P404" s="490"/>
      <c r="Q404" s="561">
        <f t="shared" si="99"/>
        <v>0</v>
      </c>
    </row>
    <row r="405" spans="1:17" x14ac:dyDescent="0.25">
      <c r="A405" s="523"/>
      <c r="B405" s="521"/>
      <c r="C405" s="514" t="s">
        <v>409</v>
      </c>
      <c r="D405" s="497"/>
      <c r="E405" s="519"/>
      <c r="F405" s="221" t="s">
        <v>384</v>
      </c>
      <c r="G405" s="228">
        <f>0.002*6*1.6</f>
        <v>1.9200000000000002E-2</v>
      </c>
      <c r="H405" s="221">
        <v>2</v>
      </c>
      <c r="I405" s="229">
        <f>G405*H405*1.1*351</f>
        <v>14.826240000000002</v>
      </c>
      <c r="J405" s="215">
        <v>4</v>
      </c>
      <c r="K405" s="27">
        <v>279.92</v>
      </c>
      <c r="L405" s="241"/>
      <c r="M405" s="28">
        <f t="shared" si="95"/>
        <v>4150.1611008000009</v>
      </c>
      <c r="N405" s="524" t="s">
        <v>1017</v>
      </c>
      <c r="O405" s="526">
        <v>2</v>
      </c>
      <c r="P405" s="489">
        <v>60.7</v>
      </c>
      <c r="Q405" s="560">
        <f t="shared" si="99"/>
        <v>121.4</v>
      </c>
    </row>
    <row r="406" spans="1:17" x14ac:dyDescent="0.25">
      <c r="A406" s="523"/>
      <c r="B406" s="521"/>
      <c r="C406" s="514"/>
      <c r="D406" s="497"/>
      <c r="E406" s="519"/>
      <c r="F406" s="221" t="s">
        <v>386</v>
      </c>
      <c r="G406" s="229">
        <f>G405*0.1</f>
        <v>1.9200000000000003E-3</v>
      </c>
      <c r="H406" s="221">
        <v>10</v>
      </c>
      <c r="I406" s="229">
        <f t="shared" ref="I406" si="103">G406*H406*1.1*351</f>
        <v>7.413120000000001</v>
      </c>
      <c r="J406" s="215">
        <v>4</v>
      </c>
      <c r="K406" s="27">
        <v>279.92</v>
      </c>
      <c r="L406" s="241"/>
      <c r="M406" s="28">
        <f t="shared" si="95"/>
        <v>2075.0805504000004</v>
      </c>
      <c r="N406" s="524"/>
      <c r="O406" s="526"/>
      <c r="P406" s="490"/>
      <c r="Q406" s="561">
        <f t="shared" si="99"/>
        <v>0</v>
      </c>
    </row>
    <row r="407" spans="1:17" x14ac:dyDescent="0.25">
      <c r="A407" s="523"/>
      <c r="B407" s="521"/>
      <c r="C407" s="501" t="s">
        <v>827</v>
      </c>
      <c r="D407" s="497"/>
      <c r="E407" s="519"/>
      <c r="F407" s="221" t="s">
        <v>384</v>
      </c>
      <c r="G407" s="228">
        <f>0.001*2*1.6</f>
        <v>3.2000000000000002E-3</v>
      </c>
      <c r="H407" s="221">
        <v>1</v>
      </c>
      <c r="I407" s="229">
        <f>G407*H407*1.1*351</f>
        <v>1.2355200000000002</v>
      </c>
      <c r="J407" s="215">
        <v>4</v>
      </c>
      <c r="K407" s="27">
        <v>279.92</v>
      </c>
      <c r="L407" s="241"/>
      <c r="M407" s="28">
        <f t="shared" si="95"/>
        <v>345.84675840000006</v>
      </c>
      <c r="N407" s="524" t="s">
        <v>1017</v>
      </c>
      <c r="O407" s="526">
        <v>2</v>
      </c>
      <c r="P407" s="489">
        <v>60.7</v>
      </c>
      <c r="Q407" s="560">
        <f t="shared" si="99"/>
        <v>121.4</v>
      </c>
    </row>
    <row r="408" spans="1:17" x14ac:dyDescent="0.25">
      <c r="A408" s="523"/>
      <c r="B408" s="521"/>
      <c r="C408" s="501"/>
      <c r="D408" s="497"/>
      <c r="E408" s="519"/>
      <c r="F408" s="221" t="s">
        <v>386</v>
      </c>
      <c r="G408" s="229">
        <f>G407*0.1</f>
        <v>3.2000000000000003E-4</v>
      </c>
      <c r="H408" s="221">
        <v>11</v>
      </c>
      <c r="I408" s="229">
        <f t="shared" ref="I408" si="104">G408*H408*1.1*351</f>
        <v>1.3590720000000001</v>
      </c>
      <c r="J408" s="215">
        <v>4</v>
      </c>
      <c r="K408" s="27">
        <v>279.92</v>
      </c>
      <c r="L408" s="241"/>
      <c r="M408" s="28">
        <f t="shared" si="95"/>
        <v>380.43143424000004</v>
      </c>
      <c r="N408" s="524"/>
      <c r="O408" s="526"/>
      <c r="P408" s="490"/>
      <c r="Q408" s="561">
        <f t="shared" si="99"/>
        <v>0</v>
      </c>
    </row>
    <row r="409" spans="1:17" ht="15.75" customHeight="1" x14ac:dyDescent="0.25">
      <c r="A409" s="523"/>
      <c r="B409" s="521"/>
      <c r="C409" s="501" t="s">
        <v>828</v>
      </c>
      <c r="D409" s="497"/>
      <c r="E409" s="519"/>
      <c r="F409" s="221" t="s">
        <v>384</v>
      </c>
      <c r="G409" s="228">
        <f>0.006*1.6</f>
        <v>9.6000000000000009E-3</v>
      </c>
      <c r="H409" s="221">
        <v>1</v>
      </c>
      <c r="I409" s="229">
        <f>G409*H409*1.1*351</f>
        <v>3.7065600000000005</v>
      </c>
      <c r="J409" s="215">
        <v>4</v>
      </c>
      <c r="K409" s="27">
        <v>279.92</v>
      </c>
      <c r="L409" s="241"/>
      <c r="M409" s="28">
        <f t="shared" si="95"/>
        <v>1037.5402752000002</v>
      </c>
      <c r="N409" s="524" t="s">
        <v>842</v>
      </c>
      <c r="O409" s="526">
        <v>6</v>
      </c>
      <c r="P409" s="489">
        <v>540</v>
      </c>
      <c r="Q409" s="560">
        <f t="shared" si="99"/>
        <v>3240</v>
      </c>
    </row>
    <row r="410" spans="1:17" x14ac:dyDescent="0.25">
      <c r="A410" s="523"/>
      <c r="B410" s="521"/>
      <c r="C410" s="501"/>
      <c r="D410" s="497"/>
      <c r="E410" s="519"/>
      <c r="F410" s="221" t="s">
        <v>386</v>
      </c>
      <c r="G410" s="229">
        <f>G409*0.1</f>
        <v>9.6000000000000013E-4</v>
      </c>
      <c r="H410" s="221">
        <v>11</v>
      </c>
      <c r="I410" s="229">
        <f t="shared" ref="I410:I414" si="105">G410*H410*1.1*351</f>
        <v>4.0772160000000008</v>
      </c>
      <c r="J410" s="215">
        <v>4</v>
      </c>
      <c r="K410" s="27">
        <v>279.92</v>
      </c>
      <c r="L410" s="241"/>
      <c r="M410" s="28">
        <f t="shared" si="95"/>
        <v>1141.2943027200004</v>
      </c>
      <c r="N410" s="524"/>
      <c r="O410" s="526"/>
      <c r="P410" s="490"/>
      <c r="Q410" s="561">
        <f t="shared" si="99"/>
        <v>0</v>
      </c>
    </row>
    <row r="411" spans="1:17" ht="15.75" customHeight="1" x14ac:dyDescent="0.25">
      <c r="A411" s="523"/>
      <c r="B411" s="521"/>
      <c r="C411" s="501" t="s">
        <v>829</v>
      </c>
      <c r="D411" s="497"/>
      <c r="E411" s="243"/>
      <c r="F411" s="221" t="s">
        <v>384</v>
      </c>
      <c r="G411" s="228">
        <f>0.005*1.6</f>
        <v>8.0000000000000002E-3</v>
      </c>
      <c r="H411" s="221">
        <v>1</v>
      </c>
      <c r="I411" s="229">
        <f>G411*H411*1.1*351</f>
        <v>3.0888</v>
      </c>
      <c r="J411" s="215">
        <v>4</v>
      </c>
      <c r="K411" s="27">
        <v>279.92</v>
      </c>
      <c r="L411" s="241"/>
      <c r="M411" s="28">
        <f t="shared" si="95"/>
        <v>864.616896</v>
      </c>
      <c r="N411" s="524" t="s">
        <v>842</v>
      </c>
      <c r="O411" s="526">
        <v>3</v>
      </c>
      <c r="P411" s="489">
        <v>540</v>
      </c>
      <c r="Q411" s="560">
        <f t="shared" si="99"/>
        <v>1620</v>
      </c>
    </row>
    <row r="412" spans="1:17" x14ac:dyDescent="0.25">
      <c r="A412" s="523"/>
      <c r="B412" s="521"/>
      <c r="C412" s="501"/>
      <c r="D412" s="497"/>
      <c r="E412" s="243"/>
      <c r="F412" s="221" t="s">
        <v>386</v>
      </c>
      <c r="G412" s="229">
        <f>G411*0.1</f>
        <v>8.0000000000000004E-4</v>
      </c>
      <c r="H412" s="221">
        <v>11</v>
      </c>
      <c r="I412" s="229">
        <f t="shared" ref="I412" si="106">G412*H412*1.1*351</f>
        <v>3.3976800000000003</v>
      </c>
      <c r="J412" s="215">
        <v>4</v>
      </c>
      <c r="K412" s="27">
        <v>279.92</v>
      </c>
      <c r="L412" s="241"/>
      <c r="M412" s="28">
        <f t="shared" si="95"/>
        <v>951.07858560000011</v>
      </c>
      <c r="N412" s="524"/>
      <c r="O412" s="526"/>
      <c r="P412" s="490"/>
      <c r="Q412" s="561">
        <f t="shared" si="99"/>
        <v>0</v>
      </c>
    </row>
    <row r="413" spans="1:17" x14ac:dyDescent="0.25">
      <c r="A413" s="523"/>
      <c r="B413" s="521"/>
      <c r="C413" s="501" t="s">
        <v>830</v>
      </c>
      <c r="D413" s="513" t="s">
        <v>461</v>
      </c>
      <c r="E413" s="513">
        <v>0.25</v>
      </c>
      <c r="F413" s="215" t="s">
        <v>384</v>
      </c>
      <c r="G413" s="27">
        <f>0.007*1.6</f>
        <v>1.1200000000000002E-2</v>
      </c>
      <c r="H413" s="215">
        <v>1</v>
      </c>
      <c r="I413" s="27">
        <f t="shared" si="105"/>
        <v>4.3243200000000011</v>
      </c>
      <c r="J413" s="215">
        <v>4</v>
      </c>
      <c r="K413" s="27">
        <v>279.92</v>
      </c>
      <c r="L413" s="241"/>
      <c r="M413" s="28">
        <f t="shared" si="95"/>
        <v>1210.4636544000005</v>
      </c>
      <c r="N413" s="524" t="s">
        <v>1017</v>
      </c>
      <c r="O413" s="526">
        <v>1</v>
      </c>
      <c r="P413" s="489">
        <v>60.7</v>
      </c>
      <c r="Q413" s="560">
        <f t="shared" si="99"/>
        <v>60.7</v>
      </c>
    </row>
    <row r="414" spans="1:17" x14ac:dyDescent="0.25">
      <c r="A414" s="523"/>
      <c r="B414" s="521"/>
      <c r="C414" s="501"/>
      <c r="D414" s="513"/>
      <c r="E414" s="513"/>
      <c r="F414" s="215" t="s">
        <v>386</v>
      </c>
      <c r="G414" s="223">
        <f>G413*0.1</f>
        <v>1.1200000000000001E-3</v>
      </c>
      <c r="H414" s="215">
        <v>11</v>
      </c>
      <c r="I414" s="27">
        <f t="shared" si="105"/>
        <v>4.7567520000000005</v>
      </c>
      <c r="J414" s="215">
        <v>4</v>
      </c>
      <c r="K414" s="27">
        <v>279.92</v>
      </c>
      <c r="L414" s="241"/>
      <c r="M414" s="28">
        <f t="shared" si="95"/>
        <v>1331.5100198400003</v>
      </c>
      <c r="N414" s="524"/>
      <c r="O414" s="526"/>
      <c r="P414" s="490"/>
      <c r="Q414" s="561">
        <f t="shared" si="99"/>
        <v>0</v>
      </c>
    </row>
    <row r="415" spans="1:17" ht="15.75" customHeight="1" x14ac:dyDescent="0.25">
      <c r="A415" s="523"/>
      <c r="B415" s="521"/>
      <c r="C415" s="501" t="s">
        <v>419</v>
      </c>
      <c r="D415" s="497" t="s">
        <v>796</v>
      </c>
      <c r="E415" s="519"/>
      <c r="F415" s="221" t="s">
        <v>384</v>
      </c>
      <c r="G415" s="228">
        <f>0.004*2.9*1.6</f>
        <v>1.856E-2</v>
      </c>
      <c r="H415" s="221">
        <v>1</v>
      </c>
      <c r="I415" s="229">
        <f>G415*H415*1.1*351</f>
        <v>7.1660159999999999</v>
      </c>
      <c r="J415" s="215">
        <v>4</v>
      </c>
      <c r="K415" s="27">
        <v>279.92</v>
      </c>
      <c r="L415" s="241"/>
      <c r="M415" s="28">
        <f t="shared" si="95"/>
        <v>2005.9111987200001</v>
      </c>
      <c r="N415" s="524" t="s">
        <v>420</v>
      </c>
      <c r="O415" s="526">
        <v>29</v>
      </c>
      <c r="P415" s="489">
        <v>478</v>
      </c>
      <c r="Q415" s="560">
        <f t="shared" si="99"/>
        <v>13862</v>
      </c>
    </row>
    <row r="416" spans="1:17" x14ac:dyDescent="0.25">
      <c r="A416" s="523"/>
      <c r="B416" s="521"/>
      <c r="C416" s="501"/>
      <c r="D416" s="497"/>
      <c r="E416" s="519"/>
      <c r="F416" s="221" t="s">
        <v>386</v>
      </c>
      <c r="G416" s="229">
        <f>G415*0.1</f>
        <v>1.856E-3</v>
      </c>
      <c r="H416" s="221">
        <v>11</v>
      </c>
      <c r="I416" s="229">
        <f t="shared" ref="I416" si="107">G416*H416*1.1*351</f>
        <v>7.8826176000000006</v>
      </c>
      <c r="J416" s="215">
        <v>4</v>
      </c>
      <c r="K416" s="27">
        <v>279.92</v>
      </c>
      <c r="L416" s="241"/>
      <c r="M416" s="28">
        <f t="shared" si="95"/>
        <v>2206.5023185920004</v>
      </c>
      <c r="N416" s="524"/>
      <c r="O416" s="526"/>
      <c r="P416" s="490"/>
      <c r="Q416" s="561">
        <f t="shared" si="99"/>
        <v>0</v>
      </c>
    </row>
    <row r="417" spans="1:17" x14ac:dyDescent="0.25">
      <c r="A417" s="523"/>
      <c r="B417" s="521"/>
      <c r="C417" s="505" t="s">
        <v>831</v>
      </c>
      <c r="D417" s="518"/>
      <c r="E417" s="518"/>
      <c r="F417" s="221" t="s">
        <v>384</v>
      </c>
      <c r="G417" s="228">
        <f>0.028*0.397</f>
        <v>1.1116000000000001E-2</v>
      </c>
      <c r="H417" s="221">
        <v>1</v>
      </c>
      <c r="I417" s="229">
        <f>G417*H417*1.1*351</f>
        <v>4.2918876000000008</v>
      </c>
      <c r="J417" s="215">
        <v>4</v>
      </c>
      <c r="K417" s="27">
        <v>279.92</v>
      </c>
      <c r="L417" s="241"/>
      <c r="M417" s="28">
        <f t="shared" si="95"/>
        <v>1201.3851769920002</v>
      </c>
      <c r="N417" s="217" t="s">
        <v>314</v>
      </c>
      <c r="O417" s="215">
        <v>1</v>
      </c>
      <c r="P417" s="402">
        <v>52</v>
      </c>
      <c r="Q417" s="378">
        <f t="shared" si="99"/>
        <v>52</v>
      </c>
    </row>
    <row r="418" spans="1:17" x14ac:dyDescent="0.25">
      <c r="A418" s="523"/>
      <c r="B418" s="521"/>
      <c r="C418" s="506"/>
      <c r="D418" s="518"/>
      <c r="E418" s="518"/>
      <c r="F418" s="221" t="s">
        <v>386</v>
      </c>
      <c r="G418" s="229">
        <f>G417*0.1</f>
        <v>1.1116000000000001E-3</v>
      </c>
      <c r="H418" s="221">
        <v>11</v>
      </c>
      <c r="I418" s="229">
        <f t="shared" ref="I418" si="108">G418*H418*1.1*351</f>
        <v>4.7210763600000014</v>
      </c>
      <c r="J418" s="215">
        <v>4</v>
      </c>
      <c r="K418" s="27">
        <v>279.92</v>
      </c>
      <c r="L418" s="241"/>
      <c r="M418" s="28">
        <f t="shared" si="95"/>
        <v>1321.5236946912005</v>
      </c>
      <c r="N418" s="365" t="s">
        <v>1017</v>
      </c>
      <c r="O418" s="363">
        <v>1</v>
      </c>
      <c r="P418" s="364">
        <v>60.7</v>
      </c>
      <c r="Q418" s="378">
        <f t="shared" si="99"/>
        <v>60.7</v>
      </c>
    </row>
    <row r="419" spans="1:17" x14ac:dyDescent="0.25">
      <c r="A419" s="523"/>
      <c r="B419" s="521"/>
      <c r="C419" s="505" t="s">
        <v>832</v>
      </c>
      <c r="D419" s="518"/>
      <c r="E419" s="518"/>
      <c r="F419" s="221" t="s">
        <v>384</v>
      </c>
      <c r="G419" s="228">
        <f>0.04*0.03</f>
        <v>1.1999999999999999E-3</v>
      </c>
      <c r="H419" s="221">
        <v>1</v>
      </c>
      <c r="I419" s="229">
        <f>G419*H419*1.1*351</f>
        <v>0.46332000000000001</v>
      </c>
      <c r="J419" s="215">
        <v>4</v>
      </c>
      <c r="K419" s="27">
        <v>279.92</v>
      </c>
      <c r="L419" s="241"/>
      <c r="M419" s="28">
        <f t="shared" si="95"/>
        <v>129.6925344</v>
      </c>
      <c r="N419" s="365" t="s">
        <v>314</v>
      </c>
      <c r="O419" s="364">
        <v>1</v>
      </c>
      <c r="P419" s="402">
        <v>52</v>
      </c>
      <c r="Q419" s="378">
        <f t="shared" si="99"/>
        <v>52</v>
      </c>
    </row>
    <row r="420" spans="1:17" x14ac:dyDescent="0.25">
      <c r="A420" s="523"/>
      <c r="B420" s="521"/>
      <c r="C420" s="506"/>
      <c r="D420" s="518"/>
      <c r="E420" s="518"/>
      <c r="F420" s="221" t="s">
        <v>386</v>
      </c>
      <c r="G420" s="229">
        <f>G419*0.1</f>
        <v>1.1999999999999999E-4</v>
      </c>
      <c r="H420" s="221">
        <v>11</v>
      </c>
      <c r="I420" s="229">
        <f t="shared" ref="I420" si="109">G420*H420*1.1*351</f>
        <v>0.5096520000000001</v>
      </c>
      <c r="J420" s="215">
        <v>4</v>
      </c>
      <c r="K420" s="27">
        <v>279.92</v>
      </c>
      <c r="L420" s="241"/>
      <c r="M420" s="28">
        <f t="shared" si="95"/>
        <v>142.66178784000004</v>
      </c>
      <c r="N420" s="365" t="s">
        <v>1017</v>
      </c>
      <c r="O420" s="363">
        <v>1</v>
      </c>
      <c r="P420" s="364">
        <v>60.7</v>
      </c>
      <c r="Q420" s="378">
        <f t="shared" si="99"/>
        <v>60.7</v>
      </c>
    </row>
    <row r="421" spans="1:17" x14ac:dyDescent="0.25">
      <c r="A421" s="523"/>
      <c r="B421" s="521"/>
      <c r="C421" s="505" t="s">
        <v>833</v>
      </c>
      <c r="D421" s="518"/>
      <c r="E421" s="518"/>
      <c r="F421" s="221" t="s">
        <v>384</v>
      </c>
      <c r="G421" s="228">
        <f>0.048*0.146</f>
        <v>7.0079999999999995E-3</v>
      </c>
      <c r="H421" s="221">
        <v>1</v>
      </c>
      <c r="I421" s="229">
        <f>G421*H421*1.1*351</f>
        <v>2.7057888000000001</v>
      </c>
      <c r="J421" s="215">
        <v>4</v>
      </c>
      <c r="K421" s="27">
        <v>279.92</v>
      </c>
      <c r="L421" s="241"/>
      <c r="M421" s="28">
        <f t="shared" si="95"/>
        <v>757.40440089600008</v>
      </c>
      <c r="N421" s="365" t="s">
        <v>314</v>
      </c>
      <c r="O421" s="364">
        <v>1</v>
      </c>
      <c r="P421" s="364">
        <v>52</v>
      </c>
      <c r="Q421" s="378">
        <f t="shared" si="99"/>
        <v>52</v>
      </c>
    </row>
    <row r="422" spans="1:17" x14ac:dyDescent="0.25">
      <c r="A422" s="523"/>
      <c r="B422" s="521"/>
      <c r="C422" s="506"/>
      <c r="D422" s="518"/>
      <c r="E422" s="518"/>
      <c r="F422" s="221" t="s">
        <v>386</v>
      </c>
      <c r="G422" s="229">
        <f>G421*0.1</f>
        <v>7.0080000000000001E-4</v>
      </c>
      <c r="H422" s="221">
        <v>11</v>
      </c>
      <c r="I422" s="229">
        <f t="shared" ref="I422" si="110">G422*H422*1.1*351</f>
        <v>2.9763676800000001</v>
      </c>
      <c r="J422" s="215">
        <v>4</v>
      </c>
      <c r="K422" s="27">
        <v>279.92</v>
      </c>
      <c r="L422" s="241"/>
      <c r="M422" s="28">
        <f t="shared" si="95"/>
        <v>833.14484098560001</v>
      </c>
      <c r="N422" s="365" t="s">
        <v>1017</v>
      </c>
      <c r="O422" s="363">
        <v>1</v>
      </c>
      <c r="P422" s="364">
        <v>60.7</v>
      </c>
      <c r="Q422" s="378">
        <f t="shared" si="99"/>
        <v>60.7</v>
      </c>
    </row>
    <row r="423" spans="1:17" x14ac:dyDescent="0.25">
      <c r="A423" s="523"/>
      <c r="B423" s="521"/>
      <c r="C423" s="506" t="s">
        <v>834</v>
      </c>
      <c r="D423" s="518"/>
      <c r="E423" s="518"/>
      <c r="F423" s="221" t="s">
        <v>384</v>
      </c>
      <c r="G423" s="228">
        <f>0.04*0.226</f>
        <v>9.0400000000000012E-3</v>
      </c>
      <c r="H423" s="221">
        <v>1</v>
      </c>
      <c r="I423" s="229">
        <f>G423*H423*1.1*351</f>
        <v>3.4903440000000003</v>
      </c>
      <c r="J423" s="215">
        <v>4</v>
      </c>
      <c r="K423" s="27">
        <v>279.92</v>
      </c>
      <c r="L423" s="241"/>
      <c r="M423" s="28">
        <f t="shared" si="95"/>
        <v>977.0170924800002</v>
      </c>
      <c r="N423" s="365" t="s">
        <v>314</v>
      </c>
      <c r="O423" s="364">
        <v>1</v>
      </c>
      <c r="P423" s="364">
        <v>52</v>
      </c>
      <c r="Q423" s="378">
        <f t="shared" si="99"/>
        <v>52</v>
      </c>
    </row>
    <row r="424" spans="1:17" x14ac:dyDescent="0.25">
      <c r="A424" s="523"/>
      <c r="B424" s="521"/>
      <c r="C424" s="506"/>
      <c r="D424" s="518"/>
      <c r="E424" s="518"/>
      <c r="F424" s="221" t="s">
        <v>386</v>
      </c>
      <c r="G424" s="229">
        <f>G423*0.1</f>
        <v>9.0400000000000018E-4</v>
      </c>
      <c r="H424" s="221">
        <v>11</v>
      </c>
      <c r="I424" s="229">
        <f t="shared" ref="I424" si="111">G424*H424*1.1*351</f>
        <v>3.8393784000000011</v>
      </c>
      <c r="J424" s="215">
        <v>4</v>
      </c>
      <c r="K424" s="27">
        <v>279.92</v>
      </c>
      <c r="L424" s="241"/>
      <c r="M424" s="28">
        <f t="shared" si="95"/>
        <v>1074.7188017280005</v>
      </c>
      <c r="N424" s="365" t="s">
        <v>1017</v>
      </c>
      <c r="O424" s="363">
        <v>1</v>
      </c>
      <c r="P424" s="364">
        <v>60.7</v>
      </c>
      <c r="Q424" s="378">
        <f t="shared" si="99"/>
        <v>60.7</v>
      </c>
    </row>
    <row r="425" spans="1:17" x14ac:dyDescent="0.25">
      <c r="A425" s="523"/>
      <c r="B425" s="521"/>
      <c r="C425" s="506" t="s">
        <v>835</v>
      </c>
      <c r="D425" s="518"/>
      <c r="E425" s="518"/>
      <c r="F425" s="221" t="s">
        <v>384</v>
      </c>
      <c r="G425" s="228">
        <f>0.009*2</f>
        <v>1.7999999999999999E-2</v>
      </c>
      <c r="H425" s="221">
        <v>1</v>
      </c>
      <c r="I425" s="228">
        <f>G425*H425*1.1*351</f>
        <v>6.9498000000000006</v>
      </c>
      <c r="J425" s="221">
        <v>5</v>
      </c>
      <c r="K425" s="27">
        <v>297.57</v>
      </c>
      <c r="L425" s="241"/>
      <c r="M425" s="28">
        <f t="shared" si="95"/>
        <v>2068.0519859999999</v>
      </c>
      <c r="N425" s="524"/>
      <c r="O425" s="526"/>
      <c r="P425" s="489"/>
      <c r="Q425" s="560"/>
    </row>
    <row r="426" spans="1:17" x14ac:dyDescent="0.25">
      <c r="A426" s="523"/>
      <c r="B426" s="521"/>
      <c r="C426" s="506"/>
      <c r="D426" s="518"/>
      <c r="E426" s="518"/>
      <c r="F426" s="221" t="s">
        <v>386</v>
      </c>
      <c r="G426" s="229">
        <f>G425*0.1</f>
        <v>1.8E-3</v>
      </c>
      <c r="H426" s="221">
        <v>11</v>
      </c>
      <c r="I426" s="228">
        <f t="shared" ref="I426" si="112">G426*H426*1.1*351</f>
        <v>7.6447799999999999</v>
      </c>
      <c r="J426" s="221">
        <v>5</v>
      </c>
      <c r="K426" s="27">
        <v>297.57</v>
      </c>
      <c r="L426" s="241"/>
      <c r="M426" s="28">
        <f t="shared" si="95"/>
        <v>2274.8571846</v>
      </c>
      <c r="N426" s="524"/>
      <c r="O426" s="526"/>
      <c r="P426" s="490"/>
      <c r="Q426" s="561"/>
    </row>
    <row r="427" spans="1:17" x14ac:dyDescent="0.25">
      <c r="A427" s="523"/>
      <c r="B427" s="521"/>
      <c r="C427" s="505" t="s">
        <v>836</v>
      </c>
      <c r="D427" s="518"/>
      <c r="E427" s="518"/>
      <c r="F427" s="221" t="s">
        <v>384</v>
      </c>
      <c r="G427" s="228">
        <f>0.003*6</f>
        <v>1.8000000000000002E-2</v>
      </c>
      <c r="H427" s="221">
        <v>1</v>
      </c>
      <c r="I427" s="229">
        <f>G427*H427*1.1*351</f>
        <v>6.9498000000000015</v>
      </c>
      <c r="J427" s="221">
        <v>4</v>
      </c>
      <c r="K427" s="27">
        <v>279.92</v>
      </c>
      <c r="L427" s="241"/>
      <c r="M427" s="28">
        <f t="shared" si="95"/>
        <v>1945.3880160000006</v>
      </c>
      <c r="N427" s="524" t="s">
        <v>1017</v>
      </c>
      <c r="O427" s="526">
        <v>1</v>
      </c>
      <c r="P427" s="489">
        <v>60.7</v>
      </c>
      <c r="Q427" s="560">
        <f t="shared" si="99"/>
        <v>60.7</v>
      </c>
    </row>
    <row r="428" spans="1:17" x14ac:dyDescent="0.25">
      <c r="A428" s="523"/>
      <c r="B428" s="521"/>
      <c r="C428" s="506"/>
      <c r="D428" s="518"/>
      <c r="E428" s="518"/>
      <c r="F428" s="221" t="s">
        <v>386</v>
      </c>
      <c r="G428" s="229">
        <f>G427*0.1</f>
        <v>1.8000000000000004E-3</v>
      </c>
      <c r="H428" s="221">
        <v>11</v>
      </c>
      <c r="I428" s="229">
        <f t="shared" ref="I428" si="113">G428*H428*1.1*351</f>
        <v>7.6447800000000026</v>
      </c>
      <c r="J428" s="221">
        <v>4</v>
      </c>
      <c r="K428" s="27">
        <v>279.92</v>
      </c>
      <c r="L428" s="241"/>
      <c r="M428" s="28">
        <f t="shared" si="95"/>
        <v>2139.926817600001</v>
      </c>
      <c r="N428" s="524"/>
      <c r="O428" s="526"/>
      <c r="P428" s="490"/>
      <c r="Q428" s="561">
        <f t="shared" si="99"/>
        <v>0</v>
      </c>
    </row>
    <row r="429" spans="1:17" ht="15.75" customHeight="1" x14ac:dyDescent="0.25">
      <c r="A429" s="523"/>
      <c r="B429" s="521"/>
      <c r="C429" s="505" t="s">
        <v>837</v>
      </c>
      <c r="D429" s="519" t="s">
        <v>838</v>
      </c>
      <c r="E429" s="518"/>
      <c r="F429" s="221" t="s">
        <v>384</v>
      </c>
      <c r="G429" s="228">
        <f>0.002*2</f>
        <v>4.0000000000000001E-3</v>
      </c>
      <c r="H429" s="221">
        <v>1</v>
      </c>
      <c r="I429" s="229">
        <f>G429*H429*1.1*351</f>
        <v>1.5444</v>
      </c>
      <c r="J429" s="221">
        <v>4</v>
      </c>
      <c r="K429" s="27">
        <v>279.92</v>
      </c>
      <c r="L429" s="241"/>
      <c r="M429" s="28">
        <f t="shared" si="95"/>
        <v>432.308448</v>
      </c>
      <c r="N429" s="525" t="s">
        <v>843</v>
      </c>
      <c r="O429" s="562">
        <v>2</v>
      </c>
      <c r="P429" s="494">
        <v>9801</v>
      </c>
      <c r="Q429" s="560">
        <f t="shared" si="99"/>
        <v>19602</v>
      </c>
    </row>
    <row r="430" spans="1:17" x14ac:dyDescent="0.25">
      <c r="A430" s="523"/>
      <c r="B430" s="521"/>
      <c r="C430" s="506"/>
      <c r="D430" s="519"/>
      <c r="E430" s="518"/>
      <c r="F430" s="221" t="s">
        <v>386</v>
      </c>
      <c r="G430" s="229">
        <f>G429*0.1</f>
        <v>4.0000000000000002E-4</v>
      </c>
      <c r="H430" s="221">
        <v>11</v>
      </c>
      <c r="I430" s="229">
        <f t="shared" ref="I430" si="114">G430*H430*1.1*351</f>
        <v>1.6988400000000001</v>
      </c>
      <c r="J430" s="221">
        <v>4</v>
      </c>
      <c r="K430" s="27">
        <v>279.92</v>
      </c>
      <c r="L430" s="241"/>
      <c r="M430" s="28">
        <f t="shared" si="95"/>
        <v>475.53929280000006</v>
      </c>
      <c r="N430" s="525"/>
      <c r="O430" s="562"/>
      <c r="P430" s="495"/>
      <c r="Q430" s="561">
        <f t="shared" si="99"/>
        <v>0</v>
      </c>
    </row>
    <row r="431" spans="1:17" x14ac:dyDescent="0.25">
      <c r="A431" s="523"/>
      <c r="B431" s="521"/>
      <c r="C431" s="498" t="s">
        <v>839</v>
      </c>
      <c r="D431" s="516"/>
      <c r="E431" s="517"/>
      <c r="F431" s="221" t="s">
        <v>384</v>
      </c>
      <c r="G431" s="228">
        <f>0.012*0.054</f>
        <v>6.4800000000000003E-4</v>
      </c>
      <c r="H431" s="221">
        <v>1</v>
      </c>
      <c r="I431" s="229">
        <f>G431*H431*1.1*351</f>
        <v>0.25019280000000005</v>
      </c>
      <c r="J431" s="215">
        <v>4</v>
      </c>
      <c r="K431" s="27">
        <v>279.92</v>
      </c>
      <c r="L431" s="241"/>
      <c r="M431" s="28">
        <f t="shared" si="95"/>
        <v>70.033968576000021</v>
      </c>
      <c r="N431" s="524"/>
      <c r="O431" s="526"/>
      <c r="P431" s="489"/>
      <c r="Q431" s="560"/>
    </row>
    <row r="432" spans="1:17" x14ac:dyDescent="0.25">
      <c r="A432" s="523"/>
      <c r="B432" s="521"/>
      <c r="C432" s="498"/>
      <c r="D432" s="516"/>
      <c r="E432" s="517"/>
      <c r="F432" s="221" t="s">
        <v>386</v>
      </c>
      <c r="G432" s="229">
        <f>G431*0.1</f>
        <v>6.4800000000000003E-5</v>
      </c>
      <c r="H432" s="221">
        <v>11</v>
      </c>
      <c r="I432" s="229">
        <f t="shared" ref="I432:I438" si="115">G432*H432*1.1*351</f>
        <v>0.27521208000000003</v>
      </c>
      <c r="J432" s="215">
        <v>4</v>
      </c>
      <c r="K432" s="27">
        <v>279.92</v>
      </c>
      <c r="L432" s="241"/>
      <c r="M432" s="28">
        <f t="shared" si="95"/>
        <v>77.037365433600016</v>
      </c>
      <c r="N432" s="524" t="s">
        <v>553</v>
      </c>
      <c r="O432" s="526" t="s">
        <v>844</v>
      </c>
      <c r="P432" s="490"/>
      <c r="Q432" s="561"/>
    </row>
    <row r="433" spans="1:17" x14ac:dyDescent="0.25">
      <c r="A433" s="523">
        <v>9</v>
      </c>
      <c r="B433" s="521" t="s">
        <v>845</v>
      </c>
      <c r="C433" s="520" t="s">
        <v>802</v>
      </c>
      <c r="D433" s="521" t="s">
        <v>846</v>
      </c>
      <c r="E433" s="521">
        <v>22.5</v>
      </c>
      <c r="F433" s="221" t="s">
        <v>384</v>
      </c>
      <c r="G433" s="228">
        <f>0.007*1.5</f>
        <v>1.0500000000000001E-2</v>
      </c>
      <c r="H433" s="221">
        <v>1</v>
      </c>
      <c r="I433" s="229">
        <f t="shared" si="115"/>
        <v>4.0540500000000002</v>
      </c>
      <c r="J433" s="221">
        <v>4</v>
      </c>
      <c r="K433" s="27">
        <v>279.92</v>
      </c>
      <c r="L433" s="241"/>
      <c r="M433" s="28">
        <f t="shared" si="95"/>
        <v>1134.8096760000001</v>
      </c>
      <c r="N433" s="524" t="s">
        <v>385</v>
      </c>
      <c r="O433" s="526">
        <v>2</v>
      </c>
      <c r="P433" s="489">
        <v>1037</v>
      </c>
      <c r="Q433" s="560">
        <f t="shared" ref="Q433:Q496" si="116">P433*O433</f>
        <v>2074</v>
      </c>
    </row>
    <row r="434" spans="1:17" x14ac:dyDescent="0.25">
      <c r="A434" s="523"/>
      <c r="B434" s="521"/>
      <c r="C434" s="520"/>
      <c r="D434" s="521"/>
      <c r="E434" s="521"/>
      <c r="F434" s="221" t="s">
        <v>386</v>
      </c>
      <c r="G434" s="229">
        <f>G433*0.1</f>
        <v>1.0500000000000002E-3</v>
      </c>
      <c r="H434" s="221">
        <v>11</v>
      </c>
      <c r="I434" s="229">
        <f t="shared" si="115"/>
        <v>4.4594550000000011</v>
      </c>
      <c r="J434" s="221">
        <v>4</v>
      </c>
      <c r="K434" s="27">
        <v>279.92</v>
      </c>
      <c r="L434" s="241"/>
      <c r="M434" s="28">
        <f t="shared" si="95"/>
        <v>1248.2906436000003</v>
      </c>
      <c r="N434" s="524"/>
      <c r="O434" s="526"/>
      <c r="P434" s="490"/>
      <c r="Q434" s="561">
        <f t="shared" si="116"/>
        <v>0</v>
      </c>
    </row>
    <row r="435" spans="1:17" x14ac:dyDescent="0.25">
      <c r="A435" s="523"/>
      <c r="B435" s="521"/>
      <c r="C435" s="520" t="s">
        <v>804</v>
      </c>
      <c r="D435" s="521" t="s">
        <v>846</v>
      </c>
      <c r="E435" s="521">
        <v>22.5</v>
      </c>
      <c r="F435" s="221" t="s">
        <v>384</v>
      </c>
      <c r="G435" s="228">
        <f>0.007*1.5</f>
        <v>1.0500000000000001E-2</v>
      </c>
      <c r="H435" s="221">
        <v>1</v>
      </c>
      <c r="I435" s="229">
        <f t="shared" si="115"/>
        <v>4.0540500000000002</v>
      </c>
      <c r="J435" s="221">
        <v>4</v>
      </c>
      <c r="K435" s="27">
        <v>279.92</v>
      </c>
      <c r="L435" s="241"/>
      <c r="M435" s="28">
        <f t="shared" si="95"/>
        <v>1134.8096760000001</v>
      </c>
      <c r="N435" s="524" t="s">
        <v>385</v>
      </c>
      <c r="O435" s="526">
        <v>2</v>
      </c>
      <c r="P435" s="489">
        <v>1037</v>
      </c>
      <c r="Q435" s="560">
        <f t="shared" si="116"/>
        <v>2074</v>
      </c>
    </row>
    <row r="436" spans="1:17" x14ac:dyDescent="0.25">
      <c r="A436" s="523"/>
      <c r="B436" s="521"/>
      <c r="C436" s="520"/>
      <c r="D436" s="521"/>
      <c r="E436" s="521"/>
      <c r="F436" s="221" t="s">
        <v>386</v>
      </c>
      <c r="G436" s="229">
        <f>G435*0.1</f>
        <v>1.0500000000000002E-3</v>
      </c>
      <c r="H436" s="221">
        <v>11</v>
      </c>
      <c r="I436" s="229">
        <f t="shared" si="115"/>
        <v>4.4594550000000011</v>
      </c>
      <c r="J436" s="221">
        <v>4</v>
      </c>
      <c r="K436" s="27">
        <v>279.92</v>
      </c>
      <c r="L436" s="241"/>
      <c r="M436" s="28">
        <f t="shared" si="95"/>
        <v>1248.2906436000003</v>
      </c>
      <c r="N436" s="524"/>
      <c r="O436" s="526"/>
      <c r="P436" s="490"/>
      <c r="Q436" s="561">
        <f t="shared" si="116"/>
        <v>0</v>
      </c>
    </row>
    <row r="437" spans="1:17" x14ac:dyDescent="0.25">
      <c r="A437" s="523"/>
      <c r="B437" s="521"/>
      <c r="C437" s="520" t="s">
        <v>805</v>
      </c>
      <c r="D437" s="521" t="s">
        <v>846</v>
      </c>
      <c r="E437" s="521">
        <v>22.5</v>
      </c>
      <c r="F437" s="221" t="s">
        <v>384</v>
      </c>
      <c r="G437" s="228">
        <f>0.007*1.5</f>
        <v>1.0500000000000001E-2</v>
      </c>
      <c r="H437" s="221">
        <v>1</v>
      </c>
      <c r="I437" s="229">
        <f t="shared" si="115"/>
        <v>4.0540500000000002</v>
      </c>
      <c r="J437" s="221">
        <v>4</v>
      </c>
      <c r="K437" s="27">
        <v>279.92</v>
      </c>
      <c r="L437" s="241"/>
      <c r="M437" s="28">
        <f t="shared" si="95"/>
        <v>1134.8096760000001</v>
      </c>
      <c r="N437" s="524" t="s">
        <v>385</v>
      </c>
      <c r="O437" s="526">
        <v>2</v>
      </c>
      <c r="P437" s="489">
        <v>1037</v>
      </c>
      <c r="Q437" s="560">
        <f t="shared" si="116"/>
        <v>2074</v>
      </c>
    </row>
    <row r="438" spans="1:17" x14ac:dyDescent="0.25">
      <c r="A438" s="523"/>
      <c r="B438" s="521"/>
      <c r="C438" s="520"/>
      <c r="D438" s="521"/>
      <c r="E438" s="521"/>
      <c r="F438" s="221" t="s">
        <v>386</v>
      </c>
      <c r="G438" s="229">
        <f>G437*0.1</f>
        <v>1.0500000000000002E-3</v>
      </c>
      <c r="H438" s="221">
        <v>11</v>
      </c>
      <c r="I438" s="229">
        <f t="shared" si="115"/>
        <v>4.4594550000000011</v>
      </c>
      <c r="J438" s="221">
        <v>4</v>
      </c>
      <c r="K438" s="27">
        <v>279.92</v>
      </c>
      <c r="L438" s="241"/>
      <c r="M438" s="28">
        <f t="shared" si="95"/>
        <v>1248.2906436000003</v>
      </c>
      <c r="N438" s="524"/>
      <c r="O438" s="526"/>
      <c r="P438" s="490"/>
      <c r="Q438" s="561">
        <f t="shared" si="116"/>
        <v>0</v>
      </c>
    </row>
    <row r="439" spans="1:17" x14ac:dyDescent="0.25">
      <c r="A439" s="523"/>
      <c r="B439" s="521"/>
      <c r="C439" s="520" t="s">
        <v>807</v>
      </c>
      <c r="D439" s="521" t="s">
        <v>847</v>
      </c>
      <c r="E439" s="521">
        <v>4</v>
      </c>
      <c r="F439" s="221" t="s">
        <v>384</v>
      </c>
      <c r="G439" s="228">
        <f>0.003*1.5</f>
        <v>4.5000000000000005E-3</v>
      </c>
      <c r="H439" s="221">
        <v>1</v>
      </c>
      <c r="I439" s="229">
        <f>G439*H439*1.1*351</f>
        <v>1.7374500000000004</v>
      </c>
      <c r="J439" s="221">
        <v>4</v>
      </c>
      <c r="K439" s="27">
        <v>279.92</v>
      </c>
      <c r="L439" s="241"/>
      <c r="M439" s="28">
        <f t="shared" si="95"/>
        <v>486.34700400000014</v>
      </c>
      <c r="N439" s="487" t="s">
        <v>436</v>
      </c>
      <c r="O439" s="489">
        <v>2</v>
      </c>
      <c r="P439" s="489">
        <v>931</v>
      </c>
      <c r="Q439" s="560">
        <f t="shared" si="116"/>
        <v>1862</v>
      </c>
    </row>
    <row r="440" spans="1:17" x14ac:dyDescent="0.25">
      <c r="A440" s="523"/>
      <c r="B440" s="521"/>
      <c r="C440" s="520"/>
      <c r="D440" s="521"/>
      <c r="E440" s="521"/>
      <c r="F440" s="221" t="s">
        <v>386</v>
      </c>
      <c r="G440" s="229">
        <f>G439*0.1</f>
        <v>4.500000000000001E-4</v>
      </c>
      <c r="H440" s="221">
        <v>11</v>
      </c>
      <c r="I440" s="229">
        <f t="shared" ref="I440" si="117">G440*H440*1.1*351</f>
        <v>1.9111950000000006</v>
      </c>
      <c r="J440" s="221">
        <v>4</v>
      </c>
      <c r="K440" s="27">
        <v>279.92</v>
      </c>
      <c r="L440" s="241"/>
      <c r="M440" s="28">
        <f t="shared" si="95"/>
        <v>534.98170440000024</v>
      </c>
      <c r="N440" s="488"/>
      <c r="O440" s="490"/>
      <c r="P440" s="490"/>
      <c r="Q440" s="561">
        <f t="shared" si="116"/>
        <v>0</v>
      </c>
    </row>
    <row r="441" spans="1:17" x14ac:dyDescent="0.25">
      <c r="A441" s="523"/>
      <c r="B441" s="521"/>
      <c r="C441" s="520" t="s">
        <v>809</v>
      </c>
      <c r="D441" s="521" t="s">
        <v>847</v>
      </c>
      <c r="E441" s="521">
        <v>4</v>
      </c>
      <c r="F441" s="221" t="s">
        <v>384</v>
      </c>
      <c r="G441" s="228">
        <f>0.003*1.5</f>
        <v>4.5000000000000005E-3</v>
      </c>
      <c r="H441" s="221">
        <v>1</v>
      </c>
      <c r="I441" s="229">
        <f>G441*H441*1.1*351</f>
        <v>1.7374500000000004</v>
      </c>
      <c r="J441" s="221">
        <v>4</v>
      </c>
      <c r="K441" s="27">
        <v>279.92</v>
      </c>
      <c r="L441" s="241"/>
      <c r="M441" s="28">
        <f t="shared" si="95"/>
        <v>486.34700400000014</v>
      </c>
      <c r="N441" s="487" t="s">
        <v>436</v>
      </c>
      <c r="O441" s="489">
        <v>2</v>
      </c>
      <c r="P441" s="489">
        <v>931</v>
      </c>
      <c r="Q441" s="560">
        <f t="shared" si="116"/>
        <v>1862</v>
      </c>
    </row>
    <row r="442" spans="1:17" x14ac:dyDescent="0.25">
      <c r="A442" s="523"/>
      <c r="B442" s="521"/>
      <c r="C442" s="520"/>
      <c r="D442" s="521"/>
      <c r="E442" s="521"/>
      <c r="F442" s="221" t="s">
        <v>386</v>
      </c>
      <c r="G442" s="229">
        <f>G441*0.1</f>
        <v>4.500000000000001E-4</v>
      </c>
      <c r="H442" s="221">
        <v>11</v>
      </c>
      <c r="I442" s="229">
        <f t="shared" ref="I442" si="118">G442*H442*1.1*351</f>
        <v>1.9111950000000006</v>
      </c>
      <c r="J442" s="221">
        <v>4</v>
      </c>
      <c r="K442" s="27">
        <v>279.92</v>
      </c>
      <c r="L442" s="241"/>
      <c r="M442" s="28">
        <f t="shared" si="95"/>
        <v>534.98170440000024</v>
      </c>
      <c r="N442" s="488"/>
      <c r="O442" s="490"/>
      <c r="P442" s="490"/>
      <c r="Q442" s="561">
        <f t="shared" si="116"/>
        <v>0</v>
      </c>
    </row>
    <row r="443" spans="1:17" x14ac:dyDescent="0.25">
      <c r="A443" s="523"/>
      <c r="B443" s="521"/>
      <c r="C443" s="520" t="s">
        <v>810</v>
      </c>
      <c r="D443" s="521" t="s">
        <v>847</v>
      </c>
      <c r="E443" s="521">
        <v>4</v>
      </c>
      <c r="F443" s="221" t="s">
        <v>384</v>
      </c>
      <c r="G443" s="228">
        <f>0.003*1.5</f>
        <v>4.5000000000000005E-3</v>
      </c>
      <c r="H443" s="221">
        <v>1</v>
      </c>
      <c r="I443" s="229">
        <f>G443*H443*1.1*351</f>
        <v>1.7374500000000004</v>
      </c>
      <c r="J443" s="221">
        <v>4</v>
      </c>
      <c r="K443" s="27">
        <v>279.92</v>
      </c>
      <c r="L443" s="241"/>
      <c r="M443" s="28">
        <f t="shared" si="95"/>
        <v>486.34700400000014</v>
      </c>
      <c r="N443" s="487" t="s">
        <v>436</v>
      </c>
      <c r="O443" s="489">
        <v>2</v>
      </c>
      <c r="P443" s="489">
        <v>931</v>
      </c>
      <c r="Q443" s="560">
        <f t="shared" si="116"/>
        <v>1862</v>
      </c>
    </row>
    <row r="444" spans="1:17" x14ac:dyDescent="0.25">
      <c r="A444" s="523"/>
      <c r="B444" s="521"/>
      <c r="C444" s="520"/>
      <c r="D444" s="521"/>
      <c r="E444" s="521"/>
      <c r="F444" s="221" t="s">
        <v>386</v>
      </c>
      <c r="G444" s="229">
        <f>G443*0.1</f>
        <v>4.500000000000001E-4</v>
      </c>
      <c r="H444" s="221">
        <v>11</v>
      </c>
      <c r="I444" s="229">
        <f t="shared" ref="I444" si="119">G444*H444*1.1*351</f>
        <v>1.9111950000000006</v>
      </c>
      <c r="J444" s="221">
        <v>4</v>
      </c>
      <c r="K444" s="27">
        <v>279.92</v>
      </c>
      <c r="L444" s="241"/>
      <c r="M444" s="28">
        <f t="shared" si="95"/>
        <v>534.98170440000024</v>
      </c>
      <c r="N444" s="488"/>
      <c r="O444" s="490"/>
      <c r="P444" s="490"/>
      <c r="Q444" s="561">
        <f t="shared" si="116"/>
        <v>0</v>
      </c>
    </row>
    <row r="445" spans="1:17" x14ac:dyDescent="0.25">
      <c r="A445" s="523"/>
      <c r="B445" s="521"/>
      <c r="C445" s="520" t="s">
        <v>525</v>
      </c>
      <c r="D445" s="521" t="s">
        <v>848</v>
      </c>
      <c r="E445" s="521">
        <v>45</v>
      </c>
      <c r="F445" s="221" t="s">
        <v>384</v>
      </c>
      <c r="G445" s="228">
        <f>0.01*1.5</f>
        <v>1.4999999999999999E-2</v>
      </c>
      <c r="H445" s="221">
        <v>1</v>
      </c>
      <c r="I445" s="229">
        <f>G445*H445*1.1*351</f>
        <v>5.7915000000000001</v>
      </c>
      <c r="J445" s="221">
        <v>4</v>
      </c>
      <c r="K445" s="27">
        <v>279.92</v>
      </c>
      <c r="L445" s="241"/>
      <c r="M445" s="28">
        <f t="shared" si="95"/>
        <v>1621.1566800000001</v>
      </c>
      <c r="N445" s="487" t="s">
        <v>394</v>
      </c>
      <c r="O445" s="489">
        <v>2</v>
      </c>
      <c r="P445" s="489">
        <v>2629</v>
      </c>
      <c r="Q445" s="560">
        <f t="shared" si="116"/>
        <v>5258</v>
      </c>
    </row>
    <row r="446" spans="1:17" x14ac:dyDescent="0.25">
      <c r="A446" s="523"/>
      <c r="B446" s="521"/>
      <c r="C446" s="520"/>
      <c r="D446" s="521"/>
      <c r="E446" s="521"/>
      <c r="F446" s="221" t="s">
        <v>386</v>
      </c>
      <c r="G446" s="229">
        <f>G445*0.1</f>
        <v>1.5E-3</v>
      </c>
      <c r="H446" s="221">
        <v>11</v>
      </c>
      <c r="I446" s="229">
        <f t="shared" ref="I446" si="120">G446*H446*1.1*351</f>
        <v>6.3706500000000013</v>
      </c>
      <c r="J446" s="221">
        <v>4</v>
      </c>
      <c r="K446" s="27">
        <v>279.92</v>
      </c>
      <c r="L446" s="241"/>
      <c r="M446" s="28">
        <f t="shared" si="95"/>
        <v>1783.2723480000004</v>
      </c>
      <c r="N446" s="488"/>
      <c r="O446" s="490"/>
      <c r="P446" s="490"/>
      <c r="Q446" s="561">
        <f t="shared" si="116"/>
        <v>0</v>
      </c>
    </row>
    <row r="447" spans="1:17" x14ac:dyDescent="0.25">
      <c r="A447" s="523"/>
      <c r="B447" s="521"/>
      <c r="C447" s="520" t="s">
        <v>527</v>
      </c>
      <c r="D447" s="521" t="s">
        <v>848</v>
      </c>
      <c r="E447" s="521">
        <v>45</v>
      </c>
      <c r="F447" s="221" t="s">
        <v>384</v>
      </c>
      <c r="G447" s="228">
        <f>0.01*1.5</f>
        <v>1.4999999999999999E-2</v>
      </c>
      <c r="H447" s="221">
        <v>1</v>
      </c>
      <c r="I447" s="229">
        <f>G447*H447*1.1*351</f>
        <v>5.7915000000000001</v>
      </c>
      <c r="J447" s="221">
        <v>4</v>
      </c>
      <c r="K447" s="27">
        <v>279.92</v>
      </c>
      <c r="L447" s="241"/>
      <c r="M447" s="28">
        <f t="shared" si="95"/>
        <v>1621.1566800000001</v>
      </c>
      <c r="N447" s="487" t="s">
        <v>394</v>
      </c>
      <c r="O447" s="489">
        <v>2</v>
      </c>
      <c r="P447" s="489">
        <v>2629</v>
      </c>
      <c r="Q447" s="560">
        <f t="shared" si="116"/>
        <v>5258</v>
      </c>
    </row>
    <row r="448" spans="1:17" x14ac:dyDescent="0.25">
      <c r="A448" s="523"/>
      <c r="B448" s="521"/>
      <c r="C448" s="520"/>
      <c r="D448" s="521"/>
      <c r="E448" s="521"/>
      <c r="F448" s="221" t="s">
        <v>386</v>
      </c>
      <c r="G448" s="229">
        <f>G447*0.1</f>
        <v>1.5E-3</v>
      </c>
      <c r="H448" s="221">
        <v>11</v>
      </c>
      <c r="I448" s="229">
        <f t="shared" ref="I448" si="121">G448*H448*1.1*351</f>
        <v>6.3706500000000013</v>
      </c>
      <c r="J448" s="221">
        <v>4</v>
      </c>
      <c r="K448" s="27">
        <v>279.92</v>
      </c>
      <c r="L448" s="241"/>
      <c r="M448" s="28">
        <f t="shared" si="95"/>
        <v>1783.2723480000004</v>
      </c>
      <c r="N448" s="488"/>
      <c r="O448" s="490"/>
      <c r="P448" s="490"/>
      <c r="Q448" s="561">
        <f t="shared" si="116"/>
        <v>0</v>
      </c>
    </row>
    <row r="449" spans="1:17" x14ac:dyDescent="0.25">
      <c r="A449" s="523"/>
      <c r="B449" s="521"/>
      <c r="C449" s="520" t="s">
        <v>528</v>
      </c>
      <c r="D449" s="521" t="s">
        <v>848</v>
      </c>
      <c r="E449" s="521">
        <v>45</v>
      </c>
      <c r="F449" s="221" t="s">
        <v>384</v>
      </c>
      <c r="G449" s="228">
        <f>0.01*1.5</f>
        <v>1.4999999999999999E-2</v>
      </c>
      <c r="H449" s="221">
        <v>1</v>
      </c>
      <c r="I449" s="229">
        <f>G449*H449*1.1*351</f>
        <v>5.7915000000000001</v>
      </c>
      <c r="J449" s="221">
        <v>4</v>
      </c>
      <c r="K449" s="27">
        <v>279.92</v>
      </c>
      <c r="L449" s="241"/>
      <c r="M449" s="28">
        <f t="shared" si="95"/>
        <v>1621.1566800000001</v>
      </c>
      <c r="N449" s="487" t="s">
        <v>394</v>
      </c>
      <c r="O449" s="489">
        <v>2</v>
      </c>
      <c r="P449" s="489">
        <v>2629</v>
      </c>
      <c r="Q449" s="560">
        <f t="shared" si="116"/>
        <v>5258</v>
      </c>
    </row>
    <row r="450" spans="1:17" x14ac:dyDescent="0.25">
      <c r="A450" s="523"/>
      <c r="B450" s="521"/>
      <c r="C450" s="520"/>
      <c r="D450" s="521"/>
      <c r="E450" s="521"/>
      <c r="F450" s="221" t="s">
        <v>386</v>
      </c>
      <c r="G450" s="229">
        <f>G449*0.1</f>
        <v>1.5E-3</v>
      </c>
      <c r="H450" s="221">
        <v>11</v>
      </c>
      <c r="I450" s="229">
        <f t="shared" ref="I450" si="122">G450*H450*1.1*351</f>
        <v>6.3706500000000013</v>
      </c>
      <c r="J450" s="221">
        <v>4</v>
      </c>
      <c r="K450" s="27">
        <v>279.92</v>
      </c>
      <c r="L450" s="241"/>
      <c r="M450" s="28">
        <f t="shared" si="95"/>
        <v>1783.2723480000004</v>
      </c>
      <c r="N450" s="488"/>
      <c r="O450" s="490"/>
      <c r="P450" s="490"/>
      <c r="Q450" s="561">
        <f t="shared" si="116"/>
        <v>0</v>
      </c>
    </row>
    <row r="451" spans="1:17" x14ac:dyDescent="0.25">
      <c r="A451" s="523"/>
      <c r="B451" s="521"/>
      <c r="C451" s="520" t="s">
        <v>529</v>
      </c>
      <c r="D451" s="521" t="s">
        <v>848</v>
      </c>
      <c r="E451" s="521">
        <v>45</v>
      </c>
      <c r="F451" s="221" t="s">
        <v>384</v>
      </c>
      <c r="G451" s="228">
        <f>0.01*1.5</f>
        <v>1.4999999999999999E-2</v>
      </c>
      <c r="H451" s="221">
        <v>1</v>
      </c>
      <c r="I451" s="229">
        <f>G451*H451*1.1*351</f>
        <v>5.7915000000000001</v>
      </c>
      <c r="J451" s="221">
        <v>4</v>
      </c>
      <c r="K451" s="27">
        <v>279.92</v>
      </c>
      <c r="L451" s="241"/>
      <c r="M451" s="28">
        <f t="shared" si="95"/>
        <v>1621.1566800000001</v>
      </c>
      <c r="N451" s="487" t="s">
        <v>394</v>
      </c>
      <c r="O451" s="489">
        <v>2</v>
      </c>
      <c r="P451" s="489">
        <v>2629</v>
      </c>
      <c r="Q451" s="560">
        <f t="shared" si="116"/>
        <v>5258</v>
      </c>
    </row>
    <row r="452" spans="1:17" x14ac:dyDescent="0.25">
      <c r="A452" s="523"/>
      <c r="B452" s="521"/>
      <c r="C452" s="520"/>
      <c r="D452" s="521"/>
      <c r="E452" s="521"/>
      <c r="F452" s="221" t="s">
        <v>386</v>
      </c>
      <c r="G452" s="229">
        <f>G451*0.1</f>
        <v>1.5E-3</v>
      </c>
      <c r="H452" s="221">
        <v>11</v>
      </c>
      <c r="I452" s="229">
        <f t="shared" ref="I452:I456" si="123">G452*H452*1.1*351</f>
        <v>6.3706500000000013</v>
      </c>
      <c r="J452" s="221">
        <v>4</v>
      </c>
      <c r="K452" s="27">
        <v>279.92</v>
      </c>
      <c r="L452" s="241"/>
      <c r="M452" s="28">
        <f t="shared" si="95"/>
        <v>1783.2723480000004</v>
      </c>
      <c r="N452" s="488"/>
      <c r="O452" s="490"/>
      <c r="P452" s="490"/>
      <c r="Q452" s="561">
        <f t="shared" si="116"/>
        <v>0</v>
      </c>
    </row>
    <row r="453" spans="1:17" x14ac:dyDescent="0.25">
      <c r="A453" s="523"/>
      <c r="B453" s="521"/>
      <c r="C453" s="520" t="s">
        <v>813</v>
      </c>
      <c r="D453" s="521" t="s">
        <v>849</v>
      </c>
      <c r="E453" s="521">
        <v>1.5</v>
      </c>
      <c r="F453" s="221" t="s">
        <v>384</v>
      </c>
      <c r="G453" s="228">
        <f>0.001*1.5</f>
        <v>1.5E-3</v>
      </c>
      <c r="H453" s="221">
        <v>1</v>
      </c>
      <c r="I453" s="229">
        <f t="shared" si="123"/>
        <v>0.57915000000000005</v>
      </c>
      <c r="J453" s="221">
        <v>4</v>
      </c>
      <c r="K453" s="27">
        <v>279.92</v>
      </c>
      <c r="L453" s="241"/>
      <c r="M453" s="28">
        <f t="shared" si="95"/>
        <v>162.11566800000003</v>
      </c>
      <c r="N453" s="218" t="s">
        <v>399</v>
      </c>
      <c r="O453" s="215">
        <v>1</v>
      </c>
      <c r="P453" s="28">
        <v>931</v>
      </c>
      <c r="Q453" s="378">
        <f t="shared" si="116"/>
        <v>931</v>
      </c>
    </row>
    <row r="454" spans="1:17" x14ac:dyDescent="0.25">
      <c r="A454" s="523"/>
      <c r="B454" s="521"/>
      <c r="C454" s="520"/>
      <c r="D454" s="521"/>
      <c r="E454" s="521"/>
      <c r="F454" s="221" t="s">
        <v>386</v>
      </c>
      <c r="G454" s="229">
        <f>G453*0.1</f>
        <v>1.5000000000000001E-4</v>
      </c>
      <c r="H454" s="221">
        <v>11</v>
      </c>
      <c r="I454" s="229">
        <f t="shared" si="123"/>
        <v>0.6370650000000001</v>
      </c>
      <c r="J454" s="221">
        <v>4</v>
      </c>
      <c r="K454" s="27">
        <v>279.92</v>
      </c>
      <c r="L454" s="241"/>
      <c r="M454" s="28">
        <f t="shared" ref="M454:M517" si="124">I454*K454</f>
        <v>178.32723480000004</v>
      </c>
      <c r="N454" s="218" t="s">
        <v>400</v>
      </c>
      <c r="O454" s="215">
        <v>1</v>
      </c>
      <c r="P454" s="28">
        <v>904</v>
      </c>
      <c r="Q454" s="378">
        <f t="shared" si="116"/>
        <v>904</v>
      </c>
    </row>
    <row r="455" spans="1:17" x14ac:dyDescent="0.25">
      <c r="A455" s="523"/>
      <c r="B455" s="521"/>
      <c r="C455" s="520" t="s">
        <v>815</v>
      </c>
      <c r="D455" s="521" t="s">
        <v>849</v>
      </c>
      <c r="E455" s="521">
        <v>1.5</v>
      </c>
      <c r="F455" s="221" t="s">
        <v>384</v>
      </c>
      <c r="G455" s="228">
        <f>0.001*1.5</f>
        <v>1.5E-3</v>
      </c>
      <c r="H455" s="221">
        <v>1</v>
      </c>
      <c r="I455" s="229">
        <f t="shared" si="123"/>
        <v>0.57915000000000005</v>
      </c>
      <c r="J455" s="221">
        <v>4</v>
      </c>
      <c r="K455" s="27">
        <v>279.92</v>
      </c>
      <c r="L455" s="241"/>
      <c r="M455" s="28">
        <f t="shared" si="124"/>
        <v>162.11566800000003</v>
      </c>
      <c r="N455" s="218" t="s">
        <v>399</v>
      </c>
      <c r="O455" s="215">
        <v>1</v>
      </c>
      <c r="P455" s="28">
        <v>931</v>
      </c>
      <c r="Q455" s="378">
        <f t="shared" si="116"/>
        <v>931</v>
      </c>
    </row>
    <row r="456" spans="1:17" x14ac:dyDescent="0.25">
      <c r="A456" s="523"/>
      <c r="B456" s="521"/>
      <c r="C456" s="520"/>
      <c r="D456" s="521"/>
      <c r="E456" s="521"/>
      <c r="F456" s="221" t="s">
        <v>386</v>
      </c>
      <c r="G456" s="229">
        <f>G455*0.1</f>
        <v>1.5000000000000001E-4</v>
      </c>
      <c r="H456" s="221">
        <v>11</v>
      </c>
      <c r="I456" s="229">
        <f t="shared" si="123"/>
        <v>0.6370650000000001</v>
      </c>
      <c r="J456" s="221">
        <v>4</v>
      </c>
      <c r="K456" s="27">
        <v>279.92</v>
      </c>
      <c r="L456" s="241"/>
      <c r="M456" s="28">
        <f t="shared" si="124"/>
        <v>178.32723480000004</v>
      </c>
      <c r="N456" s="218" t="s">
        <v>400</v>
      </c>
      <c r="O456" s="215">
        <v>1</v>
      </c>
      <c r="P456" s="28">
        <v>904</v>
      </c>
      <c r="Q456" s="378">
        <f t="shared" si="116"/>
        <v>904</v>
      </c>
    </row>
    <row r="457" spans="1:17" x14ac:dyDescent="0.25">
      <c r="A457" s="523"/>
      <c r="B457" s="521"/>
      <c r="C457" s="520" t="s">
        <v>816</v>
      </c>
      <c r="D457" s="521" t="s">
        <v>850</v>
      </c>
      <c r="E457" s="521">
        <v>7.5</v>
      </c>
      <c r="F457" s="221" t="s">
        <v>384</v>
      </c>
      <c r="G457" s="228">
        <f>0.005*1.5</f>
        <v>7.4999999999999997E-3</v>
      </c>
      <c r="H457" s="221">
        <v>1</v>
      </c>
      <c r="I457" s="229">
        <f>G457*H457*1.1*351</f>
        <v>2.89575</v>
      </c>
      <c r="J457" s="221">
        <v>4</v>
      </c>
      <c r="K457" s="27">
        <v>279.92</v>
      </c>
      <c r="L457" s="241"/>
      <c r="M457" s="28">
        <f t="shared" si="124"/>
        <v>810.57834000000003</v>
      </c>
      <c r="N457" s="487" t="s">
        <v>490</v>
      </c>
      <c r="O457" s="489">
        <v>2</v>
      </c>
      <c r="P457" s="489">
        <v>1110</v>
      </c>
      <c r="Q457" s="560">
        <f t="shared" si="116"/>
        <v>2220</v>
      </c>
    </row>
    <row r="458" spans="1:17" x14ac:dyDescent="0.25">
      <c r="A458" s="523"/>
      <c r="B458" s="521"/>
      <c r="C458" s="520"/>
      <c r="D458" s="521"/>
      <c r="E458" s="521"/>
      <c r="F458" s="221" t="s">
        <v>386</v>
      </c>
      <c r="G458" s="229">
        <f>G457*0.1</f>
        <v>7.5000000000000002E-4</v>
      </c>
      <c r="H458" s="221">
        <v>11</v>
      </c>
      <c r="I458" s="229">
        <f t="shared" ref="I458" si="125">G458*H458*1.1*351</f>
        <v>3.1853250000000006</v>
      </c>
      <c r="J458" s="221">
        <v>4</v>
      </c>
      <c r="K458" s="27">
        <v>279.92</v>
      </c>
      <c r="L458" s="241"/>
      <c r="M458" s="28">
        <f t="shared" si="124"/>
        <v>891.63617400000021</v>
      </c>
      <c r="N458" s="488"/>
      <c r="O458" s="490"/>
      <c r="P458" s="490"/>
      <c r="Q458" s="561">
        <f t="shared" si="116"/>
        <v>0</v>
      </c>
    </row>
    <row r="459" spans="1:17" x14ac:dyDescent="0.25">
      <c r="A459" s="523"/>
      <c r="B459" s="521"/>
      <c r="C459" s="520" t="s">
        <v>818</v>
      </c>
      <c r="D459" s="521" t="s">
        <v>850</v>
      </c>
      <c r="E459" s="521">
        <v>7.5</v>
      </c>
      <c r="F459" s="221" t="s">
        <v>384</v>
      </c>
      <c r="G459" s="228">
        <f>0.005*1.5</f>
        <v>7.4999999999999997E-3</v>
      </c>
      <c r="H459" s="221">
        <v>1</v>
      </c>
      <c r="I459" s="229">
        <f>G459*H459*1.1*351</f>
        <v>2.89575</v>
      </c>
      <c r="J459" s="221">
        <v>4</v>
      </c>
      <c r="K459" s="27">
        <v>279.92</v>
      </c>
      <c r="L459" s="241"/>
      <c r="M459" s="28">
        <f t="shared" si="124"/>
        <v>810.57834000000003</v>
      </c>
      <c r="N459" s="487" t="s">
        <v>490</v>
      </c>
      <c r="O459" s="489">
        <v>2</v>
      </c>
      <c r="P459" s="489">
        <v>1110</v>
      </c>
      <c r="Q459" s="560">
        <f t="shared" si="116"/>
        <v>2220</v>
      </c>
    </row>
    <row r="460" spans="1:17" x14ac:dyDescent="0.25">
      <c r="A460" s="523"/>
      <c r="B460" s="521"/>
      <c r="C460" s="520"/>
      <c r="D460" s="521"/>
      <c r="E460" s="521"/>
      <c r="F460" s="221" t="s">
        <v>386</v>
      </c>
      <c r="G460" s="229">
        <f>G459*0.1</f>
        <v>7.5000000000000002E-4</v>
      </c>
      <c r="H460" s="221">
        <v>11</v>
      </c>
      <c r="I460" s="229">
        <f t="shared" ref="I460" si="126">G460*H460*1.1*351</f>
        <v>3.1853250000000006</v>
      </c>
      <c r="J460" s="221">
        <v>4</v>
      </c>
      <c r="K460" s="27">
        <v>279.92</v>
      </c>
      <c r="L460" s="241"/>
      <c r="M460" s="28">
        <f t="shared" si="124"/>
        <v>891.63617400000021</v>
      </c>
      <c r="N460" s="488"/>
      <c r="O460" s="490"/>
      <c r="P460" s="490"/>
      <c r="Q460" s="561">
        <f t="shared" si="116"/>
        <v>0</v>
      </c>
    </row>
    <row r="461" spans="1:17" x14ac:dyDescent="0.25">
      <c r="A461" s="523"/>
      <c r="B461" s="521"/>
      <c r="C461" s="520" t="s">
        <v>819</v>
      </c>
      <c r="D461" s="521"/>
      <c r="E461" s="521">
        <v>2.2000000000000002</v>
      </c>
      <c r="F461" s="221" t="s">
        <v>384</v>
      </c>
      <c r="G461" s="228">
        <f>0.002*1.5</f>
        <v>3.0000000000000001E-3</v>
      </c>
      <c r="H461" s="221">
        <v>1</v>
      </c>
      <c r="I461" s="229">
        <f>G461*H461*1.1*351</f>
        <v>1.1583000000000001</v>
      </c>
      <c r="J461" s="221">
        <v>4</v>
      </c>
      <c r="K461" s="27">
        <v>279.92</v>
      </c>
      <c r="L461" s="241"/>
      <c r="M461" s="28">
        <f t="shared" si="124"/>
        <v>324.23133600000006</v>
      </c>
      <c r="N461" s="219" t="s">
        <v>402</v>
      </c>
      <c r="O461" s="215">
        <v>1</v>
      </c>
      <c r="P461" s="215">
        <v>931</v>
      </c>
      <c r="Q461" s="378">
        <f t="shared" si="116"/>
        <v>931</v>
      </c>
    </row>
    <row r="462" spans="1:17" x14ac:dyDescent="0.25">
      <c r="A462" s="523"/>
      <c r="B462" s="521"/>
      <c r="C462" s="520"/>
      <c r="D462" s="521"/>
      <c r="E462" s="521"/>
      <c r="F462" s="221" t="s">
        <v>386</v>
      </c>
      <c r="G462" s="229">
        <f>G461*0.1</f>
        <v>3.0000000000000003E-4</v>
      </c>
      <c r="H462" s="221">
        <v>11</v>
      </c>
      <c r="I462" s="229">
        <f t="shared" ref="I462" si="127">G462*H462*1.1*351</f>
        <v>1.2741300000000002</v>
      </c>
      <c r="J462" s="221">
        <v>4</v>
      </c>
      <c r="K462" s="27">
        <v>279.92</v>
      </c>
      <c r="L462" s="241"/>
      <c r="M462" s="28">
        <f t="shared" si="124"/>
        <v>356.65446960000008</v>
      </c>
      <c r="N462" s="219" t="s">
        <v>399</v>
      </c>
      <c r="O462" s="215">
        <v>1</v>
      </c>
      <c r="P462" s="215">
        <v>931</v>
      </c>
      <c r="Q462" s="378">
        <f t="shared" si="116"/>
        <v>931</v>
      </c>
    </row>
    <row r="463" spans="1:17" x14ac:dyDescent="0.25">
      <c r="A463" s="523"/>
      <c r="B463" s="521"/>
      <c r="C463" s="520" t="s">
        <v>821</v>
      </c>
      <c r="D463" s="521"/>
      <c r="E463" s="521">
        <v>2.2000000000000002</v>
      </c>
      <c r="F463" s="221" t="s">
        <v>384</v>
      </c>
      <c r="G463" s="228">
        <f>0.002*1.5</f>
        <v>3.0000000000000001E-3</v>
      </c>
      <c r="H463" s="221">
        <v>1</v>
      </c>
      <c r="I463" s="229">
        <f>G463*H463*1.1*351</f>
        <v>1.1583000000000001</v>
      </c>
      <c r="J463" s="221">
        <v>4</v>
      </c>
      <c r="K463" s="27">
        <v>279.92</v>
      </c>
      <c r="L463" s="241"/>
      <c r="M463" s="28">
        <f t="shared" si="124"/>
        <v>324.23133600000006</v>
      </c>
      <c r="N463" s="219" t="s">
        <v>402</v>
      </c>
      <c r="O463" s="215">
        <v>1</v>
      </c>
      <c r="P463" s="215">
        <v>931</v>
      </c>
      <c r="Q463" s="378">
        <f t="shared" si="116"/>
        <v>931</v>
      </c>
    </row>
    <row r="464" spans="1:17" x14ac:dyDescent="0.25">
      <c r="A464" s="523"/>
      <c r="B464" s="521"/>
      <c r="C464" s="520"/>
      <c r="D464" s="521"/>
      <c r="E464" s="521"/>
      <c r="F464" s="221" t="s">
        <v>386</v>
      </c>
      <c r="G464" s="229">
        <f>G463*0.1</f>
        <v>3.0000000000000003E-4</v>
      </c>
      <c r="H464" s="221">
        <v>11</v>
      </c>
      <c r="I464" s="229">
        <f t="shared" ref="I464:I466" si="128">G464*H464*1.1*351</f>
        <v>1.2741300000000002</v>
      </c>
      <c r="J464" s="221">
        <v>4</v>
      </c>
      <c r="K464" s="27">
        <v>279.92</v>
      </c>
      <c r="L464" s="241"/>
      <c r="M464" s="28">
        <f t="shared" si="124"/>
        <v>356.65446960000008</v>
      </c>
      <c r="N464" s="219" t="s">
        <v>399</v>
      </c>
      <c r="O464" s="215">
        <v>1</v>
      </c>
      <c r="P464" s="215">
        <v>931</v>
      </c>
      <c r="Q464" s="378">
        <f t="shared" si="116"/>
        <v>931</v>
      </c>
    </row>
    <row r="465" spans="1:17" x14ac:dyDescent="0.25">
      <c r="A465" s="523"/>
      <c r="B465" s="521"/>
      <c r="C465" s="501" t="s">
        <v>822</v>
      </c>
      <c r="D465" s="497" t="s">
        <v>851</v>
      </c>
      <c r="E465" s="519"/>
      <c r="F465" s="221" t="s">
        <v>384</v>
      </c>
      <c r="G465" s="229">
        <f>0.006*9</f>
        <v>5.3999999999999999E-2</v>
      </c>
      <c r="H465" s="221">
        <v>1</v>
      </c>
      <c r="I465" s="229">
        <f t="shared" si="128"/>
        <v>20.849399999999999</v>
      </c>
      <c r="J465" s="221">
        <v>5</v>
      </c>
      <c r="K465" s="27">
        <v>297.57</v>
      </c>
      <c r="L465" s="241"/>
      <c r="M465" s="28">
        <f t="shared" si="124"/>
        <v>6204.1559579999994</v>
      </c>
      <c r="N465" s="487"/>
      <c r="O465" s="489"/>
      <c r="P465" s="489"/>
      <c r="Q465" s="560"/>
    </row>
    <row r="466" spans="1:17" x14ac:dyDescent="0.25">
      <c r="A466" s="523"/>
      <c r="B466" s="521"/>
      <c r="C466" s="501"/>
      <c r="D466" s="497"/>
      <c r="E466" s="519"/>
      <c r="F466" s="221" t="s">
        <v>386</v>
      </c>
      <c r="G466" s="229">
        <f>G465*0.1</f>
        <v>5.4000000000000003E-3</v>
      </c>
      <c r="H466" s="221">
        <v>11</v>
      </c>
      <c r="I466" s="229">
        <f t="shared" si="128"/>
        <v>22.934340000000002</v>
      </c>
      <c r="J466" s="221">
        <v>5</v>
      </c>
      <c r="K466" s="27">
        <v>297.57</v>
      </c>
      <c r="L466" s="241"/>
      <c r="M466" s="28">
        <f t="shared" si="124"/>
        <v>6824.5715538000004</v>
      </c>
      <c r="N466" s="488"/>
      <c r="O466" s="490"/>
      <c r="P466" s="490"/>
      <c r="Q466" s="561"/>
    </row>
    <row r="467" spans="1:17" ht="15.75" customHeight="1" x14ac:dyDescent="0.25">
      <c r="A467" s="523"/>
      <c r="B467" s="521"/>
      <c r="C467" s="514" t="s">
        <v>852</v>
      </c>
      <c r="D467" s="497"/>
      <c r="E467" s="519"/>
      <c r="F467" s="221" t="s">
        <v>384</v>
      </c>
      <c r="G467" s="228">
        <f>0.001*43*1.6</f>
        <v>6.8800000000000014E-2</v>
      </c>
      <c r="H467" s="221">
        <v>1</v>
      </c>
      <c r="I467" s="229">
        <f>G467*H467*1.1*351</f>
        <v>26.563680000000009</v>
      </c>
      <c r="J467" s="215">
        <v>4</v>
      </c>
      <c r="K467" s="27">
        <v>279.92</v>
      </c>
      <c r="L467" s="241"/>
      <c r="M467" s="28">
        <f t="shared" si="124"/>
        <v>7435.7053056000032</v>
      </c>
      <c r="N467" s="487" t="s">
        <v>1017</v>
      </c>
      <c r="O467" s="489">
        <v>4</v>
      </c>
      <c r="P467" s="489">
        <v>60.7</v>
      </c>
      <c r="Q467" s="560">
        <f t="shared" si="116"/>
        <v>242.8</v>
      </c>
    </row>
    <row r="468" spans="1:17" x14ac:dyDescent="0.25">
      <c r="A468" s="523"/>
      <c r="B468" s="521"/>
      <c r="C468" s="514"/>
      <c r="D468" s="497"/>
      <c r="E468" s="519"/>
      <c r="F468" s="221" t="s">
        <v>386</v>
      </c>
      <c r="G468" s="229">
        <f>G467*0.1</f>
        <v>6.8800000000000016E-3</v>
      </c>
      <c r="H468" s="221">
        <v>11</v>
      </c>
      <c r="I468" s="229">
        <f t="shared" ref="I468" si="129">G468*H468*1.1*351</f>
        <v>29.220048000000006</v>
      </c>
      <c r="J468" s="215">
        <v>4</v>
      </c>
      <c r="K468" s="27">
        <v>279.92</v>
      </c>
      <c r="L468" s="241"/>
      <c r="M468" s="28">
        <f t="shared" si="124"/>
        <v>8179.2758361600017</v>
      </c>
      <c r="N468" s="488"/>
      <c r="O468" s="490"/>
      <c r="P468" s="490"/>
      <c r="Q468" s="561">
        <f t="shared" si="116"/>
        <v>0</v>
      </c>
    </row>
    <row r="469" spans="1:17" ht="15.75" customHeight="1" x14ac:dyDescent="0.25">
      <c r="A469" s="523"/>
      <c r="B469" s="521"/>
      <c r="C469" s="514" t="s">
        <v>825</v>
      </c>
      <c r="D469" s="497"/>
      <c r="E469" s="519"/>
      <c r="F469" s="221" t="s">
        <v>384</v>
      </c>
      <c r="G469" s="228">
        <f>0.003*1.6</f>
        <v>4.8000000000000004E-3</v>
      </c>
      <c r="H469" s="221">
        <v>1</v>
      </c>
      <c r="I469" s="229">
        <f>G469*H469*1.1*351</f>
        <v>1.8532800000000003</v>
      </c>
      <c r="J469" s="215">
        <v>4</v>
      </c>
      <c r="K469" s="27">
        <v>279.92</v>
      </c>
      <c r="L469" s="241"/>
      <c r="M469" s="28">
        <f t="shared" si="124"/>
        <v>518.77013760000011</v>
      </c>
      <c r="N469" s="487" t="s">
        <v>1017</v>
      </c>
      <c r="O469" s="489">
        <v>1</v>
      </c>
      <c r="P469" s="489">
        <v>60.7</v>
      </c>
      <c r="Q469" s="560">
        <f t="shared" si="116"/>
        <v>60.7</v>
      </c>
    </row>
    <row r="470" spans="1:17" x14ac:dyDescent="0.25">
      <c r="A470" s="523"/>
      <c r="B470" s="521"/>
      <c r="C470" s="514"/>
      <c r="D470" s="497"/>
      <c r="E470" s="519"/>
      <c r="F470" s="221" t="s">
        <v>386</v>
      </c>
      <c r="G470" s="229">
        <f>G469*0.1</f>
        <v>4.8000000000000007E-4</v>
      </c>
      <c r="H470" s="221">
        <v>11</v>
      </c>
      <c r="I470" s="229">
        <f t="shared" ref="I470" si="130">G470*H470*1.1*351</f>
        <v>2.0386080000000004</v>
      </c>
      <c r="J470" s="215">
        <v>4</v>
      </c>
      <c r="K470" s="27">
        <v>279.92</v>
      </c>
      <c r="L470" s="241"/>
      <c r="M470" s="28">
        <f t="shared" si="124"/>
        <v>570.64715136000018</v>
      </c>
      <c r="N470" s="488"/>
      <c r="O470" s="490"/>
      <c r="P470" s="490"/>
      <c r="Q470" s="561">
        <f t="shared" si="116"/>
        <v>0</v>
      </c>
    </row>
    <row r="471" spans="1:17" ht="15.75" customHeight="1" x14ac:dyDescent="0.25">
      <c r="A471" s="523"/>
      <c r="B471" s="521"/>
      <c r="C471" s="514" t="s">
        <v>826</v>
      </c>
      <c r="D471" s="497"/>
      <c r="E471" s="519"/>
      <c r="F471" s="221" t="s">
        <v>384</v>
      </c>
      <c r="G471" s="228">
        <f>0.005*2*1.6</f>
        <v>1.6E-2</v>
      </c>
      <c r="H471" s="221">
        <v>1</v>
      </c>
      <c r="I471" s="229">
        <f>G471*H471*1.1*351</f>
        <v>6.1776</v>
      </c>
      <c r="J471" s="215">
        <v>4</v>
      </c>
      <c r="K471" s="27">
        <v>279.92</v>
      </c>
      <c r="L471" s="241"/>
      <c r="M471" s="28">
        <f t="shared" si="124"/>
        <v>1729.233792</v>
      </c>
      <c r="N471" s="487" t="s">
        <v>1017</v>
      </c>
      <c r="O471" s="489">
        <v>2</v>
      </c>
      <c r="P471" s="489">
        <v>60.7</v>
      </c>
      <c r="Q471" s="560">
        <f t="shared" si="116"/>
        <v>121.4</v>
      </c>
    </row>
    <row r="472" spans="1:17" x14ac:dyDescent="0.25">
      <c r="A472" s="523"/>
      <c r="B472" s="521"/>
      <c r="C472" s="514"/>
      <c r="D472" s="497"/>
      <c r="E472" s="519"/>
      <c r="F472" s="221" t="s">
        <v>386</v>
      </c>
      <c r="G472" s="229">
        <f>G471*0.1</f>
        <v>1.6000000000000001E-3</v>
      </c>
      <c r="H472" s="221">
        <v>11</v>
      </c>
      <c r="I472" s="229">
        <f t="shared" ref="I472" si="131">G472*H472*1.1*351</f>
        <v>6.7953600000000005</v>
      </c>
      <c r="J472" s="215">
        <v>4</v>
      </c>
      <c r="K472" s="27">
        <v>279.92</v>
      </c>
      <c r="L472" s="241"/>
      <c r="M472" s="28">
        <f t="shared" si="124"/>
        <v>1902.1571712000002</v>
      </c>
      <c r="N472" s="488"/>
      <c r="O472" s="490"/>
      <c r="P472" s="490"/>
      <c r="Q472" s="561">
        <f t="shared" si="116"/>
        <v>0</v>
      </c>
    </row>
    <row r="473" spans="1:17" ht="15.75" customHeight="1" x14ac:dyDescent="0.25">
      <c r="A473" s="523"/>
      <c r="B473" s="521"/>
      <c r="C473" s="514" t="s">
        <v>481</v>
      </c>
      <c r="D473" s="497"/>
      <c r="E473" s="519"/>
      <c r="F473" s="221" t="s">
        <v>384</v>
      </c>
      <c r="G473" s="228">
        <f>0.002*7*1.6</f>
        <v>2.2400000000000003E-2</v>
      </c>
      <c r="H473" s="221">
        <v>1</v>
      </c>
      <c r="I473" s="229">
        <f>G473*H473*1.1*351</f>
        <v>8.6486400000000021</v>
      </c>
      <c r="J473" s="215">
        <v>4</v>
      </c>
      <c r="K473" s="27">
        <v>279.92</v>
      </c>
      <c r="L473" s="241"/>
      <c r="M473" s="28">
        <f t="shared" si="124"/>
        <v>2420.9273088000009</v>
      </c>
      <c r="N473" s="487" t="s">
        <v>1017</v>
      </c>
      <c r="O473" s="489">
        <v>2</v>
      </c>
      <c r="P473" s="489">
        <v>60.7</v>
      </c>
      <c r="Q473" s="560">
        <f t="shared" si="116"/>
        <v>121.4</v>
      </c>
    </row>
    <row r="474" spans="1:17" x14ac:dyDescent="0.25">
      <c r="A474" s="523"/>
      <c r="B474" s="521"/>
      <c r="C474" s="514"/>
      <c r="D474" s="497"/>
      <c r="E474" s="519"/>
      <c r="F474" s="221" t="s">
        <v>386</v>
      </c>
      <c r="G474" s="229">
        <f>G473*0.1</f>
        <v>2.2400000000000002E-3</v>
      </c>
      <c r="H474" s="221">
        <v>11</v>
      </c>
      <c r="I474" s="229">
        <f t="shared" ref="I474" si="132">G474*H474*1.1*351</f>
        <v>9.5135040000000011</v>
      </c>
      <c r="J474" s="215">
        <v>4</v>
      </c>
      <c r="K474" s="27">
        <v>279.92</v>
      </c>
      <c r="L474" s="241"/>
      <c r="M474" s="28">
        <f t="shared" si="124"/>
        <v>2663.0200396800005</v>
      </c>
      <c r="N474" s="488"/>
      <c r="O474" s="490"/>
      <c r="P474" s="490"/>
      <c r="Q474" s="561">
        <f t="shared" si="116"/>
        <v>0</v>
      </c>
    </row>
    <row r="475" spans="1:17" ht="15.75" customHeight="1" x14ac:dyDescent="0.25">
      <c r="A475" s="523"/>
      <c r="B475" s="521"/>
      <c r="C475" s="501" t="s">
        <v>827</v>
      </c>
      <c r="D475" s="497"/>
      <c r="E475" s="519"/>
      <c r="F475" s="221" t="s">
        <v>384</v>
      </c>
      <c r="G475" s="228">
        <f>0.001*2*1.6</f>
        <v>3.2000000000000002E-3</v>
      </c>
      <c r="H475" s="221">
        <v>1</v>
      </c>
      <c r="I475" s="229">
        <f>G475*H475*1.1*351</f>
        <v>1.2355200000000002</v>
      </c>
      <c r="J475" s="215">
        <v>4</v>
      </c>
      <c r="K475" s="27">
        <v>279.92</v>
      </c>
      <c r="L475" s="241"/>
      <c r="M475" s="28">
        <f t="shared" si="124"/>
        <v>345.84675840000006</v>
      </c>
      <c r="N475" s="487" t="s">
        <v>1017</v>
      </c>
      <c r="O475" s="489">
        <v>2</v>
      </c>
      <c r="P475" s="489">
        <v>60.7</v>
      </c>
      <c r="Q475" s="560">
        <f t="shared" si="116"/>
        <v>121.4</v>
      </c>
    </row>
    <row r="476" spans="1:17" x14ac:dyDescent="0.25">
      <c r="A476" s="523"/>
      <c r="B476" s="521"/>
      <c r="C476" s="501"/>
      <c r="D476" s="497"/>
      <c r="E476" s="519"/>
      <c r="F476" s="221" t="s">
        <v>386</v>
      </c>
      <c r="G476" s="229">
        <f>G475*0.1</f>
        <v>3.2000000000000003E-4</v>
      </c>
      <c r="H476" s="221">
        <v>11</v>
      </c>
      <c r="I476" s="229">
        <f t="shared" ref="I476" si="133">G476*H476*1.1*351</f>
        <v>1.3590720000000001</v>
      </c>
      <c r="J476" s="215">
        <v>4</v>
      </c>
      <c r="K476" s="27">
        <v>279.92</v>
      </c>
      <c r="L476" s="241"/>
      <c r="M476" s="28">
        <f t="shared" si="124"/>
        <v>380.43143424000004</v>
      </c>
      <c r="N476" s="488"/>
      <c r="O476" s="490"/>
      <c r="P476" s="490"/>
      <c r="Q476" s="561">
        <f t="shared" si="116"/>
        <v>0</v>
      </c>
    </row>
    <row r="477" spans="1:17" ht="15.75" customHeight="1" x14ac:dyDescent="0.25">
      <c r="A477" s="523"/>
      <c r="B477" s="521"/>
      <c r="C477" s="501" t="s">
        <v>828</v>
      </c>
      <c r="D477" s="497"/>
      <c r="E477" s="519"/>
      <c r="F477" s="221" t="s">
        <v>384</v>
      </c>
      <c r="G477" s="228">
        <f>0.006*1.6</f>
        <v>9.6000000000000009E-3</v>
      </c>
      <c r="H477" s="221">
        <v>1</v>
      </c>
      <c r="I477" s="229">
        <f>G477*H477*1.1*351</f>
        <v>3.7065600000000005</v>
      </c>
      <c r="J477" s="215">
        <v>4</v>
      </c>
      <c r="K477" s="27">
        <v>279.92</v>
      </c>
      <c r="L477" s="241"/>
      <c r="M477" s="28">
        <f t="shared" si="124"/>
        <v>1037.5402752000002</v>
      </c>
      <c r="N477" s="487" t="s">
        <v>842</v>
      </c>
      <c r="O477" s="489">
        <v>6</v>
      </c>
      <c r="P477" s="489">
        <v>540</v>
      </c>
      <c r="Q477" s="560">
        <f t="shared" si="116"/>
        <v>3240</v>
      </c>
    </row>
    <row r="478" spans="1:17" x14ac:dyDescent="0.25">
      <c r="A478" s="523"/>
      <c r="B478" s="521"/>
      <c r="C478" s="501"/>
      <c r="D478" s="497"/>
      <c r="E478" s="519"/>
      <c r="F478" s="221" t="s">
        <v>386</v>
      </c>
      <c r="G478" s="229">
        <f>G477*0.1</f>
        <v>9.6000000000000013E-4</v>
      </c>
      <c r="H478" s="221">
        <v>11</v>
      </c>
      <c r="I478" s="229">
        <f t="shared" ref="I478:I482" si="134">G478*H478*1.1*351</f>
        <v>4.0772160000000008</v>
      </c>
      <c r="J478" s="215">
        <v>4</v>
      </c>
      <c r="K478" s="27">
        <v>279.92</v>
      </c>
      <c r="L478" s="241"/>
      <c r="M478" s="28">
        <f t="shared" si="124"/>
        <v>1141.2943027200004</v>
      </c>
      <c r="N478" s="488"/>
      <c r="O478" s="490"/>
      <c r="P478" s="490"/>
      <c r="Q478" s="561">
        <f t="shared" si="116"/>
        <v>0</v>
      </c>
    </row>
    <row r="479" spans="1:17" ht="15.75" customHeight="1" x14ac:dyDescent="0.25">
      <c r="A479" s="523"/>
      <c r="B479" s="521"/>
      <c r="C479" s="501" t="s">
        <v>486</v>
      </c>
      <c r="D479" s="497"/>
      <c r="E479" s="243"/>
      <c r="F479" s="221" t="s">
        <v>384</v>
      </c>
      <c r="G479" s="228">
        <f>0.005*1.6</f>
        <v>8.0000000000000002E-3</v>
      </c>
      <c r="H479" s="221">
        <v>1</v>
      </c>
      <c r="I479" s="229">
        <f>G479*H479*1.1*351</f>
        <v>3.0888</v>
      </c>
      <c r="J479" s="215">
        <v>4</v>
      </c>
      <c r="K479" s="27">
        <v>279.92</v>
      </c>
      <c r="L479" s="241"/>
      <c r="M479" s="28">
        <f t="shared" si="124"/>
        <v>864.616896</v>
      </c>
      <c r="N479" s="487" t="s">
        <v>842</v>
      </c>
      <c r="O479" s="489">
        <v>4</v>
      </c>
      <c r="P479" s="489">
        <v>540</v>
      </c>
      <c r="Q479" s="560">
        <f t="shared" si="116"/>
        <v>2160</v>
      </c>
    </row>
    <row r="480" spans="1:17" x14ac:dyDescent="0.25">
      <c r="A480" s="523"/>
      <c r="B480" s="521"/>
      <c r="C480" s="501"/>
      <c r="D480" s="497"/>
      <c r="E480" s="243"/>
      <c r="F480" s="221" t="s">
        <v>386</v>
      </c>
      <c r="G480" s="229">
        <f>G479*0.1</f>
        <v>8.0000000000000004E-4</v>
      </c>
      <c r="H480" s="221">
        <v>11</v>
      </c>
      <c r="I480" s="229">
        <f t="shared" ref="I480" si="135">G480*H480*1.1*351</f>
        <v>3.3976800000000003</v>
      </c>
      <c r="J480" s="215">
        <v>4</v>
      </c>
      <c r="K480" s="27">
        <v>279.92</v>
      </c>
      <c r="L480" s="241"/>
      <c r="M480" s="28">
        <f t="shared" si="124"/>
        <v>951.07858560000011</v>
      </c>
      <c r="N480" s="488"/>
      <c r="O480" s="490"/>
      <c r="P480" s="490"/>
      <c r="Q480" s="561">
        <f t="shared" si="116"/>
        <v>0</v>
      </c>
    </row>
    <row r="481" spans="1:18" ht="15.75" customHeight="1" x14ac:dyDescent="0.25">
      <c r="A481" s="523"/>
      <c r="B481" s="521"/>
      <c r="C481" s="501" t="s">
        <v>830</v>
      </c>
      <c r="D481" s="522" t="s">
        <v>461</v>
      </c>
      <c r="E481" s="522">
        <v>0.25</v>
      </c>
      <c r="F481" s="215" t="s">
        <v>384</v>
      </c>
      <c r="G481" s="27">
        <f>0.007*1.6</f>
        <v>1.1200000000000002E-2</v>
      </c>
      <c r="H481" s="215">
        <v>1</v>
      </c>
      <c r="I481" s="27">
        <f t="shared" si="134"/>
        <v>4.3243200000000011</v>
      </c>
      <c r="J481" s="215">
        <v>4</v>
      </c>
      <c r="K481" s="27">
        <v>279.92</v>
      </c>
      <c r="L481" s="241"/>
      <c r="M481" s="28">
        <f t="shared" si="124"/>
        <v>1210.4636544000005</v>
      </c>
      <c r="N481" s="487" t="s">
        <v>1017</v>
      </c>
      <c r="O481" s="489">
        <v>1</v>
      </c>
      <c r="P481" s="489">
        <v>60.7</v>
      </c>
      <c r="Q481" s="560">
        <f t="shared" si="116"/>
        <v>60.7</v>
      </c>
    </row>
    <row r="482" spans="1:18" x14ac:dyDescent="0.25">
      <c r="A482" s="523"/>
      <c r="B482" s="521"/>
      <c r="C482" s="501"/>
      <c r="D482" s="522"/>
      <c r="E482" s="522"/>
      <c r="F482" s="215" t="s">
        <v>386</v>
      </c>
      <c r="G482" s="223">
        <f>G481*0.1</f>
        <v>1.1200000000000001E-3</v>
      </c>
      <c r="H482" s="215">
        <v>11</v>
      </c>
      <c r="I482" s="27">
        <f t="shared" si="134"/>
        <v>4.7567520000000005</v>
      </c>
      <c r="J482" s="215">
        <v>4</v>
      </c>
      <c r="K482" s="27">
        <v>279.92</v>
      </c>
      <c r="L482" s="241"/>
      <c r="M482" s="28">
        <f t="shared" si="124"/>
        <v>1331.5100198400003</v>
      </c>
      <c r="N482" s="488"/>
      <c r="O482" s="490"/>
      <c r="P482" s="490"/>
      <c r="Q482" s="561">
        <f t="shared" si="116"/>
        <v>0</v>
      </c>
    </row>
    <row r="483" spans="1:18" x14ac:dyDescent="0.25">
      <c r="A483" s="523"/>
      <c r="B483" s="521"/>
      <c r="C483" s="501" t="s">
        <v>853</v>
      </c>
      <c r="D483" s="522" t="s">
        <v>854</v>
      </c>
      <c r="E483" s="522"/>
      <c r="F483" s="221" t="s">
        <v>384</v>
      </c>
      <c r="G483" s="228">
        <f>0.003*1.1*1.6</f>
        <v>5.2800000000000008E-3</v>
      </c>
      <c r="H483" s="221">
        <v>1</v>
      </c>
      <c r="I483" s="229">
        <f>G483*H483*1.1*351</f>
        <v>2.0386080000000004</v>
      </c>
      <c r="J483" s="215">
        <v>4</v>
      </c>
      <c r="K483" s="27">
        <v>279.92</v>
      </c>
      <c r="L483" s="241"/>
      <c r="M483" s="28">
        <f t="shared" si="124"/>
        <v>570.64715136000018</v>
      </c>
      <c r="N483" s="487" t="s">
        <v>864</v>
      </c>
      <c r="O483" s="489">
        <v>11</v>
      </c>
      <c r="P483" s="489">
        <v>2295</v>
      </c>
      <c r="Q483" s="560">
        <f t="shared" si="116"/>
        <v>25245</v>
      </c>
    </row>
    <row r="484" spans="1:18" x14ac:dyDescent="0.25">
      <c r="A484" s="523"/>
      <c r="B484" s="521"/>
      <c r="C484" s="501"/>
      <c r="D484" s="522"/>
      <c r="E484" s="522"/>
      <c r="F484" s="221" t="s">
        <v>386</v>
      </c>
      <c r="G484" s="229">
        <f>G483*0.1</f>
        <v>5.2800000000000015E-4</v>
      </c>
      <c r="H484" s="221">
        <v>11</v>
      </c>
      <c r="I484" s="229">
        <f t="shared" ref="I484" si="136">G484*H484*1.1*351</f>
        <v>2.2424688000000006</v>
      </c>
      <c r="J484" s="215">
        <v>4</v>
      </c>
      <c r="K484" s="27">
        <v>279.92</v>
      </c>
      <c r="L484" s="241"/>
      <c r="M484" s="28">
        <f t="shared" si="124"/>
        <v>627.7118664960002</v>
      </c>
      <c r="N484" s="488"/>
      <c r="O484" s="490"/>
      <c r="P484" s="490"/>
      <c r="Q484" s="561">
        <f t="shared" si="116"/>
        <v>0</v>
      </c>
    </row>
    <row r="485" spans="1:18" ht="15.75" customHeight="1" x14ac:dyDescent="0.25">
      <c r="A485" s="523"/>
      <c r="B485" s="521"/>
      <c r="C485" s="501" t="s">
        <v>855</v>
      </c>
      <c r="D485" s="497" t="s">
        <v>856</v>
      </c>
      <c r="E485" s="519"/>
      <c r="F485" s="221" t="s">
        <v>384</v>
      </c>
      <c r="G485" s="228">
        <f>0.003*2.3*1.6</f>
        <v>1.1040000000000001E-2</v>
      </c>
      <c r="H485" s="221">
        <v>1</v>
      </c>
      <c r="I485" s="229">
        <f>G485*H485*1.1*351</f>
        <v>4.262544000000001</v>
      </c>
      <c r="J485" s="215">
        <v>4</v>
      </c>
      <c r="K485" s="27">
        <v>279.92</v>
      </c>
      <c r="L485" s="241"/>
      <c r="M485" s="28">
        <f t="shared" si="124"/>
        <v>1193.1713164800003</v>
      </c>
      <c r="N485" s="492" t="s">
        <v>865</v>
      </c>
      <c r="O485" s="494">
        <v>23</v>
      </c>
      <c r="P485" s="494">
        <v>10540</v>
      </c>
      <c r="Q485" s="560">
        <f t="shared" si="116"/>
        <v>242420</v>
      </c>
      <c r="R485" s="17" t="s">
        <v>1018</v>
      </c>
    </row>
    <row r="486" spans="1:18" x14ac:dyDescent="0.25">
      <c r="A486" s="523"/>
      <c r="B486" s="521"/>
      <c r="C486" s="501"/>
      <c r="D486" s="497"/>
      <c r="E486" s="519"/>
      <c r="F486" s="221" t="s">
        <v>386</v>
      </c>
      <c r="G486" s="229">
        <f>G485*0.1</f>
        <v>1.1040000000000002E-3</v>
      </c>
      <c r="H486" s="221">
        <v>11</v>
      </c>
      <c r="I486" s="229">
        <f t="shared" ref="I486" si="137">G486*H486*1.1*351</f>
        <v>4.6887984000000014</v>
      </c>
      <c r="J486" s="215">
        <v>4</v>
      </c>
      <c r="K486" s="27">
        <v>279.92</v>
      </c>
      <c r="L486" s="241"/>
      <c r="M486" s="28">
        <f t="shared" si="124"/>
        <v>1312.4884481280005</v>
      </c>
      <c r="N486" s="493"/>
      <c r="O486" s="495"/>
      <c r="P486" s="495"/>
      <c r="Q486" s="561">
        <f t="shared" si="116"/>
        <v>0</v>
      </c>
    </row>
    <row r="487" spans="1:18" ht="15.75" customHeight="1" x14ac:dyDescent="0.25">
      <c r="A487" s="523"/>
      <c r="B487" s="521"/>
      <c r="C487" s="501" t="s">
        <v>857</v>
      </c>
      <c r="D487" s="497" t="s">
        <v>858</v>
      </c>
      <c r="E487" s="519"/>
      <c r="F487" s="221" t="s">
        <v>384</v>
      </c>
      <c r="G487" s="228">
        <f>0.003*0.6*1.6</f>
        <v>2.8800000000000002E-3</v>
      </c>
      <c r="H487" s="221">
        <v>1</v>
      </c>
      <c r="I487" s="229">
        <f>G487*H487*1.1*351</f>
        <v>1.1119680000000001</v>
      </c>
      <c r="J487" s="215">
        <v>4</v>
      </c>
      <c r="K487" s="27">
        <v>279.92</v>
      </c>
      <c r="L487" s="241"/>
      <c r="M487" s="28">
        <f t="shared" si="124"/>
        <v>311.26208256000001</v>
      </c>
      <c r="N487" s="492" t="s">
        <v>866</v>
      </c>
      <c r="O487" s="494">
        <v>6</v>
      </c>
      <c r="P487" s="494">
        <v>2045</v>
      </c>
      <c r="Q487" s="560">
        <f t="shared" si="116"/>
        <v>12270</v>
      </c>
      <c r="R487" s="17" t="s">
        <v>1019</v>
      </c>
    </row>
    <row r="488" spans="1:18" x14ac:dyDescent="0.25">
      <c r="A488" s="523"/>
      <c r="B488" s="521"/>
      <c r="C488" s="501"/>
      <c r="D488" s="497"/>
      <c r="E488" s="519"/>
      <c r="F488" s="221" t="s">
        <v>386</v>
      </c>
      <c r="G488" s="229">
        <f>G487*0.1</f>
        <v>2.8800000000000001E-4</v>
      </c>
      <c r="H488" s="221">
        <v>11</v>
      </c>
      <c r="I488" s="229">
        <f t="shared" ref="I488" si="138">G488*H488*1.1*351</f>
        <v>1.2231648000000002</v>
      </c>
      <c r="J488" s="215">
        <v>4</v>
      </c>
      <c r="K488" s="27">
        <v>279.92</v>
      </c>
      <c r="L488" s="241"/>
      <c r="M488" s="28">
        <f t="shared" si="124"/>
        <v>342.38829081600005</v>
      </c>
      <c r="N488" s="493"/>
      <c r="O488" s="495"/>
      <c r="P488" s="495"/>
      <c r="Q488" s="561">
        <f t="shared" si="116"/>
        <v>0</v>
      </c>
    </row>
    <row r="489" spans="1:18" x14ac:dyDescent="0.25">
      <c r="A489" s="523"/>
      <c r="B489" s="521"/>
      <c r="C489" s="505" t="s">
        <v>859</v>
      </c>
      <c r="D489" s="518"/>
      <c r="E489" s="518"/>
      <c r="F489" s="221" t="s">
        <v>384</v>
      </c>
      <c r="G489" s="228">
        <f>0.028*0.375</f>
        <v>1.0500000000000001E-2</v>
      </c>
      <c r="H489" s="221">
        <v>1</v>
      </c>
      <c r="I489" s="229">
        <f>G489*H489*1.1*351</f>
        <v>4.0540500000000002</v>
      </c>
      <c r="J489" s="215">
        <v>4</v>
      </c>
      <c r="K489" s="27">
        <v>279.92</v>
      </c>
      <c r="L489" s="241"/>
      <c r="M489" s="28">
        <f t="shared" si="124"/>
        <v>1134.8096760000001</v>
      </c>
      <c r="N489" s="366" t="s">
        <v>314</v>
      </c>
      <c r="O489" s="215">
        <v>1</v>
      </c>
      <c r="P489" s="215">
        <v>52</v>
      </c>
      <c r="Q489" s="378">
        <f t="shared" si="116"/>
        <v>52</v>
      </c>
    </row>
    <row r="490" spans="1:18" ht="31.5" x14ac:dyDescent="0.25">
      <c r="A490" s="523"/>
      <c r="B490" s="521"/>
      <c r="C490" s="506"/>
      <c r="D490" s="518"/>
      <c r="E490" s="518"/>
      <c r="F490" s="221" t="s">
        <v>386</v>
      </c>
      <c r="G490" s="229">
        <f>G489*0.1</f>
        <v>1.0500000000000002E-3</v>
      </c>
      <c r="H490" s="221">
        <v>11</v>
      </c>
      <c r="I490" s="229">
        <f t="shared" ref="I490" si="139">G490*H490*1.1*351</f>
        <v>4.4594550000000011</v>
      </c>
      <c r="J490" s="215">
        <v>4</v>
      </c>
      <c r="K490" s="27">
        <v>279.92</v>
      </c>
      <c r="L490" s="241"/>
      <c r="M490" s="28">
        <f t="shared" si="124"/>
        <v>1248.2906436000003</v>
      </c>
      <c r="N490" s="366" t="s">
        <v>1017</v>
      </c>
      <c r="O490" s="31">
        <v>1</v>
      </c>
      <c r="P490" s="364">
        <v>60.7</v>
      </c>
      <c r="Q490" s="378">
        <f t="shared" si="116"/>
        <v>60.7</v>
      </c>
    </row>
    <row r="491" spans="1:18" x14ac:dyDescent="0.25">
      <c r="A491" s="523"/>
      <c r="B491" s="521"/>
      <c r="C491" s="505" t="s">
        <v>860</v>
      </c>
      <c r="D491" s="518"/>
      <c r="E491" s="518"/>
      <c r="F491" s="221" t="s">
        <v>384</v>
      </c>
      <c r="G491" s="228">
        <f>0.04*0.078</f>
        <v>3.1199999999999999E-3</v>
      </c>
      <c r="H491" s="221">
        <v>1</v>
      </c>
      <c r="I491" s="229">
        <f>G491*H491*1.1*351</f>
        <v>1.2046320000000001</v>
      </c>
      <c r="J491" s="215">
        <v>4</v>
      </c>
      <c r="K491" s="27">
        <v>279.92</v>
      </c>
      <c r="L491" s="241"/>
      <c r="M491" s="28">
        <f t="shared" si="124"/>
        <v>337.20058944000004</v>
      </c>
      <c r="N491" s="366" t="s">
        <v>314</v>
      </c>
      <c r="O491" s="215">
        <v>1</v>
      </c>
      <c r="P491" s="215">
        <v>52</v>
      </c>
      <c r="Q491" s="378">
        <f t="shared" si="116"/>
        <v>52</v>
      </c>
    </row>
    <row r="492" spans="1:18" ht="31.5" x14ac:dyDescent="0.25">
      <c r="A492" s="523"/>
      <c r="B492" s="521"/>
      <c r="C492" s="506"/>
      <c r="D492" s="518"/>
      <c r="E492" s="518"/>
      <c r="F492" s="221" t="s">
        <v>386</v>
      </c>
      <c r="G492" s="229">
        <f>G491*0.1</f>
        <v>3.1199999999999999E-4</v>
      </c>
      <c r="H492" s="221">
        <v>11</v>
      </c>
      <c r="I492" s="229">
        <f t="shared" ref="I492" si="140">G492*H492*1.1*351</f>
        <v>1.3250952000000003</v>
      </c>
      <c r="J492" s="215">
        <v>4</v>
      </c>
      <c r="K492" s="27">
        <v>279.92</v>
      </c>
      <c r="L492" s="241"/>
      <c r="M492" s="28">
        <f t="shared" si="124"/>
        <v>370.92064838400012</v>
      </c>
      <c r="N492" s="366" t="s">
        <v>1017</v>
      </c>
      <c r="O492" s="31">
        <v>1</v>
      </c>
      <c r="P492" s="364">
        <v>60.7</v>
      </c>
      <c r="Q492" s="378">
        <f t="shared" si="116"/>
        <v>60.7</v>
      </c>
    </row>
    <row r="493" spans="1:18" x14ac:dyDescent="0.25">
      <c r="A493" s="523"/>
      <c r="B493" s="521"/>
      <c r="C493" s="505" t="s">
        <v>861</v>
      </c>
      <c r="D493" s="518"/>
      <c r="E493" s="518"/>
      <c r="F493" s="221" t="s">
        <v>384</v>
      </c>
      <c r="G493" s="228">
        <f>0.048*0.098</f>
        <v>4.7039999999999998E-3</v>
      </c>
      <c r="H493" s="221">
        <v>1</v>
      </c>
      <c r="I493" s="229">
        <f>G493*H493*1.1*351</f>
        <v>1.8162144</v>
      </c>
      <c r="J493" s="215">
        <v>4</v>
      </c>
      <c r="K493" s="27">
        <v>279.92</v>
      </c>
      <c r="L493" s="241"/>
      <c r="M493" s="28">
        <f t="shared" si="124"/>
        <v>508.39473484800004</v>
      </c>
      <c r="N493" s="366" t="s">
        <v>314</v>
      </c>
      <c r="O493" s="215">
        <v>1</v>
      </c>
      <c r="P493" s="215">
        <v>52</v>
      </c>
      <c r="Q493" s="378">
        <f t="shared" si="116"/>
        <v>52</v>
      </c>
    </row>
    <row r="494" spans="1:18" ht="31.5" x14ac:dyDescent="0.25">
      <c r="A494" s="523"/>
      <c r="B494" s="521"/>
      <c r="C494" s="506"/>
      <c r="D494" s="518"/>
      <c r="E494" s="518"/>
      <c r="F494" s="221" t="s">
        <v>386</v>
      </c>
      <c r="G494" s="229">
        <f>G493*0.1</f>
        <v>4.704E-4</v>
      </c>
      <c r="H494" s="221">
        <v>11</v>
      </c>
      <c r="I494" s="229">
        <f t="shared" ref="I494" si="141">G494*H494*1.1*351</f>
        <v>1.99783584</v>
      </c>
      <c r="J494" s="215">
        <v>4</v>
      </c>
      <c r="K494" s="27">
        <v>279.92</v>
      </c>
      <c r="L494" s="241"/>
      <c r="M494" s="28">
        <f t="shared" si="124"/>
        <v>559.23420833279999</v>
      </c>
      <c r="N494" s="366" t="s">
        <v>1017</v>
      </c>
      <c r="O494" s="31">
        <v>1</v>
      </c>
      <c r="P494" s="364">
        <v>60.7</v>
      </c>
      <c r="Q494" s="378">
        <f t="shared" si="116"/>
        <v>60.7</v>
      </c>
    </row>
    <row r="495" spans="1:18" x14ac:dyDescent="0.25">
      <c r="A495" s="523"/>
      <c r="B495" s="521"/>
      <c r="C495" s="506" t="s">
        <v>862</v>
      </c>
      <c r="D495" s="518"/>
      <c r="E495" s="518"/>
      <c r="F495" s="221" t="s">
        <v>384</v>
      </c>
      <c r="G495" s="228">
        <f>0.04*0.579</f>
        <v>2.316E-2</v>
      </c>
      <c r="H495" s="221">
        <v>1</v>
      </c>
      <c r="I495" s="229">
        <f>G495*H495*1.1*351</f>
        <v>8.9420760000000001</v>
      </c>
      <c r="J495" s="215">
        <v>4</v>
      </c>
      <c r="K495" s="27">
        <v>279.92</v>
      </c>
      <c r="L495" s="241"/>
      <c r="M495" s="28">
        <f t="shared" si="124"/>
        <v>2503.0659139200002</v>
      </c>
      <c r="N495" s="366" t="s">
        <v>314</v>
      </c>
      <c r="O495" s="215">
        <v>1</v>
      </c>
      <c r="P495" s="215">
        <v>52</v>
      </c>
      <c r="Q495" s="378">
        <f t="shared" si="116"/>
        <v>52</v>
      </c>
    </row>
    <row r="496" spans="1:18" ht="31.5" x14ac:dyDescent="0.25">
      <c r="A496" s="523"/>
      <c r="B496" s="521"/>
      <c r="C496" s="506"/>
      <c r="D496" s="518"/>
      <c r="E496" s="518"/>
      <c r="F496" s="221" t="s">
        <v>386</v>
      </c>
      <c r="G496" s="229">
        <f>G495*0.1</f>
        <v>2.3159999999999999E-3</v>
      </c>
      <c r="H496" s="221">
        <v>11</v>
      </c>
      <c r="I496" s="229">
        <f t="shared" ref="I496" si="142">G496*H496*1.1*351</f>
        <v>9.8362835999999998</v>
      </c>
      <c r="J496" s="215">
        <v>4</v>
      </c>
      <c r="K496" s="27">
        <v>279.92</v>
      </c>
      <c r="L496" s="241"/>
      <c r="M496" s="28">
        <f t="shared" si="124"/>
        <v>2753.3725053120002</v>
      </c>
      <c r="N496" s="366" t="s">
        <v>1017</v>
      </c>
      <c r="O496" s="31">
        <v>1</v>
      </c>
      <c r="P496" s="215">
        <v>60.7</v>
      </c>
      <c r="Q496" s="378">
        <f t="shared" si="116"/>
        <v>60.7</v>
      </c>
    </row>
    <row r="497" spans="1:17" x14ac:dyDescent="0.25">
      <c r="A497" s="523"/>
      <c r="B497" s="521"/>
      <c r="C497" s="506" t="s">
        <v>835</v>
      </c>
      <c r="D497" s="518"/>
      <c r="E497" s="518"/>
      <c r="F497" s="221" t="s">
        <v>384</v>
      </c>
      <c r="G497" s="228">
        <f>0.009*2</f>
        <v>1.7999999999999999E-2</v>
      </c>
      <c r="H497" s="221">
        <v>1</v>
      </c>
      <c r="I497" s="228">
        <f>G497*H497*1.1*351</f>
        <v>6.9498000000000006</v>
      </c>
      <c r="J497" s="221">
        <v>5</v>
      </c>
      <c r="K497" s="27">
        <v>297.57</v>
      </c>
      <c r="L497" s="241"/>
      <c r="M497" s="28">
        <f t="shared" si="124"/>
        <v>2068.0519859999999</v>
      </c>
      <c r="N497" s="487"/>
      <c r="O497" s="489"/>
      <c r="P497" s="489"/>
      <c r="Q497" s="560"/>
    </row>
    <row r="498" spans="1:17" x14ac:dyDescent="0.25">
      <c r="A498" s="523"/>
      <c r="B498" s="521"/>
      <c r="C498" s="506"/>
      <c r="D498" s="518"/>
      <c r="E498" s="518"/>
      <c r="F498" s="221" t="s">
        <v>386</v>
      </c>
      <c r="G498" s="229">
        <f>G497*0.1</f>
        <v>1.8E-3</v>
      </c>
      <c r="H498" s="221">
        <v>11</v>
      </c>
      <c r="I498" s="228">
        <f t="shared" ref="I498" si="143">G498*H498*1.1*351</f>
        <v>7.6447799999999999</v>
      </c>
      <c r="J498" s="221">
        <v>5</v>
      </c>
      <c r="K498" s="27">
        <v>297.57</v>
      </c>
      <c r="L498" s="241"/>
      <c r="M498" s="28">
        <f t="shared" si="124"/>
        <v>2274.8571846</v>
      </c>
      <c r="N498" s="488"/>
      <c r="O498" s="490"/>
      <c r="P498" s="490"/>
      <c r="Q498" s="561"/>
    </row>
    <row r="499" spans="1:17" ht="15.75" customHeight="1" x14ac:dyDescent="0.25">
      <c r="A499" s="523"/>
      <c r="B499" s="521"/>
      <c r="C499" s="505" t="s">
        <v>836</v>
      </c>
      <c r="D499" s="518"/>
      <c r="E499" s="518"/>
      <c r="F499" s="221" t="s">
        <v>384</v>
      </c>
      <c r="G499" s="228">
        <f>0.003*6</f>
        <v>1.8000000000000002E-2</v>
      </c>
      <c r="H499" s="221">
        <v>1</v>
      </c>
      <c r="I499" s="229">
        <f>G499*H499*1.1*351</f>
        <v>6.9498000000000015</v>
      </c>
      <c r="J499" s="221">
        <v>4</v>
      </c>
      <c r="K499" s="27">
        <v>279.92</v>
      </c>
      <c r="L499" s="241"/>
      <c r="M499" s="28">
        <f t="shared" si="124"/>
        <v>1945.3880160000006</v>
      </c>
      <c r="N499" s="487" t="s">
        <v>1015</v>
      </c>
      <c r="O499" s="489">
        <v>1</v>
      </c>
      <c r="P499" s="489">
        <v>60.7</v>
      </c>
      <c r="Q499" s="560">
        <f t="shared" ref="Q499:Q560" si="144">P499*O499</f>
        <v>60.7</v>
      </c>
    </row>
    <row r="500" spans="1:17" x14ac:dyDescent="0.25">
      <c r="A500" s="523"/>
      <c r="B500" s="521"/>
      <c r="C500" s="506"/>
      <c r="D500" s="518"/>
      <c r="E500" s="518"/>
      <c r="F500" s="221" t="s">
        <v>386</v>
      </c>
      <c r="G500" s="229">
        <f>G499*0.1</f>
        <v>1.8000000000000004E-3</v>
      </c>
      <c r="H500" s="221">
        <v>11</v>
      </c>
      <c r="I500" s="229">
        <f t="shared" ref="I500" si="145">G500*H500*1.1*351</f>
        <v>7.6447800000000026</v>
      </c>
      <c r="J500" s="221">
        <v>4</v>
      </c>
      <c r="K500" s="27">
        <v>279.92</v>
      </c>
      <c r="L500" s="241"/>
      <c r="M500" s="28">
        <f t="shared" si="124"/>
        <v>2139.926817600001</v>
      </c>
      <c r="N500" s="488"/>
      <c r="O500" s="490"/>
      <c r="P500" s="490"/>
      <c r="Q500" s="561">
        <f t="shared" si="144"/>
        <v>0</v>
      </c>
    </row>
    <row r="501" spans="1:17" ht="15.75" customHeight="1" x14ac:dyDescent="0.25">
      <c r="A501" s="523"/>
      <c r="B501" s="521"/>
      <c r="C501" s="505" t="s">
        <v>837</v>
      </c>
      <c r="D501" s="519" t="s">
        <v>838</v>
      </c>
      <c r="E501" s="518"/>
      <c r="F501" s="221" t="s">
        <v>384</v>
      </c>
      <c r="G501" s="228">
        <f>0.002*2</f>
        <v>4.0000000000000001E-3</v>
      </c>
      <c r="H501" s="221">
        <v>1</v>
      </c>
      <c r="I501" s="229">
        <f>G501*H501*1.1*351</f>
        <v>1.5444</v>
      </c>
      <c r="J501" s="221">
        <v>4</v>
      </c>
      <c r="K501" s="27">
        <v>279.92</v>
      </c>
      <c r="L501" s="241"/>
      <c r="M501" s="28">
        <f t="shared" si="124"/>
        <v>432.308448</v>
      </c>
      <c r="N501" s="487" t="s">
        <v>843</v>
      </c>
      <c r="O501" s="489">
        <v>2</v>
      </c>
      <c r="P501" s="489">
        <v>9801</v>
      </c>
      <c r="Q501" s="560">
        <f t="shared" si="144"/>
        <v>19602</v>
      </c>
    </row>
    <row r="502" spans="1:17" x14ac:dyDescent="0.25">
      <c r="A502" s="523"/>
      <c r="B502" s="521"/>
      <c r="C502" s="506"/>
      <c r="D502" s="519"/>
      <c r="E502" s="518"/>
      <c r="F502" s="221" t="s">
        <v>386</v>
      </c>
      <c r="G502" s="229">
        <f>G501*0.1</f>
        <v>4.0000000000000002E-4</v>
      </c>
      <c r="H502" s="221">
        <v>11</v>
      </c>
      <c r="I502" s="229">
        <f t="shared" ref="I502" si="146">G502*H502*1.1*351</f>
        <v>1.6988400000000001</v>
      </c>
      <c r="J502" s="221">
        <v>4</v>
      </c>
      <c r="K502" s="27">
        <v>279.92</v>
      </c>
      <c r="L502" s="241"/>
      <c r="M502" s="28">
        <f t="shared" si="124"/>
        <v>475.53929280000006</v>
      </c>
      <c r="N502" s="488"/>
      <c r="O502" s="490"/>
      <c r="P502" s="490"/>
      <c r="Q502" s="561">
        <f t="shared" si="144"/>
        <v>0</v>
      </c>
    </row>
    <row r="503" spans="1:17" x14ac:dyDescent="0.25">
      <c r="A503" s="523"/>
      <c r="B503" s="521"/>
      <c r="C503" s="498" t="s">
        <v>863</v>
      </c>
      <c r="D503" s="516"/>
      <c r="E503" s="517"/>
      <c r="F503" s="221" t="s">
        <v>384</v>
      </c>
      <c r="G503" s="228">
        <f>0.012*0.174</f>
        <v>2.088E-3</v>
      </c>
      <c r="H503" s="221">
        <v>1</v>
      </c>
      <c r="I503" s="229">
        <f>G503*H503*1.1*351</f>
        <v>0.80617680000000014</v>
      </c>
      <c r="J503" s="215">
        <v>4</v>
      </c>
      <c r="K503" s="27">
        <v>279.92</v>
      </c>
      <c r="L503" s="241"/>
      <c r="M503" s="28">
        <f t="shared" si="124"/>
        <v>225.66500985600004</v>
      </c>
      <c r="N503" s="487"/>
      <c r="O503" s="489"/>
      <c r="P503" s="489"/>
      <c r="Q503" s="560"/>
    </row>
    <row r="504" spans="1:17" x14ac:dyDescent="0.25">
      <c r="A504" s="523"/>
      <c r="B504" s="521"/>
      <c r="C504" s="498"/>
      <c r="D504" s="516"/>
      <c r="E504" s="517"/>
      <c r="F504" s="221" t="s">
        <v>386</v>
      </c>
      <c r="G504" s="229">
        <f>G503*0.1</f>
        <v>2.0880000000000001E-4</v>
      </c>
      <c r="H504" s="221">
        <v>11</v>
      </c>
      <c r="I504" s="229">
        <f t="shared" ref="I504:I516" si="147">G504*H504*1.1*351</f>
        <v>0.88679448000000005</v>
      </c>
      <c r="J504" s="215">
        <v>4</v>
      </c>
      <c r="K504" s="27">
        <v>279.92</v>
      </c>
      <c r="L504" s="241"/>
      <c r="M504" s="28">
        <f t="shared" si="124"/>
        <v>248.23151084160003</v>
      </c>
      <c r="N504" s="488" t="s">
        <v>553</v>
      </c>
      <c r="O504" s="490" t="s">
        <v>867</v>
      </c>
      <c r="P504" s="490"/>
      <c r="Q504" s="561"/>
    </row>
    <row r="505" spans="1:17" x14ac:dyDescent="0.25">
      <c r="A505" s="496">
        <v>10</v>
      </c>
      <c r="B505" s="497" t="s">
        <v>1035</v>
      </c>
      <c r="C505" s="498" t="s">
        <v>382</v>
      </c>
      <c r="D505" s="499" t="s">
        <v>868</v>
      </c>
      <c r="E505" s="500">
        <v>37</v>
      </c>
      <c r="F505" s="215" t="s">
        <v>384</v>
      </c>
      <c r="G505" s="27">
        <f>0.008*1.5</f>
        <v>1.2E-2</v>
      </c>
      <c r="H505" s="215">
        <v>2</v>
      </c>
      <c r="I505" s="27">
        <f t="shared" si="147"/>
        <v>9.2664000000000009</v>
      </c>
      <c r="J505" s="215">
        <v>4</v>
      </c>
      <c r="K505" s="27">
        <v>279.92</v>
      </c>
      <c r="L505" s="241"/>
      <c r="M505" s="28">
        <f t="shared" si="124"/>
        <v>2593.8506880000004</v>
      </c>
      <c r="N505" s="487" t="s">
        <v>390</v>
      </c>
      <c r="O505" s="489">
        <v>2</v>
      </c>
      <c r="P505" s="489">
        <v>2077</v>
      </c>
      <c r="Q505" s="560">
        <f t="shared" si="144"/>
        <v>4154</v>
      </c>
    </row>
    <row r="506" spans="1:17" x14ac:dyDescent="0.25">
      <c r="A506" s="496"/>
      <c r="B506" s="497"/>
      <c r="C506" s="498"/>
      <c r="D506" s="499"/>
      <c r="E506" s="500"/>
      <c r="F506" s="215" t="s">
        <v>386</v>
      </c>
      <c r="G506" s="223">
        <f>G505*0.1</f>
        <v>1.2000000000000001E-3</v>
      </c>
      <c r="H506" s="215">
        <v>10</v>
      </c>
      <c r="I506" s="27">
        <f t="shared" si="147"/>
        <v>4.6332000000000004</v>
      </c>
      <c r="J506" s="215">
        <v>4</v>
      </c>
      <c r="K506" s="27">
        <v>279.92</v>
      </c>
      <c r="L506" s="241"/>
      <c r="M506" s="28">
        <f t="shared" si="124"/>
        <v>1296.9253440000002</v>
      </c>
      <c r="N506" s="488"/>
      <c r="O506" s="490"/>
      <c r="P506" s="490"/>
      <c r="Q506" s="561">
        <f t="shared" si="144"/>
        <v>0</v>
      </c>
    </row>
    <row r="507" spans="1:17" x14ac:dyDescent="0.25">
      <c r="A507" s="496"/>
      <c r="B507" s="497"/>
      <c r="C507" s="498" t="s">
        <v>387</v>
      </c>
      <c r="D507" s="499" t="s">
        <v>868</v>
      </c>
      <c r="E507" s="500">
        <v>37</v>
      </c>
      <c r="F507" s="215" t="s">
        <v>384</v>
      </c>
      <c r="G507" s="27">
        <f>0.008*1.5</f>
        <v>1.2E-2</v>
      </c>
      <c r="H507" s="215">
        <v>2</v>
      </c>
      <c r="I507" s="27">
        <f>G507*H507*1.1*351</f>
        <v>9.2664000000000009</v>
      </c>
      <c r="J507" s="215">
        <v>4</v>
      </c>
      <c r="K507" s="27">
        <v>279.92</v>
      </c>
      <c r="L507" s="241"/>
      <c r="M507" s="28">
        <f t="shared" si="124"/>
        <v>2593.8506880000004</v>
      </c>
      <c r="N507" s="487" t="s">
        <v>390</v>
      </c>
      <c r="O507" s="489">
        <v>2</v>
      </c>
      <c r="P507" s="489">
        <v>2077</v>
      </c>
      <c r="Q507" s="560">
        <f t="shared" si="144"/>
        <v>4154</v>
      </c>
    </row>
    <row r="508" spans="1:17" x14ac:dyDescent="0.25">
      <c r="A508" s="496"/>
      <c r="B508" s="497"/>
      <c r="C508" s="498"/>
      <c r="D508" s="499"/>
      <c r="E508" s="500"/>
      <c r="F508" s="215" t="s">
        <v>386</v>
      </c>
      <c r="G508" s="223">
        <f>G507*0.1</f>
        <v>1.2000000000000001E-3</v>
      </c>
      <c r="H508" s="215">
        <v>10</v>
      </c>
      <c r="I508" s="27">
        <f t="shared" si="147"/>
        <v>4.6332000000000004</v>
      </c>
      <c r="J508" s="215">
        <v>4</v>
      </c>
      <c r="K508" s="27">
        <v>279.92</v>
      </c>
      <c r="L508" s="241"/>
      <c r="M508" s="28">
        <f t="shared" si="124"/>
        <v>1296.9253440000002</v>
      </c>
      <c r="N508" s="488"/>
      <c r="O508" s="490"/>
      <c r="P508" s="490"/>
      <c r="Q508" s="561">
        <f t="shared" si="144"/>
        <v>0</v>
      </c>
    </row>
    <row r="509" spans="1:17" x14ac:dyDescent="0.25">
      <c r="A509" s="496"/>
      <c r="B509" s="497"/>
      <c r="C509" s="501" t="s">
        <v>388</v>
      </c>
      <c r="D509" s="499" t="s">
        <v>868</v>
      </c>
      <c r="E509" s="500">
        <v>37</v>
      </c>
      <c r="F509" s="215" t="s">
        <v>384</v>
      </c>
      <c r="G509" s="27">
        <f>0.008*1.5</f>
        <v>1.2E-2</v>
      </c>
      <c r="H509" s="215">
        <v>2</v>
      </c>
      <c r="I509" s="27">
        <f t="shared" si="147"/>
        <v>9.2664000000000009</v>
      </c>
      <c r="J509" s="215">
        <v>4</v>
      </c>
      <c r="K509" s="27">
        <v>279.92</v>
      </c>
      <c r="L509" s="241"/>
      <c r="M509" s="28">
        <f t="shared" si="124"/>
        <v>2593.8506880000004</v>
      </c>
      <c r="N509" s="487" t="s">
        <v>390</v>
      </c>
      <c r="O509" s="489">
        <v>2</v>
      </c>
      <c r="P509" s="489">
        <v>2077</v>
      </c>
      <c r="Q509" s="560">
        <f t="shared" si="144"/>
        <v>4154</v>
      </c>
    </row>
    <row r="510" spans="1:17" x14ac:dyDescent="0.25">
      <c r="A510" s="496"/>
      <c r="B510" s="497"/>
      <c r="C510" s="501"/>
      <c r="D510" s="499"/>
      <c r="E510" s="500"/>
      <c r="F510" s="215" t="s">
        <v>386</v>
      </c>
      <c r="G510" s="223">
        <f>G509*0.1</f>
        <v>1.2000000000000001E-3</v>
      </c>
      <c r="H510" s="215">
        <v>10</v>
      </c>
      <c r="I510" s="27">
        <f t="shared" si="147"/>
        <v>4.6332000000000004</v>
      </c>
      <c r="J510" s="215">
        <v>4</v>
      </c>
      <c r="K510" s="27">
        <v>279.92</v>
      </c>
      <c r="L510" s="241"/>
      <c r="M510" s="28">
        <f t="shared" si="124"/>
        <v>1296.9253440000002</v>
      </c>
      <c r="N510" s="488"/>
      <c r="O510" s="490"/>
      <c r="P510" s="490"/>
      <c r="Q510" s="561">
        <f t="shared" si="144"/>
        <v>0</v>
      </c>
    </row>
    <row r="511" spans="1:17" x14ac:dyDescent="0.25">
      <c r="A511" s="496"/>
      <c r="B511" s="497"/>
      <c r="C511" s="501" t="s">
        <v>782</v>
      </c>
      <c r="D511" s="504" t="s">
        <v>869</v>
      </c>
      <c r="E511" s="500">
        <v>45</v>
      </c>
      <c r="F511" s="215" t="s">
        <v>384</v>
      </c>
      <c r="G511" s="27">
        <f>0.01*1.5</f>
        <v>1.4999999999999999E-2</v>
      </c>
      <c r="H511" s="215">
        <v>2</v>
      </c>
      <c r="I511" s="27">
        <f t="shared" si="147"/>
        <v>11.583</v>
      </c>
      <c r="J511" s="215">
        <v>4</v>
      </c>
      <c r="K511" s="27">
        <v>279.92</v>
      </c>
      <c r="L511" s="241"/>
      <c r="M511" s="28">
        <f t="shared" si="124"/>
        <v>3242.3133600000001</v>
      </c>
      <c r="N511" s="487" t="s">
        <v>394</v>
      </c>
      <c r="O511" s="489">
        <v>2</v>
      </c>
      <c r="P511" s="489">
        <v>2629</v>
      </c>
      <c r="Q511" s="560">
        <f t="shared" si="144"/>
        <v>5258</v>
      </c>
    </row>
    <row r="512" spans="1:17" x14ac:dyDescent="0.25">
      <c r="A512" s="496"/>
      <c r="B512" s="497"/>
      <c r="C512" s="501"/>
      <c r="D512" s="504"/>
      <c r="E512" s="500"/>
      <c r="F512" s="215" t="s">
        <v>386</v>
      </c>
      <c r="G512" s="223">
        <f>G511*0.1</f>
        <v>1.5E-3</v>
      </c>
      <c r="H512" s="215">
        <v>10</v>
      </c>
      <c r="I512" s="27">
        <f t="shared" si="147"/>
        <v>5.7915000000000001</v>
      </c>
      <c r="J512" s="215">
        <v>4</v>
      </c>
      <c r="K512" s="27">
        <v>279.92</v>
      </c>
      <c r="L512" s="241"/>
      <c r="M512" s="28">
        <f t="shared" si="124"/>
        <v>1621.1566800000001</v>
      </c>
      <c r="N512" s="488"/>
      <c r="O512" s="490"/>
      <c r="P512" s="490"/>
      <c r="Q512" s="561">
        <f t="shared" si="144"/>
        <v>0</v>
      </c>
    </row>
    <row r="513" spans="1:17" x14ac:dyDescent="0.25">
      <c r="A513" s="496"/>
      <c r="B513" s="497"/>
      <c r="C513" s="501" t="s">
        <v>783</v>
      </c>
      <c r="D513" s="504" t="s">
        <v>869</v>
      </c>
      <c r="E513" s="500">
        <v>45</v>
      </c>
      <c r="F513" s="215" t="s">
        <v>384</v>
      </c>
      <c r="G513" s="27">
        <f>0.01*1.5</f>
        <v>1.4999999999999999E-2</v>
      </c>
      <c r="H513" s="215">
        <v>2</v>
      </c>
      <c r="I513" s="27">
        <f t="shared" si="147"/>
        <v>11.583</v>
      </c>
      <c r="J513" s="215">
        <v>4</v>
      </c>
      <c r="K513" s="27">
        <v>279.92</v>
      </c>
      <c r="L513" s="241"/>
      <c r="M513" s="28">
        <f t="shared" si="124"/>
        <v>3242.3133600000001</v>
      </c>
      <c r="N513" s="487" t="s">
        <v>394</v>
      </c>
      <c r="O513" s="489">
        <v>2</v>
      </c>
      <c r="P513" s="489">
        <v>2629</v>
      </c>
      <c r="Q513" s="560">
        <f t="shared" si="144"/>
        <v>5258</v>
      </c>
    </row>
    <row r="514" spans="1:17" x14ac:dyDescent="0.25">
      <c r="A514" s="496"/>
      <c r="B514" s="497"/>
      <c r="C514" s="501"/>
      <c r="D514" s="504"/>
      <c r="E514" s="500"/>
      <c r="F514" s="215" t="s">
        <v>386</v>
      </c>
      <c r="G514" s="223">
        <f>G513*0.1</f>
        <v>1.5E-3</v>
      </c>
      <c r="H514" s="215">
        <v>10</v>
      </c>
      <c r="I514" s="27">
        <f t="shared" si="147"/>
        <v>5.7915000000000001</v>
      </c>
      <c r="J514" s="215">
        <v>4</v>
      </c>
      <c r="K514" s="27">
        <v>279.92</v>
      </c>
      <c r="L514" s="241"/>
      <c r="M514" s="28">
        <f t="shared" si="124"/>
        <v>1621.1566800000001</v>
      </c>
      <c r="N514" s="488"/>
      <c r="O514" s="490"/>
      <c r="P514" s="490"/>
      <c r="Q514" s="561">
        <f t="shared" si="144"/>
        <v>0</v>
      </c>
    </row>
    <row r="515" spans="1:17" x14ac:dyDescent="0.25">
      <c r="A515" s="496"/>
      <c r="B515" s="497"/>
      <c r="C515" s="501" t="s">
        <v>784</v>
      </c>
      <c r="D515" s="504" t="s">
        <v>869</v>
      </c>
      <c r="E515" s="500">
        <v>45</v>
      </c>
      <c r="F515" s="215" t="s">
        <v>384</v>
      </c>
      <c r="G515" s="27">
        <f>0.01*1.5</f>
        <v>1.4999999999999999E-2</v>
      </c>
      <c r="H515" s="215">
        <v>2</v>
      </c>
      <c r="I515" s="27">
        <f>G515*H515*1.1*351</f>
        <v>11.583</v>
      </c>
      <c r="J515" s="215">
        <v>4</v>
      </c>
      <c r="K515" s="27">
        <v>279.92</v>
      </c>
      <c r="L515" s="241"/>
      <c r="M515" s="28">
        <f t="shared" si="124"/>
        <v>3242.3133600000001</v>
      </c>
      <c r="N515" s="487" t="s">
        <v>394</v>
      </c>
      <c r="O515" s="489">
        <v>2</v>
      </c>
      <c r="P515" s="489">
        <v>2629</v>
      </c>
      <c r="Q515" s="560">
        <f t="shared" si="144"/>
        <v>5258</v>
      </c>
    </row>
    <row r="516" spans="1:17" x14ac:dyDescent="0.25">
      <c r="A516" s="496"/>
      <c r="B516" s="497"/>
      <c r="C516" s="501"/>
      <c r="D516" s="504"/>
      <c r="E516" s="500"/>
      <c r="F516" s="215" t="s">
        <v>386</v>
      </c>
      <c r="G516" s="223">
        <f>G515*0.1</f>
        <v>1.5E-3</v>
      </c>
      <c r="H516" s="215">
        <v>10</v>
      </c>
      <c r="I516" s="27">
        <f t="shared" si="147"/>
        <v>5.7915000000000001</v>
      </c>
      <c r="J516" s="215">
        <v>4</v>
      </c>
      <c r="K516" s="27">
        <v>279.92</v>
      </c>
      <c r="L516" s="241"/>
      <c r="M516" s="28">
        <f t="shared" si="124"/>
        <v>1621.1566800000001</v>
      </c>
      <c r="N516" s="488"/>
      <c r="O516" s="490"/>
      <c r="P516" s="490"/>
      <c r="Q516" s="561">
        <f t="shared" si="144"/>
        <v>0</v>
      </c>
    </row>
    <row r="517" spans="1:17" x14ac:dyDescent="0.25">
      <c r="A517" s="496"/>
      <c r="B517" s="497"/>
      <c r="C517" s="501" t="s">
        <v>785</v>
      </c>
      <c r="D517" s="504" t="s">
        <v>869</v>
      </c>
      <c r="E517" s="500">
        <v>45</v>
      </c>
      <c r="F517" s="215" t="s">
        <v>384</v>
      </c>
      <c r="G517" s="27">
        <f>0.01*1.5</f>
        <v>1.4999999999999999E-2</v>
      </c>
      <c r="H517" s="215">
        <v>2</v>
      </c>
      <c r="I517" s="27">
        <f>G517*H517*1.1*351</f>
        <v>11.583</v>
      </c>
      <c r="J517" s="215">
        <v>4</v>
      </c>
      <c r="K517" s="27">
        <v>279.92</v>
      </c>
      <c r="L517" s="241"/>
      <c r="M517" s="28">
        <f t="shared" si="124"/>
        <v>3242.3133600000001</v>
      </c>
      <c r="N517" s="487" t="s">
        <v>396</v>
      </c>
      <c r="O517" s="489">
        <v>2</v>
      </c>
      <c r="P517" s="489">
        <v>3086</v>
      </c>
      <c r="Q517" s="560">
        <f t="shared" si="144"/>
        <v>6172</v>
      </c>
    </row>
    <row r="518" spans="1:17" x14ac:dyDescent="0.25">
      <c r="A518" s="496"/>
      <c r="B518" s="497"/>
      <c r="C518" s="501"/>
      <c r="D518" s="504"/>
      <c r="E518" s="500"/>
      <c r="F518" s="215" t="s">
        <v>386</v>
      </c>
      <c r="G518" s="223">
        <f>G517*0.1</f>
        <v>1.5E-3</v>
      </c>
      <c r="H518" s="215">
        <v>10</v>
      </c>
      <c r="I518" s="27">
        <f t="shared" ref="I518" si="148">G518*H518*1.1*351</f>
        <v>5.7915000000000001</v>
      </c>
      <c r="J518" s="215">
        <v>4</v>
      </c>
      <c r="K518" s="27">
        <v>279.92</v>
      </c>
      <c r="L518" s="241"/>
      <c r="M518" s="28">
        <f t="shared" ref="M518:M565" si="149">I518*K518</f>
        <v>1621.1566800000001</v>
      </c>
      <c r="N518" s="488"/>
      <c r="O518" s="490"/>
      <c r="P518" s="490"/>
      <c r="Q518" s="561">
        <f t="shared" si="144"/>
        <v>0</v>
      </c>
    </row>
    <row r="519" spans="1:17" x14ac:dyDescent="0.25">
      <c r="A519" s="496"/>
      <c r="B519" s="497"/>
      <c r="C519" s="501" t="s">
        <v>870</v>
      </c>
      <c r="D519" s="504" t="s">
        <v>401</v>
      </c>
      <c r="E519" s="500">
        <v>2.2000000000000002</v>
      </c>
      <c r="F519" s="215" t="s">
        <v>384</v>
      </c>
      <c r="G519" s="27">
        <f>0.002*1.5</f>
        <v>3.0000000000000001E-3</v>
      </c>
      <c r="H519" s="215">
        <v>2</v>
      </c>
      <c r="I519" s="27">
        <f>G519*H519*1.1*351</f>
        <v>2.3166000000000002</v>
      </c>
      <c r="J519" s="215">
        <v>4</v>
      </c>
      <c r="K519" s="27">
        <v>279.92</v>
      </c>
      <c r="L519" s="241"/>
      <c r="M519" s="28">
        <f t="shared" si="149"/>
        <v>648.46267200000011</v>
      </c>
      <c r="N519" s="219" t="s">
        <v>402</v>
      </c>
      <c r="O519" s="215">
        <v>1</v>
      </c>
      <c r="P519" s="215">
        <v>931</v>
      </c>
      <c r="Q519" s="378">
        <f t="shared" si="144"/>
        <v>931</v>
      </c>
    </row>
    <row r="520" spans="1:17" x14ac:dyDescent="0.25">
      <c r="A520" s="496"/>
      <c r="B520" s="497"/>
      <c r="C520" s="501"/>
      <c r="D520" s="504"/>
      <c r="E520" s="500"/>
      <c r="F520" s="215" t="s">
        <v>386</v>
      </c>
      <c r="G520" s="223">
        <f>G519*0.1</f>
        <v>3.0000000000000003E-4</v>
      </c>
      <c r="H520" s="215">
        <v>10</v>
      </c>
      <c r="I520" s="27">
        <f t="shared" ref="I520" si="150">G520*H520*1.1*351</f>
        <v>1.1583000000000001</v>
      </c>
      <c r="J520" s="215">
        <v>4</v>
      </c>
      <c r="K520" s="27">
        <v>279.92</v>
      </c>
      <c r="L520" s="241"/>
      <c r="M520" s="28">
        <f t="shared" si="149"/>
        <v>324.23133600000006</v>
      </c>
      <c r="N520" s="219" t="s">
        <v>399</v>
      </c>
      <c r="O520" s="215">
        <v>1</v>
      </c>
      <c r="P520" s="215">
        <v>931</v>
      </c>
      <c r="Q520" s="378">
        <f t="shared" si="144"/>
        <v>931</v>
      </c>
    </row>
    <row r="521" spans="1:17" x14ac:dyDescent="0.25">
      <c r="A521" s="496"/>
      <c r="B521" s="497"/>
      <c r="C521" s="501" t="s">
        <v>871</v>
      </c>
      <c r="D521" s="504" t="s">
        <v>401</v>
      </c>
      <c r="E521" s="500">
        <v>2.2000000000000002</v>
      </c>
      <c r="F521" s="215" t="s">
        <v>384</v>
      </c>
      <c r="G521" s="27">
        <f>0.002*1.5</f>
        <v>3.0000000000000001E-3</v>
      </c>
      <c r="H521" s="215">
        <v>2</v>
      </c>
      <c r="I521" s="27">
        <f>G521*H521*1.1*351</f>
        <v>2.3166000000000002</v>
      </c>
      <c r="J521" s="215">
        <v>4</v>
      </c>
      <c r="K521" s="27">
        <v>279.92</v>
      </c>
      <c r="L521" s="241"/>
      <c r="M521" s="28">
        <f t="shared" si="149"/>
        <v>648.46267200000011</v>
      </c>
      <c r="N521" s="219" t="s">
        <v>402</v>
      </c>
      <c r="O521" s="215">
        <v>1</v>
      </c>
      <c r="P521" s="215">
        <v>931</v>
      </c>
      <c r="Q521" s="378">
        <f t="shared" si="144"/>
        <v>931</v>
      </c>
    </row>
    <row r="522" spans="1:17" x14ac:dyDescent="0.25">
      <c r="A522" s="496"/>
      <c r="B522" s="497"/>
      <c r="C522" s="501"/>
      <c r="D522" s="504"/>
      <c r="E522" s="500"/>
      <c r="F522" s="215" t="s">
        <v>386</v>
      </c>
      <c r="G522" s="223">
        <f>G521*0.1</f>
        <v>3.0000000000000003E-4</v>
      </c>
      <c r="H522" s="215">
        <v>10</v>
      </c>
      <c r="I522" s="27">
        <f t="shared" ref="I522" si="151">G522*H522*1.1*351</f>
        <v>1.1583000000000001</v>
      </c>
      <c r="J522" s="215">
        <v>4</v>
      </c>
      <c r="K522" s="27">
        <v>279.92</v>
      </c>
      <c r="L522" s="241"/>
      <c r="M522" s="28">
        <f t="shared" si="149"/>
        <v>324.23133600000006</v>
      </c>
      <c r="N522" s="219" t="s">
        <v>399</v>
      </c>
      <c r="O522" s="215">
        <v>1</v>
      </c>
      <c r="P522" s="215">
        <v>931</v>
      </c>
      <c r="Q522" s="378">
        <f t="shared" si="144"/>
        <v>931</v>
      </c>
    </row>
    <row r="523" spans="1:17" x14ac:dyDescent="0.25">
      <c r="A523" s="496"/>
      <c r="B523" s="497"/>
      <c r="C523" s="501" t="s">
        <v>872</v>
      </c>
      <c r="D523" s="504" t="s">
        <v>401</v>
      </c>
      <c r="E523" s="500">
        <v>2.2000000000000002</v>
      </c>
      <c r="F523" s="215" t="s">
        <v>384</v>
      </c>
      <c r="G523" s="27">
        <f>0.002*1.5</f>
        <v>3.0000000000000001E-3</v>
      </c>
      <c r="H523" s="215">
        <v>2</v>
      </c>
      <c r="I523" s="27">
        <f>G523*H523*1.1*351</f>
        <v>2.3166000000000002</v>
      </c>
      <c r="J523" s="215">
        <v>4</v>
      </c>
      <c r="K523" s="27">
        <v>279.92</v>
      </c>
      <c r="L523" s="241"/>
      <c r="M523" s="28">
        <f t="shared" si="149"/>
        <v>648.46267200000011</v>
      </c>
      <c r="N523" s="219" t="s">
        <v>402</v>
      </c>
      <c r="O523" s="215">
        <v>1</v>
      </c>
      <c r="P523" s="215">
        <v>931</v>
      </c>
      <c r="Q523" s="378">
        <f t="shared" si="144"/>
        <v>931</v>
      </c>
    </row>
    <row r="524" spans="1:17" x14ac:dyDescent="0.25">
      <c r="A524" s="496"/>
      <c r="B524" s="497"/>
      <c r="C524" s="501"/>
      <c r="D524" s="504"/>
      <c r="E524" s="500"/>
      <c r="F524" s="215" t="s">
        <v>386</v>
      </c>
      <c r="G524" s="223">
        <f>G523*0.1</f>
        <v>3.0000000000000003E-4</v>
      </c>
      <c r="H524" s="215">
        <v>10</v>
      </c>
      <c r="I524" s="27">
        <f t="shared" ref="I524" si="152">G524*H524*1.1*351</f>
        <v>1.1583000000000001</v>
      </c>
      <c r="J524" s="215">
        <v>4</v>
      </c>
      <c r="K524" s="27">
        <v>279.92</v>
      </c>
      <c r="L524" s="241"/>
      <c r="M524" s="28">
        <f t="shared" si="149"/>
        <v>324.23133600000006</v>
      </c>
      <c r="N524" s="219" t="s">
        <v>399</v>
      </c>
      <c r="O524" s="215">
        <v>1</v>
      </c>
      <c r="P524" s="215">
        <v>931</v>
      </c>
      <c r="Q524" s="378">
        <f t="shared" si="144"/>
        <v>931</v>
      </c>
    </row>
    <row r="525" spans="1:17" x14ac:dyDescent="0.25">
      <c r="A525" s="496"/>
      <c r="B525" s="497"/>
      <c r="C525" s="502" t="s">
        <v>813</v>
      </c>
      <c r="D525" s="502" t="s">
        <v>873</v>
      </c>
      <c r="E525" s="500">
        <v>2.2000000000000002</v>
      </c>
      <c r="F525" s="215" t="s">
        <v>384</v>
      </c>
      <c r="G525" s="27">
        <f>0.002*1.5</f>
        <v>3.0000000000000001E-3</v>
      </c>
      <c r="H525" s="215">
        <v>2</v>
      </c>
      <c r="I525" s="27">
        <f>G525*H525*1.1*351</f>
        <v>2.3166000000000002</v>
      </c>
      <c r="J525" s="215">
        <v>4</v>
      </c>
      <c r="K525" s="27">
        <v>279.92</v>
      </c>
      <c r="L525" s="241"/>
      <c r="M525" s="28">
        <f t="shared" si="149"/>
        <v>648.46267200000011</v>
      </c>
      <c r="N525" s="219" t="s">
        <v>402</v>
      </c>
      <c r="O525" s="215">
        <v>1</v>
      </c>
      <c r="P525" s="215">
        <v>931</v>
      </c>
      <c r="Q525" s="378">
        <f t="shared" si="144"/>
        <v>931</v>
      </c>
    </row>
    <row r="526" spans="1:17" x14ac:dyDescent="0.25">
      <c r="A526" s="496"/>
      <c r="B526" s="497"/>
      <c r="C526" s="503"/>
      <c r="D526" s="503"/>
      <c r="E526" s="500"/>
      <c r="F526" s="215" t="s">
        <v>386</v>
      </c>
      <c r="G526" s="223">
        <f>G525*0.1</f>
        <v>3.0000000000000003E-4</v>
      </c>
      <c r="H526" s="215">
        <v>10</v>
      </c>
      <c r="I526" s="27">
        <f t="shared" ref="I526" si="153">G526*H526*1.1*351</f>
        <v>1.1583000000000001</v>
      </c>
      <c r="J526" s="215">
        <v>4</v>
      </c>
      <c r="K526" s="27">
        <v>279.92</v>
      </c>
      <c r="L526" s="241"/>
      <c r="M526" s="28">
        <f t="shared" si="149"/>
        <v>324.23133600000006</v>
      </c>
      <c r="N526" s="219" t="s">
        <v>399</v>
      </c>
      <c r="O526" s="215">
        <v>1</v>
      </c>
      <c r="P526" s="215">
        <v>931</v>
      </c>
      <c r="Q526" s="378">
        <f t="shared" si="144"/>
        <v>931</v>
      </c>
    </row>
    <row r="527" spans="1:17" x14ac:dyDescent="0.25">
      <c r="A527" s="496"/>
      <c r="B527" s="497"/>
      <c r="C527" s="502" t="s">
        <v>815</v>
      </c>
      <c r="D527" s="502" t="s">
        <v>873</v>
      </c>
      <c r="E527" s="500">
        <v>2.2000000000000002</v>
      </c>
      <c r="F527" s="215" t="s">
        <v>384</v>
      </c>
      <c r="G527" s="27">
        <f>0.002*1.5</f>
        <v>3.0000000000000001E-3</v>
      </c>
      <c r="H527" s="215">
        <v>2</v>
      </c>
      <c r="I527" s="27">
        <f>G527*H527*1.1*351</f>
        <v>2.3166000000000002</v>
      </c>
      <c r="J527" s="215">
        <v>4</v>
      </c>
      <c r="K527" s="27">
        <v>279.92</v>
      </c>
      <c r="L527" s="241"/>
      <c r="M527" s="28">
        <f t="shared" si="149"/>
        <v>648.46267200000011</v>
      </c>
      <c r="N527" s="219" t="s">
        <v>402</v>
      </c>
      <c r="O527" s="215">
        <v>1</v>
      </c>
      <c r="P527" s="215">
        <v>931</v>
      </c>
      <c r="Q527" s="378">
        <f t="shared" si="144"/>
        <v>931</v>
      </c>
    </row>
    <row r="528" spans="1:17" x14ac:dyDescent="0.25">
      <c r="A528" s="496"/>
      <c r="B528" s="497"/>
      <c r="C528" s="503"/>
      <c r="D528" s="503"/>
      <c r="E528" s="500"/>
      <c r="F528" s="215" t="s">
        <v>386</v>
      </c>
      <c r="G528" s="223">
        <f>G527*0.1</f>
        <v>3.0000000000000003E-4</v>
      </c>
      <c r="H528" s="215">
        <v>10</v>
      </c>
      <c r="I528" s="27">
        <f t="shared" ref="I528" si="154">G528*H528*1.1*351</f>
        <v>1.1583000000000001</v>
      </c>
      <c r="J528" s="215">
        <v>4</v>
      </c>
      <c r="K528" s="27">
        <v>279.92</v>
      </c>
      <c r="L528" s="241"/>
      <c r="M528" s="28">
        <f t="shared" si="149"/>
        <v>324.23133600000006</v>
      </c>
      <c r="N528" s="219" t="s">
        <v>399</v>
      </c>
      <c r="O528" s="215">
        <v>1</v>
      </c>
      <c r="P528" s="215">
        <v>931</v>
      </c>
      <c r="Q528" s="378">
        <f t="shared" si="144"/>
        <v>931</v>
      </c>
    </row>
    <row r="529" spans="1:17" x14ac:dyDescent="0.25">
      <c r="A529" s="496"/>
      <c r="B529" s="497"/>
      <c r="C529" s="502" t="s">
        <v>874</v>
      </c>
      <c r="D529" s="502" t="s">
        <v>873</v>
      </c>
      <c r="E529" s="500">
        <v>2.2000000000000002</v>
      </c>
      <c r="F529" s="215" t="s">
        <v>384</v>
      </c>
      <c r="G529" s="27">
        <f>0.002*1.5</f>
        <v>3.0000000000000001E-3</v>
      </c>
      <c r="H529" s="215">
        <v>2</v>
      </c>
      <c r="I529" s="27">
        <f>G529*H529*1.1*351</f>
        <v>2.3166000000000002</v>
      </c>
      <c r="J529" s="215">
        <v>4</v>
      </c>
      <c r="K529" s="27">
        <v>279.92</v>
      </c>
      <c r="L529" s="241"/>
      <c r="M529" s="28">
        <f t="shared" si="149"/>
        <v>648.46267200000011</v>
      </c>
      <c r="N529" s="219" t="s">
        <v>402</v>
      </c>
      <c r="O529" s="215">
        <v>1</v>
      </c>
      <c r="P529" s="215">
        <v>931</v>
      </c>
      <c r="Q529" s="378">
        <f t="shared" si="144"/>
        <v>931</v>
      </c>
    </row>
    <row r="530" spans="1:17" x14ac:dyDescent="0.25">
      <c r="A530" s="496"/>
      <c r="B530" s="497"/>
      <c r="C530" s="503"/>
      <c r="D530" s="503"/>
      <c r="E530" s="500"/>
      <c r="F530" s="215" t="s">
        <v>386</v>
      </c>
      <c r="G530" s="223">
        <f>G529*0.1</f>
        <v>3.0000000000000003E-4</v>
      </c>
      <c r="H530" s="215">
        <v>10</v>
      </c>
      <c r="I530" s="27">
        <f t="shared" ref="I530" si="155">G530*H530*1.1*351</f>
        <v>1.1583000000000001</v>
      </c>
      <c r="J530" s="215">
        <v>4</v>
      </c>
      <c r="K530" s="27">
        <v>279.92</v>
      </c>
      <c r="L530" s="241"/>
      <c r="M530" s="28">
        <f t="shared" si="149"/>
        <v>324.23133600000006</v>
      </c>
      <c r="N530" s="219" t="s">
        <v>399</v>
      </c>
      <c r="O530" s="215">
        <v>1</v>
      </c>
      <c r="P530" s="215">
        <v>931</v>
      </c>
      <c r="Q530" s="378">
        <f t="shared" si="144"/>
        <v>931</v>
      </c>
    </row>
    <row r="531" spans="1:17" x14ac:dyDescent="0.25">
      <c r="A531" s="496"/>
      <c r="B531" s="497"/>
      <c r="C531" s="502" t="s">
        <v>875</v>
      </c>
      <c r="D531" s="502" t="s">
        <v>873</v>
      </c>
      <c r="E531" s="500">
        <v>2.2000000000000002</v>
      </c>
      <c r="F531" s="215" t="s">
        <v>384</v>
      </c>
      <c r="G531" s="27">
        <f>0.002*1.5</f>
        <v>3.0000000000000001E-3</v>
      </c>
      <c r="H531" s="215">
        <v>2</v>
      </c>
      <c r="I531" s="27">
        <f>G531*H531*1.1*351</f>
        <v>2.3166000000000002</v>
      </c>
      <c r="J531" s="215">
        <v>4</v>
      </c>
      <c r="K531" s="27">
        <v>279.92</v>
      </c>
      <c r="L531" s="241"/>
      <c r="M531" s="28">
        <f t="shared" si="149"/>
        <v>648.46267200000011</v>
      </c>
      <c r="N531" s="219" t="s">
        <v>402</v>
      </c>
      <c r="O531" s="215">
        <v>1</v>
      </c>
      <c r="P531" s="215">
        <v>931</v>
      </c>
      <c r="Q531" s="378">
        <f t="shared" si="144"/>
        <v>931</v>
      </c>
    </row>
    <row r="532" spans="1:17" x14ac:dyDescent="0.25">
      <c r="A532" s="496"/>
      <c r="B532" s="497"/>
      <c r="C532" s="503"/>
      <c r="D532" s="503"/>
      <c r="E532" s="500"/>
      <c r="F532" s="215" t="s">
        <v>386</v>
      </c>
      <c r="G532" s="223">
        <f>G531*0.1</f>
        <v>3.0000000000000003E-4</v>
      </c>
      <c r="H532" s="215">
        <v>10</v>
      </c>
      <c r="I532" s="27">
        <f t="shared" ref="I532" si="156">G532*H532*1.1*351</f>
        <v>1.1583000000000001</v>
      </c>
      <c r="J532" s="215">
        <v>4</v>
      </c>
      <c r="K532" s="27">
        <v>279.92</v>
      </c>
      <c r="L532" s="241"/>
      <c r="M532" s="28">
        <f t="shared" si="149"/>
        <v>324.23133600000006</v>
      </c>
      <c r="N532" s="219" t="s">
        <v>399</v>
      </c>
      <c r="O532" s="215">
        <v>1</v>
      </c>
      <c r="P532" s="215">
        <v>931</v>
      </c>
      <c r="Q532" s="378">
        <f t="shared" si="144"/>
        <v>931</v>
      </c>
    </row>
    <row r="533" spans="1:17" ht="15.75" customHeight="1" x14ac:dyDescent="0.25">
      <c r="A533" s="496"/>
      <c r="B533" s="497"/>
      <c r="C533" s="514" t="s">
        <v>876</v>
      </c>
      <c r="D533" s="510" t="s">
        <v>877</v>
      </c>
      <c r="E533" s="500"/>
      <c r="F533" s="215" t="s">
        <v>384</v>
      </c>
      <c r="G533" s="27">
        <f>0.001*22*1.6</f>
        <v>3.5200000000000002E-2</v>
      </c>
      <c r="H533" s="215">
        <v>1</v>
      </c>
      <c r="I533" s="27">
        <f>G533*H533*1.1*351</f>
        <v>13.590720000000001</v>
      </c>
      <c r="J533" s="215">
        <v>4</v>
      </c>
      <c r="K533" s="27">
        <v>279.92</v>
      </c>
      <c r="L533" s="241"/>
      <c r="M533" s="28">
        <f>I533*K533</f>
        <v>3804.3143424000004</v>
      </c>
      <c r="N533" s="487" t="s">
        <v>1016</v>
      </c>
      <c r="O533" s="489">
        <v>4</v>
      </c>
      <c r="P533" s="489">
        <v>60.7</v>
      </c>
      <c r="Q533" s="560">
        <f t="shared" si="144"/>
        <v>242.8</v>
      </c>
    </row>
    <row r="534" spans="1:17" x14ac:dyDescent="0.25">
      <c r="A534" s="496"/>
      <c r="B534" s="497"/>
      <c r="C534" s="514"/>
      <c r="D534" s="510"/>
      <c r="E534" s="500"/>
      <c r="F534" s="215" t="s">
        <v>386</v>
      </c>
      <c r="G534" s="223">
        <f>G533*0.1</f>
        <v>3.5200000000000006E-3</v>
      </c>
      <c r="H534" s="215">
        <v>11</v>
      </c>
      <c r="I534" s="27">
        <f t="shared" ref="I534" si="157">G534*H534*1.1*351</f>
        <v>14.949792000000002</v>
      </c>
      <c r="J534" s="215">
        <v>4</v>
      </c>
      <c r="K534" s="27">
        <v>279.92</v>
      </c>
      <c r="L534" s="241"/>
      <c r="M534" s="28">
        <f t="shared" si="149"/>
        <v>4184.7457766400012</v>
      </c>
      <c r="N534" s="488"/>
      <c r="O534" s="490"/>
      <c r="P534" s="490"/>
      <c r="Q534" s="561">
        <f t="shared" si="144"/>
        <v>0</v>
      </c>
    </row>
    <row r="535" spans="1:17" ht="15.75" customHeight="1" x14ac:dyDescent="0.25">
      <c r="A535" s="496"/>
      <c r="B535" s="497"/>
      <c r="C535" s="514" t="s">
        <v>878</v>
      </c>
      <c r="D535" s="510" t="s">
        <v>879</v>
      </c>
      <c r="E535" s="500"/>
      <c r="F535" s="215" t="s">
        <v>384</v>
      </c>
      <c r="G535" s="27">
        <f>0.003*2*1.6</f>
        <v>9.6000000000000009E-3</v>
      </c>
      <c r="H535" s="215">
        <v>1</v>
      </c>
      <c r="I535" s="27">
        <f>G535*H535*1.1*351</f>
        <v>3.7065600000000005</v>
      </c>
      <c r="J535" s="215">
        <v>4</v>
      </c>
      <c r="K535" s="27">
        <v>279.92</v>
      </c>
      <c r="L535" s="241"/>
      <c r="M535" s="28">
        <f t="shared" si="149"/>
        <v>1037.5402752000002</v>
      </c>
      <c r="N535" s="487" t="s">
        <v>1016</v>
      </c>
      <c r="O535" s="489">
        <v>1</v>
      </c>
      <c r="P535" s="489">
        <v>60.7</v>
      </c>
      <c r="Q535" s="560">
        <f t="shared" si="144"/>
        <v>60.7</v>
      </c>
    </row>
    <row r="536" spans="1:17" x14ac:dyDescent="0.25">
      <c r="A536" s="496"/>
      <c r="B536" s="497"/>
      <c r="C536" s="514"/>
      <c r="D536" s="510"/>
      <c r="E536" s="500"/>
      <c r="F536" s="215" t="s">
        <v>386</v>
      </c>
      <c r="G536" s="223">
        <f>G535*0.1</f>
        <v>9.6000000000000013E-4</v>
      </c>
      <c r="H536" s="215">
        <v>11</v>
      </c>
      <c r="I536" s="27">
        <f t="shared" ref="I536" si="158">G536*H536*1.1*351</f>
        <v>4.0772160000000008</v>
      </c>
      <c r="J536" s="215">
        <v>4</v>
      </c>
      <c r="K536" s="27">
        <v>279.92</v>
      </c>
      <c r="L536" s="241"/>
      <c r="M536" s="28">
        <f t="shared" si="149"/>
        <v>1141.2943027200004</v>
      </c>
      <c r="N536" s="488"/>
      <c r="O536" s="490"/>
      <c r="P536" s="490"/>
      <c r="Q536" s="561">
        <f t="shared" si="144"/>
        <v>0</v>
      </c>
    </row>
    <row r="537" spans="1:17" ht="15.75" customHeight="1" x14ac:dyDescent="0.25">
      <c r="A537" s="496"/>
      <c r="B537" s="497"/>
      <c r="C537" s="514" t="s">
        <v>880</v>
      </c>
      <c r="D537" s="515"/>
      <c r="E537" s="231"/>
      <c r="F537" s="215" t="s">
        <v>384</v>
      </c>
      <c r="G537" s="27">
        <f>0.001*4*1.6</f>
        <v>6.4000000000000003E-3</v>
      </c>
      <c r="H537" s="215">
        <v>1</v>
      </c>
      <c r="I537" s="27">
        <f>G537*H537*1.1*351</f>
        <v>2.4710400000000003</v>
      </c>
      <c r="J537" s="215">
        <v>4</v>
      </c>
      <c r="K537" s="27">
        <v>279.92</v>
      </c>
      <c r="L537" s="241"/>
      <c r="M537" s="28">
        <f t="shared" si="149"/>
        <v>691.69351680000011</v>
      </c>
      <c r="N537" s="487" t="s">
        <v>1016</v>
      </c>
      <c r="O537" s="489">
        <v>1</v>
      </c>
      <c r="P537" s="489">
        <v>60.7</v>
      </c>
      <c r="Q537" s="560">
        <f t="shared" si="144"/>
        <v>60.7</v>
      </c>
    </row>
    <row r="538" spans="1:17" x14ac:dyDescent="0.25">
      <c r="A538" s="496"/>
      <c r="B538" s="497"/>
      <c r="C538" s="514"/>
      <c r="D538" s="515"/>
      <c r="E538" s="231"/>
      <c r="F538" s="215" t="s">
        <v>386</v>
      </c>
      <c r="G538" s="223">
        <f>G537*0.1</f>
        <v>6.4000000000000005E-4</v>
      </c>
      <c r="H538" s="215">
        <v>11</v>
      </c>
      <c r="I538" s="27">
        <f t="shared" ref="I538" si="159">G538*H538*1.1*351</f>
        <v>2.7181440000000001</v>
      </c>
      <c r="J538" s="215">
        <v>4</v>
      </c>
      <c r="K538" s="27">
        <v>279.92</v>
      </c>
      <c r="L538" s="241"/>
      <c r="M538" s="28">
        <f t="shared" si="149"/>
        <v>760.86286848000009</v>
      </c>
      <c r="N538" s="488"/>
      <c r="O538" s="490"/>
      <c r="P538" s="490"/>
      <c r="Q538" s="561">
        <f t="shared" si="144"/>
        <v>0</v>
      </c>
    </row>
    <row r="539" spans="1:17" ht="15.75" customHeight="1" x14ac:dyDescent="0.25">
      <c r="A539" s="496"/>
      <c r="B539" s="497"/>
      <c r="C539" s="501" t="s">
        <v>881</v>
      </c>
      <c r="D539" s="515"/>
      <c r="E539" s="500"/>
      <c r="F539" s="215" t="s">
        <v>384</v>
      </c>
      <c r="G539" s="27">
        <f>0.006*1.6</f>
        <v>9.6000000000000009E-3</v>
      </c>
      <c r="H539" s="215">
        <v>1</v>
      </c>
      <c r="I539" s="27">
        <f>G539*H539*1.1*351</f>
        <v>3.7065600000000005</v>
      </c>
      <c r="J539" s="215">
        <v>4</v>
      </c>
      <c r="K539" s="27">
        <v>279.92</v>
      </c>
      <c r="L539" s="241"/>
      <c r="M539" s="28">
        <f t="shared" si="149"/>
        <v>1037.5402752000002</v>
      </c>
      <c r="N539" s="487" t="s">
        <v>415</v>
      </c>
      <c r="O539" s="489">
        <v>7</v>
      </c>
      <c r="P539" s="489">
        <v>145.88999999999999</v>
      </c>
      <c r="Q539" s="560">
        <f t="shared" si="144"/>
        <v>1021.2299999999999</v>
      </c>
    </row>
    <row r="540" spans="1:17" x14ac:dyDescent="0.25">
      <c r="A540" s="496"/>
      <c r="B540" s="497"/>
      <c r="C540" s="501"/>
      <c r="D540" s="515"/>
      <c r="E540" s="500"/>
      <c r="F540" s="215" t="s">
        <v>386</v>
      </c>
      <c r="G540" s="223">
        <f>G539*0.1</f>
        <v>9.6000000000000013E-4</v>
      </c>
      <c r="H540" s="215">
        <v>11</v>
      </c>
      <c r="I540" s="27">
        <f t="shared" ref="I540:I544" si="160">G540*H540*1.1*351</f>
        <v>4.0772160000000008</v>
      </c>
      <c r="J540" s="215">
        <v>4</v>
      </c>
      <c r="K540" s="27">
        <v>279.92</v>
      </c>
      <c r="L540" s="241"/>
      <c r="M540" s="28">
        <f t="shared" si="149"/>
        <v>1141.2943027200004</v>
      </c>
      <c r="N540" s="488"/>
      <c r="O540" s="490"/>
      <c r="P540" s="490"/>
      <c r="Q540" s="561">
        <f t="shared" si="144"/>
        <v>0</v>
      </c>
    </row>
    <row r="541" spans="1:17" ht="15.75" customHeight="1" x14ac:dyDescent="0.25">
      <c r="A541" s="496"/>
      <c r="B541" s="497"/>
      <c r="C541" s="501" t="s">
        <v>882</v>
      </c>
      <c r="D541" s="510" t="s">
        <v>412</v>
      </c>
      <c r="E541" s="500"/>
      <c r="F541" s="215" t="s">
        <v>384</v>
      </c>
      <c r="G541" s="223">
        <f>0.006*11</f>
        <v>6.6000000000000003E-2</v>
      </c>
      <c r="H541" s="215">
        <v>2</v>
      </c>
      <c r="I541" s="27">
        <f t="shared" si="160"/>
        <v>50.96520000000001</v>
      </c>
      <c r="J541" s="215">
        <v>5</v>
      </c>
      <c r="K541" s="27">
        <v>297.57</v>
      </c>
      <c r="L541" s="241"/>
      <c r="M541" s="28">
        <f t="shared" si="149"/>
        <v>15165.714564000004</v>
      </c>
      <c r="N541" s="487" t="s">
        <v>413</v>
      </c>
      <c r="O541" s="489"/>
      <c r="P541" s="489"/>
      <c r="Q541" s="560"/>
    </row>
    <row r="542" spans="1:17" x14ac:dyDescent="0.25">
      <c r="A542" s="496"/>
      <c r="B542" s="497"/>
      <c r="C542" s="501"/>
      <c r="D542" s="510"/>
      <c r="E542" s="500"/>
      <c r="F542" s="215" t="s">
        <v>386</v>
      </c>
      <c r="G542" s="223">
        <f>G541*0.1</f>
        <v>6.6000000000000008E-3</v>
      </c>
      <c r="H542" s="215">
        <v>10</v>
      </c>
      <c r="I542" s="27">
        <f t="shared" si="160"/>
        <v>25.482600000000005</v>
      </c>
      <c r="J542" s="215">
        <v>5</v>
      </c>
      <c r="K542" s="27">
        <v>297.57</v>
      </c>
      <c r="L542" s="241"/>
      <c r="M542" s="28">
        <f t="shared" si="149"/>
        <v>7582.8572820000018</v>
      </c>
      <c r="N542" s="488"/>
      <c r="O542" s="490"/>
      <c r="P542" s="490"/>
      <c r="Q542" s="561"/>
    </row>
    <row r="543" spans="1:17" ht="15.75" customHeight="1" x14ac:dyDescent="0.25">
      <c r="A543" s="496"/>
      <c r="B543" s="497"/>
      <c r="C543" s="511" t="s">
        <v>883</v>
      </c>
      <c r="D543" s="512" t="s">
        <v>461</v>
      </c>
      <c r="E543" s="513">
        <v>0.25</v>
      </c>
      <c r="F543" s="215" t="s">
        <v>384</v>
      </c>
      <c r="G543" s="27">
        <f>0.007*1.6</f>
        <v>1.1200000000000002E-2</v>
      </c>
      <c r="H543" s="215">
        <v>1</v>
      </c>
      <c r="I543" s="27">
        <f t="shared" si="160"/>
        <v>4.3243200000000011</v>
      </c>
      <c r="J543" s="215">
        <v>4</v>
      </c>
      <c r="K543" s="27">
        <v>279.92</v>
      </c>
      <c r="L543" s="241"/>
      <c r="M543" s="28">
        <f t="shared" si="149"/>
        <v>1210.4636544000005</v>
      </c>
      <c r="N543" s="487" t="s">
        <v>1015</v>
      </c>
      <c r="O543" s="489">
        <v>1</v>
      </c>
      <c r="P543" s="489">
        <v>60.7</v>
      </c>
      <c r="Q543" s="560">
        <f t="shared" si="144"/>
        <v>60.7</v>
      </c>
    </row>
    <row r="544" spans="1:17" x14ac:dyDescent="0.25">
      <c r="A544" s="496"/>
      <c r="B544" s="497"/>
      <c r="C544" s="511"/>
      <c r="D544" s="512"/>
      <c r="E544" s="513"/>
      <c r="F544" s="215" t="s">
        <v>386</v>
      </c>
      <c r="G544" s="223">
        <f>G543*0.1</f>
        <v>1.1200000000000001E-3</v>
      </c>
      <c r="H544" s="215">
        <v>11</v>
      </c>
      <c r="I544" s="27">
        <f t="shared" si="160"/>
        <v>4.7567520000000005</v>
      </c>
      <c r="J544" s="215">
        <v>4</v>
      </c>
      <c r="K544" s="27">
        <v>279.92</v>
      </c>
      <c r="L544" s="241"/>
      <c r="M544" s="28">
        <f t="shared" si="149"/>
        <v>1331.5100198400003</v>
      </c>
      <c r="N544" s="488"/>
      <c r="O544" s="490"/>
      <c r="P544" s="490"/>
      <c r="Q544" s="561">
        <f t="shared" si="144"/>
        <v>0</v>
      </c>
    </row>
    <row r="545" spans="1:17" x14ac:dyDescent="0.25">
      <c r="A545" s="496"/>
      <c r="B545" s="497"/>
      <c r="C545" s="514" t="s">
        <v>884</v>
      </c>
      <c r="D545" s="510" t="s">
        <v>885</v>
      </c>
      <c r="E545" s="500"/>
      <c r="F545" s="215" t="s">
        <v>384</v>
      </c>
      <c r="G545" s="27">
        <f>0.004*3*1.6</f>
        <v>1.9200000000000002E-2</v>
      </c>
      <c r="H545" s="215">
        <v>1</v>
      </c>
      <c r="I545" s="27">
        <f>G545*H545*1.1*351</f>
        <v>7.413120000000001</v>
      </c>
      <c r="J545" s="215">
        <v>4</v>
      </c>
      <c r="K545" s="27">
        <v>279.92</v>
      </c>
      <c r="L545" s="241"/>
      <c r="M545" s="28">
        <f t="shared" si="149"/>
        <v>2075.0805504000004</v>
      </c>
      <c r="N545" s="487"/>
      <c r="O545" s="489"/>
      <c r="P545" s="489"/>
      <c r="Q545" s="560"/>
    </row>
    <row r="546" spans="1:17" x14ac:dyDescent="0.25">
      <c r="A546" s="496"/>
      <c r="B546" s="497"/>
      <c r="C546" s="514"/>
      <c r="D546" s="510"/>
      <c r="E546" s="500"/>
      <c r="F546" s="215" t="s">
        <v>386</v>
      </c>
      <c r="G546" s="223">
        <f>G545*0.1</f>
        <v>1.9200000000000003E-3</v>
      </c>
      <c r="H546" s="215">
        <v>11</v>
      </c>
      <c r="I546" s="27">
        <f t="shared" ref="I546" si="161">G546*H546*1.1*351</f>
        <v>8.1544320000000017</v>
      </c>
      <c r="J546" s="215">
        <v>4</v>
      </c>
      <c r="K546" s="27">
        <v>279.92</v>
      </c>
      <c r="L546" s="241"/>
      <c r="M546" s="28">
        <f t="shared" si="149"/>
        <v>2282.5886054400007</v>
      </c>
      <c r="N546" s="488"/>
      <c r="O546" s="490"/>
      <c r="P546" s="490"/>
      <c r="Q546" s="561"/>
    </row>
    <row r="547" spans="1:17" x14ac:dyDescent="0.25">
      <c r="A547" s="496"/>
      <c r="B547" s="497"/>
      <c r="C547" s="505" t="s">
        <v>886</v>
      </c>
      <c r="D547" s="507"/>
      <c r="E547" s="507"/>
      <c r="F547" s="215" t="s">
        <v>384</v>
      </c>
      <c r="G547" s="27">
        <f>0.028*0.33</f>
        <v>9.2399999999999999E-3</v>
      </c>
      <c r="H547" s="215">
        <v>1</v>
      </c>
      <c r="I547" s="27">
        <f>G547*H547*1.1*351</f>
        <v>3.5675640000000004</v>
      </c>
      <c r="J547" s="215">
        <v>4</v>
      </c>
      <c r="K547" s="27">
        <v>279.92</v>
      </c>
      <c r="L547" s="241"/>
      <c r="M547" s="28">
        <f t="shared" si="149"/>
        <v>998.63251488000014</v>
      </c>
      <c r="N547" s="487" t="s">
        <v>314</v>
      </c>
      <c r="O547" s="489">
        <v>1</v>
      </c>
      <c r="P547" s="489">
        <v>52</v>
      </c>
      <c r="Q547" s="560">
        <f t="shared" si="144"/>
        <v>52</v>
      </c>
    </row>
    <row r="548" spans="1:17" x14ac:dyDescent="0.25">
      <c r="A548" s="496"/>
      <c r="B548" s="497"/>
      <c r="C548" s="506"/>
      <c r="D548" s="507"/>
      <c r="E548" s="507"/>
      <c r="F548" s="215" t="s">
        <v>386</v>
      </c>
      <c r="G548" s="223">
        <f>G547*0.1</f>
        <v>9.2400000000000002E-4</v>
      </c>
      <c r="H548" s="215">
        <v>11</v>
      </c>
      <c r="I548" s="27">
        <f t="shared" ref="I548" si="162">G548*H548*1.1*351</f>
        <v>3.9243204</v>
      </c>
      <c r="J548" s="215">
        <v>4</v>
      </c>
      <c r="K548" s="27">
        <v>279.92</v>
      </c>
      <c r="L548" s="241"/>
      <c r="M548" s="28">
        <f t="shared" si="149"/>
        <v>1098.495766368</v>
      </c>
      <c r="N548" s="488"/>
      <c r="O548" s="490"/>
      <c r="P548" s="490">
        <v>52</v>
      </c>
      <c r="Q548" s="561">
        <f t="shared" si="144"/>
        <v>0</v>
      </c>
    </row>
    <row r="549" spans="1:17" x14ac:dyDescent="0.25">
      <c r="A549" s="496"/>
      <c r="B549" s="497"/>
      <c r="C549" s="505" t="s">
        <v>887</v>
      </c>
      <c r="D549" s="507"/>
      <c r="E549" s="507"/>
      <c r="F549" s="215" t="s">
        <v>384</v>
      </c>
      <c r="G549" s="27">
        <f>0.04*0.22</f>
        <v>8.8000000000000005E-3</v>
      </c>
      <c r="H549" s="215">
        <v>1</v>
      </c>
      <c r="I549" s="27">
        <f>G549*H549*1.1*351</f>
        <v>3.3976800000000003</v>
      </c>
      <c r="J549" s="215">
        <v>4</v>
      </c>
      <c r="K549" s="27">
        <v>279.92</v>
      </c>
      <c r="L549" s="241"/>
      <c r="M549" s="28">
        <f t="shared" si="149"/>
        <v>951.07858560000011</v>
      </c>
      <c r="N549" s="487" t="s">
        <v>314</v>
      </c>
      <c r="O549" s="489">
        <v>1</v>
      </c>
      <c r="P549" s="489">
        <v>52</v>
      </c>
      <c r="Q549" s="560">
        <f t="shared" si="144"/>
        <v>52</v>
      </c>
    </row>
    <row r="550" spans="1:17" x14ac:dyDescent="0.25">
      <c r="A550" s="496"/>
      <c r="B550" s="497"/>
      <c r="C550" s="506"/>
      <c r="D550" s="507"/>
      <c r="E550" s="507"/>
      <c r="F550" s="215" t="s">
        <v>386</v>
      </c>
      <c r="G550" s="223">
        <f>G549*0.1</f>
        <v>8.8000000000000014E-4</v>
      </c>
      <c r="H550" s="215">
        <v>11</v>
      </c>
      <c r="I550" s="27">
        <f t="shared" ref="I550" si="163">G550*H550*1.1*351</f>
        <v>3.7374480000000005</v>
      </c>
      <c r="J550" s="215">
        <v>4</v>
      </c>
      <c r="K550" s="27">
        <v>279.92</v>
      </c>
      <c r="L550" s="241"/>
      <c r="M550" s="28">
        <f t="shared" si="149"/>
        <v>1046.1864441600003</v>
      </c>
      <c r="N550" s="488"/>
      <c r="O550" s="490"/>
      <c r="P550" s="490">
        <v>52</v>
      </c>
      <c r="Q550" s="561">
        <f t="shared" si="144"/>
        <v>0</v>
      </c>
    </row>
    <row r="551" spans="1:17" x14ac:dyDescent="0.25">
      <c r="A551" s="496"/>
      <c r="B551" s="497"/>
      <c r="C551" s="505" t="s">
        <v>888</v>
      </c>
      <c r="D551" s="507"/>
      <c r="E551" s="507"/>
      <c r="F551" s="215" t="s">
        <v>384</v>
      </c>
      <c r="G551" s="27">
        <f>0.06*0.02</f>
        <v>1.1999999999999999E-3</v>
      </c>
      <c r="H551" s="215">
        <v>1</v>
      </c>
      <c r="I551" s="27">
        <f>G551*H551*1.1*351</f>
        <v>0.46332000000000001</v>
      </c>
      <c r="J551" s="215">
        <v>4</v>
      </c>
      <c r="K551" s="27">
        <v>279.92</v>
      </c>
      <c r="L551" s="241"/>
      <c r="M551" s="28">
        <f t="shared" si="149"/>
        <v>129.6925344</v>
      </c>
      <c r="N551" s="487" t="s">
        <v>314</v>
      </c>
      <c r="O551" s="489">
        <v>1</v>
      </c>
      <c r="P551" s="489">
        <v>52</v>
      </c>
      <c r="Q551" s="560">
        <f t="shared" si="144"/>
        <v>52</v>
      </c>
    </row>
    <row r="552" spans="1:17" x14ac:dyDescent="0.25">
      <c r="A552" s="496"/>
      <c r="B552" s="497"/>
      <c r="C552" s="506"/>
      <c r="D552" s="507"/>
      <c r="E552" s="507"/>
      <c r="F552" s="215" t="s">
        <v>386</v>
      </c>
      <c r="G552" s="223">
        <f>G551*0.1</f>
        <v>1.1999999999999999E-4</v>
      </c>
      <c r="H552" s="215">
        <v>11</v>
      </c>
      <c r="I552" s="27">
        <f t="shared" ref="I552" si="164">G552*H552*1.1*351</f>
        <v>0.5096520000000001</v>
      </c>
      <c r="J552" s="215">
        <v>4</v>
      </c>
      <c r="K552" s="27">
        <v>279.92</v>
      </c>
      <c r="L552" s="241"/>
      <c r="M552" s="28">
        <f t="shared" si="149"/>
        <v>142.66178784000004</v>
      </c>
      <c r="N552" s="488"/>
      <c r="O552" s="490"/>
      <c r="P552" s="490">
        <v>52</v>
      </c>
      <c r="Q552" s="561">
        <f t="shared" si="144"/>
        <v>0</v>
      </c>
    </row>
    <row r="553" spans="1:17" x14ac:dyDescent="0.25">
      <c r="A553" s="496"/>
      <c r="B553" s="497"/>
      <c r="C553" s="505" t="s">
        <v>889</v>
      </c>
      <c r="D553" s="507"/>
      <c r="E553" s="507"/>
      <c r="F553" s="215" t="s">
        <v>384</v>
      </c>
      <c r="G553" s="27">
        <f>0.072*0.02</f>
        <v>1.4399999999999999E-3</v>
      </c>
      <c r="H553" s="215">
        <v>1</v>
      </c>
      <c r="I553" s="27">
        <f>G553*H553*1.1*351</f>
        <v>0.55598399999999992</v>
      </c>
      <c r="J553" s="215">
        <v>4</v>
      </c>
      <c r="K553" s="27">
        <v>279.92</v>
      </c>
      <c r="L553" s="241"/>
      <c r="M553" s="28">
        <f t="shared" si="149"/>
        <v>155.63104127999998</v>
      </c>
      <c r="N553" s="487" t="s">
        <v>314</v>
      </c>
      <c r="O553" s="489">
        <v>1</v>
      </c>
      <c r="P553" s="489">
        <v>52</v>
      </c>
      <c r="Q553" s="560">
        <f t="shared" si="144"/>
        <v>52</v>
      </c>
    </row>
    <row r="554" spans="1:17" x14ac:dyDescent="0.25">
      <c r="A554" s="496"/>
      <c r="B554" s="497"/>
      <c r="C554" s="506"/>
      <c r="D554" s="507"/>
      <c r="E554" s="507"/>
      <c r="F554" s="215" t="s">
        <v>386</v>
      </c>
      <c r="G554" s="223">
        <f>G553*0.1</f>
        <v>1.44E-4</v>
      </c>
      <c r="H554" s="215">
        <v>11</v>
      </c>
      <c r="I554" s="27">
        <f t="shared" ref="I554" si="165">G554*H554*1.1*351</f>
        <v>0.61158240000000008</v>
      </c>
      <c r="J554" s="215">
        <v>4</v>
      </c>
      <c r="K554" s="27">
        <v>279.92</v>
      </c>
      <c r="L554" s="241"/>
      <c r="M554" s="28">
        <f t="shared" si="149"/>
        <v>171.19414540800003</v>
      </c>
      <c r="N554" s="488"/>
      <c r="O554" s="490"/>
      <c r="P554" s="490">
        <v>52</v>
      </c>
      <c r="Q554" s="561">
        <f t="shared" si="144"/>
        <v>0</v>
      </c>
    </row>
    <row r="555" spans="1:17" x14ac:dyDescent="0.25">
      <c r="A555" s="496"/>
      <c r="B555" s="497"/>
      <c r="C555" s="506" t="s">
        <v>890</v>
      </c>
      <c r="D555" s="507"/>
      <c r="E555" s="507"/>
      <c r="F555" s="215" t="s">
        <v>384</v>
      </c>
      <c r="G555" s="27">
        <f>0.04*0.53</f>
        <v>2.12E-2</v>
      </c>
      <c r="H555" s="215">
        <v>1</v>
      </c>
      <c r="I555" s="27">
        <f>G555*H555*1.1*351</f>
        <v>8.1853200000000008</v>
      </c>
      <c r="J555" s="215">
        <v>4</v>
      </c>
      <c r="K555" s="27">
        <v>279.92</v>
      </c>
      <c r="L555" s="241"/>
      <c r="M555" s="28">
        <f t="shared" si="149"/>
        <v>2291.2347744000003</v>
      </c>
      <c r="N555" s="487" t="s">
        <v>314</v>
      </c>
      <c r="O555" s="489">
        <v>1</v>
      </c>
      <c r="P555" s="489">
        <v>52</v>
      </c>
      <c r="Q555" s="560">
        <f t="shared" si="144"/>
        <v>52</v>
      </c>
    </row>
    <row r="556" spans="1:17" x14ac:dyDescent="0.25">
      <c r="A556" s="496"/>
      <c r="B556" s="497"/>
      <c r="C556" s="506"/>
      <c r="D556" s="507"/>
      <c r="E556" s="507"/>
      <c r="F556" s="215" t="s">
        <v>386</v>
      </c>
      <c r="G556" s="223">
        <f>G555*0.1</f>
        <v>2.1199999999999999E-3</v>
      </c>
      <c r="H556" s="215">
        <v>11</v>
      </c>
      <c r="I556" s="27">
        <f t="shared" ref="I556" si="166">G556*H556*1.1*351</f>
        <v>9.0038520000000002</v>
      </c>
      <c r="J556" s="215">
        <v>4</v>
      </c>
      <c r="K556" s="27">
        <v>279.92</v>
      </c>
      <c r="L556" s="241"/>
      <c r="M556" s="28">
        <f t="shared" si="149"/>
        <v>2520.3582518400003</v>
      </c>
      <c r="N556" s="488"/>
      <c r="O556" s="490"/>
      <c r="P556" s="490">
        <v>52</v>
      </c>
      <c r="Q556" s="561">
        <f t="shared" si="144"/>
        <v>0</v>
      </c>
    </row>
    <row r="557" spans="1:17" ht="15.75" customHeight="1" x14ac:dyDescent="0.25">
      <c r="A557" s="496"/>
      <c r="B557" s="497"/>
      <c r="C557" s="505" t="s">
        <v>837</v>
      </c>
      <c r="D557" s="500" t="s">
        <v>838</v>
      </c>
      <c r="E557" s="507"/>
      <c r="F557" s="215" t="s">
        <v>384</v>
      </c>
      <c r="G557" s="27">
        <f>0.002*2</f>
        <v>4.0000000000000001E-3</v>
      </c>
      <c r="H557" s="215">
        <v>0</v>
      </c>
      <c r="I557" s="27">
        <f>G557*H557*1.1*351</f>
        <v>0</v>
      </c>
      <c r="J557" s="215">
        <v>4</v>
      </c>
      <c r="K557" s="27">
        <v>279.92</v>
      </c>
      <c r="L557" s="241"/>
      <c r="M557" s="28">
        <f t="shared" si="149"/>
        <v>0</v>
      </c>
      <c r="N557" s="487" t="s">
        <v>843</v>
      </c>
      <c r="O557" s="489">
        <v>2</v>
      </c>
      <c r="P557" s="489">
        <v>9801</v>
      </c>
      <c r="Q557" s="560">
        <f t="shared" si="144"/>
        <v>19602</v>
      </c>
    </row>
    <row r="558" spans="1:17" x14ac:dyDescent="0.25">
      <c r="A558" s="496"/>
      <c r="B558" s="497"/>
      <c r="C558" s="506"/>
      <c r="D558" s="500"/>
      <c r="E558" s="507"/>
      <c r="F558" s="215" t="s">
        <v>386</v>
      </c>
      <c r="G558" s="223">
        <f>G557*0.1</f>
        <v>4.0000000000000002E-4</v>
      </c>
      <c r="H558" s="215">
        <v>12</v>
      </c>
      <c r="I558" s="27">
        <f t="shared" ref="I558" si="167">G558*H558*1.1*351</f>
        <v>1.8532800000000003</v>
      </c>
      <c r="J558" s="215">
        <v>4</v>
      </c>
      <c r="K558" s="27">
        <v>279.92</v>
      </c>
      <c r="L558" s="241"/>
      <c r="M558" s="28">
        <f t="shared" si="149"/>
        <v>518.77013760000011</v>
      </c>
      <c r="N558" s="488"/>
      <c r="O558" s="490"/>
      <c r="P558" s="490"/>
      <c r="Q558" s="561">
        <f t="shared" si="144"/>
        <v>0</v>
      </c>
    </row>
    <row r="559" spans="1:17" ht="15.75" customHeight="1" x14ac:dyDescent="0.25">
      <c r="A559" s="496"/>
      <c r="B559" s="497"/>
      <c r="C559" s="505" t="s">
        <v>836</v>
      </c>
      <c r="D559" s="500" t="s">
        <v>891</v>
      </c>
      <c r="E559" s="507"/>
      <c r="F559" s="215" t="s">
        <v>384</v>
      </c>
      <c r="G559" s="27">
        <f>0.003*6</f>
        <v>1.8000000000000002E-2</v>
      </c>
      <c r="H559" s="215">
        <v>0</v>
      </c>
      <c r="I559" s="27">
        <f>G559*H559*1.1*351</f>
        <v>0</v>
      </c>
      <c r="J559" s="215">
        <v>4</v>
      </c>
      <c r="K559" s="27">
        <v>279.92</v>
      </c>
      <c r="L559" s="241"/>
      <c r="M559" s="28">
        <f t="shared" si="149"/>
        <v>0</v>
      </c>
      <c r="N559" s="487" t="s">
        <v>1015</v>
      </c>
      <c r="O559" s="489">
        <v>1</v>
      </c>
      <c r="P559" s="489">
        <v>60.7</v>
      </c>
      <c r="Q559" s="560">
        <f t="shared" si="144"/>
        <v>60.7</v>
      </c>
    </row>
    <row r="560" spans="1:17" x14ac:dyDescent="0.25">
      <c r="A560" s="496"/>
      <c r="B560" s="497"/>
      <c r="C560" s="506"/>
      <c r="D560" s="500"/>
      <c r="E560" s="507"/>
      <c r="F560" s="215" t="s">
        <v>386</v>
      </c>
      <c r="G560" s="223">
        <f>G559*0.1</f>
        <v>1.8000000000000004E-3</v>
      </c>
      <c r="H560" s="215">
        <v>12</v>
      </c>
      <c r="I560" s="27">
        <f t="shared" ref="I560" si="168">G560*H560*1.1*351</f>
        <v>8.3397600000000018</v>
      </c>
      <c r="J560" s="215">
        <v>4</v>
      </c>
      <c r="K560" s="27">
        <v>279.92</v>
      </c>
      <c r="L560" s="241"/>
      <c r="M560" s="28">
        <f t="shared" si="149"/>
        <v>2334.4656192000007</v>
      </c>
      <c r="N560" s="488"/>
      <c r="O560" s="490"/>
      <c r="P560" s="490"/>
      <c r="Q560" s="561">
        <f t="shared" si="144"/>
        <v>0</v>
      </c>
    </row>
    <row r="561" spans="1:17" x14ac:dyDescent="0.25">
      <c r="A561" s="496"/>
      <c r="B561" s="497"/>
      <c r="C561" s="506" t="s">
        <v>835</v>
      </c>
      <c r="D561" s="507"/>
      <c r="E561" s="507"/>
      <c r="F561" s="215" t="s">
        <v>384</v>
      </c>
      <c r="G561" s="27">
        <f>0.009*2</f>
        <v>1.7999999999999999E-2</v>
      </c>
      <c r="H561" s="215">
        <v>1</v>
      </c>
      <c r="I561" s="27">
        <f>G561*H561*1.1*351</f>
        <v>6.9498000000000006</v>
      </c>
      <c r="J561" s="215">
        <v>5</v>
      </c>
      <c r="K561" s="27">
        <v>297.57</v>
      </c>
      <c r="L561" s="241"/>
      <c r="M561" s="28">
        <f t="shared" si="149"/>
        <v>2068.0519859999999</v>
      </c>
      <c r="N561" s="487"/>
      <c r="O561" s="489"/>
      <c r="P561" s="489"/>
      <c r="Q561" s="560"/>
    </row>
    <row r="562" spans="1:17" x14ac:dyDescent="0.25">
      <c r="A562" s="496"/>
      <c r="B562" s="497"/>
      <c r="C562" s="506"/>
      <c r="D562" s="507"/>
      <c r="E562" s="507"/>
      <c r="F562" s="215" t="s">
        <v>386</v>
      </c>
      <c r="G562" s="223">
        <f>G561*0.1</f>
        <v>1.8E-3</v>
      </c>
      <c r="H562" s="215">
        <v>11</v>
      </c>
      <c r="I562" s="27">
        <f t="shared" ref="I562" si="169">G562*H562*1.1*351</f>
        <v>7.6447799999999999</v>
      </c>
      <c r="J562" s="215">
        <v>5</v>
      </c>
      <c r="K562" s="27">
        <v>297.57</v>
      </c>
      <c r="L562" s="241"/>
      <c r="M562" s="28">
        <f t="shared" si="149"/>
        <v>2274.8571846</v>
      </c>
      <c r="N562" s="488"/>
      <c r="O562" s="490"/>
      <c r="P562" s="490"/>
      <c r="Q562" s="561"/>
    </row>
    <row r="563" spans="1:17" x14ac:dyDescent="0.25">
      <c r="A563" s="496"/>
      <c r="B563" s="497"/>
      <c r="C563" s="498" t="s">
        <v>892</v>
      </c>
      <c r="D563" s="508"/>
      <c r="E563" s="509"/>
      <c r="F563" s="215" t="s">
        <v>384</v>
      </c>
      <c r="G563" s="27">
        <f>0.012*0.065</f>
        <v>7.8000000000000009E-4</v>
      </c>
      <c r="H563" s="215">
        <v>1</v>
      </c>
      <c r="I563" s="27">
        <f>G563*H563*1.1*351</f>
        <v>0.30115800000000004</v>
      </c>
      <c r="J563" s="215">
        <v>4</v>
      </c>
      <c r="K563" s="27">
        <v>279.92</v>
      </c>
      <c r="L563" s="241"/>
      <c r="M563" s="28">
        <f t="shared" si="149"/>
        <v>84.300147360000011</v>
      </c>
      <c r="N563" s="487"/>
      <c r="O563" s="489"/>
      <c r="P563" s="489"/>
      <c r="Q563" s="560"/>
    </row>
    <row r="564" spans="1:17" x14ac:dyDescent="0.25">
      <c r="A564" s="496"/>
      <c r="B564" s="497"/>
      <c r="C564" s="498"/>
      <c r="D564" s="508"/>
      <c r="E564" s="509"/>
      <c r="F564" s="215" t="s">
        <v>386</v>
      </c>
      <c r="G564" s="223">
        <f>G563*0.1</f>
        <v>7.8000000000000012E-5</v>
      </c>
      <c r="H564" s="215">
        <v>11</v>
      </c>
      <c r="I564" s="27">
        <f t="shared" ref="I564" si="170">G564*H564*1.1*351</f>
        <v>0.33127380000000012</v>
      </c>
      <c r="J564" s="215">
        <v>4</v>
      </c>
      <c r="K564" s="27">
        <v>279.92</v>
      </c>
      <c r="L564" s="241"/>
      <c r="M564" s="28">
        <f t="shared" si="149"/>
        <v>92.730162096000043</v>
      </c>
      <c r="N564" s="488" t="s">
        <v>553</v>
      </c>
      <c r="O564" s="490" t="s">
        <v>844</v>
      </c>
      <c r="P564" s="490"/>
      <c r="Q564" s="561"/>
    </row>
    <row r="565" spans="1:17" ht="15.75" customHeight="1" x14ac:dyDescent="0.25">
      <c r="A565" s="496"/>
      <c r="B565" s="497"/>
      <c r="C565" s="505" t="s">
        <v>893</v>
      </c>
      <c r="D565" s="500" t="s">
        <v>894</v>
      </c>
      <c r="E565" s="507"/>
      <c r="F565" s="215" t="s">
        <v>384</v>
      </c>
      <c r="G565" s="27">
        <v>1.2E-2</v>
      </c>
      <c r="H565" s="215">
        <v>1</v>
      </c>
      <c r="I565" s="27">
        <f>G565*H565*1.1*351</f>
        <v>4.6332000000000004</v>
      </c>
      <c r="J565" s="215">
        <v>4</v>
      </c>
      <c r="K565" s="27">
        <v>279.92</v>
      </c>
      <c r="L565" s="241"/>
      <c r="M565" s="28">
        <f t="shared" si="149"/>
        <v>1296.9253440000002</v>
      </c>
      <c r="N565" s="487" t="s">
        <v>1015</v>
      </c>
      <c r="O565" s="489">
        <v>1</v>
      </c>
      <c r="P565" s="489">
        <v>60.7</v>
      </c>
      <c r="Q565" s="560">
        <f t="shared" ref="Q565:Q566" si="171">P565*O565</f>
        <v>60.7</v>
      </c>
    </row>
    <row r="566" spans="1:17" x14ac:dyDescent="0.25">
      <c r="A566" s="496"/>
      <c r="B566" s="497"/>
      <c r="C566" s="506"/>
      <c r="D566" s="500"/>
      <c r="E566" s="507"/>
      <c r="F566" s="215" t="s">
        <v>386</v>
      </c>
      <c r="G566" s="223">
        <f>G565*0.1</f>
        <v>1.2000000000000001E-3</v>
      </c>
      <c r="H566" s="215">
        <v>11</v>
      </c>
      <c r="I566" s="27">
        <f t="shared" ref="I566" si="172">G566*H566*1.1*351</f>
        <v>5.0965200000000008</v>
      </c>
      <c r="J566" s="215">
        <v>4</v>
      </c>
      <c r="K566" s="27">
        <v>279.92</v>
      </c>
      <c r="L566" s="241"/>
      <c r="M566" s="28">
        <f>I566*K566</f>
        <v>1426.6178784000003</v>
      </c>
      <c r="N566" s="488"/>
      <c r="O566" s="490"/>
      <c r="P566" s="490"/>
      <c r="Q566" s="561">
        <f t="shared" si="171"/>
        <v>0</v>
      </c>
    </row>
    <row r="567" spans="1:17" ht="37.5" customHeight="1" x14ac:dyDescent="0.3">
      <c r="A567" s="547" t="s">
        <v>915</v>
      </c>
      <c r="B567" s="548"/>
      <c r="C567" s="548"/>
      <c r="D567" s="548"/>
      <c r="E567" s="548"/>
      <c r="F567" s="548"/>
      <c r="G567" s="548"/>
      <c r="H567" s="548"/>
      <c r="I567" s="548"/>
      <c r="J567" s="548"/>
      <c r="K567" s="549"/>
      <c r="L567" s="258"/>
      <c r="M567" s="259">
        <f>SUM(M5:M566)</f>
        <v>905233.40789310192</v>
      </c>
      <c r="N567" s="550"/>
      <c r="O567" s="551"/>
      <c r="P567" s="552"/>
      <c r="Q567" s="259">
        <f>SUM(Q5:Q565)</f>
        <v>1355894.4999999995</v>
      </c>
    </row>
    <row r="568" spans="1:17" ht="34.5" customHeight="1" x14ac:dyDescent="0.3">
      <c r="A568" s="546" t="s">
        <v>916</v>
      </c>
      <c r="B568" s="546"/>
      <c r="C568" s="546"/>
      <c r="D568" s="546"/>
      <c r="E568" s="546"/>
      <c r="F568" s="546"/>
      <c r="G568" s="546"/>
      <c r="H568" s="546"/>
      <c r="I568" s="546"/>
      <c r="J568" s="546"/>
      <c r="K568" s="546"/>
      <c r="L568" s="546"/>
      <c r="M568" s="546"/>
      <c r="N568" s="546"/>
      <c r="O568" s="546"/>
      <c r="P568" s="546"/>
      <c r="Q568" s="260">
        <f>M567+Q567</f>
        <v>2261127.9078931017</v>
      </c>
    </row>
    <row r="569" spans="1:17" x14ac:dyDescent="0.25">
      <c r="A569" s="250"/>
      <c r="B569" s="251"/>
      <c r="C569" s="246"/>
      <c r="D569" s="246"/>
      <c r="E569" s="246"/>
      <c r="F569" s="246"/>
      <c r="G569" s="246"/>
      <c r="H569" s="248"/>
      <c r="I569" s="246"/>
      <c r="J569" s="246"/>
      <c r="K569" s="246"/>
      <c r="L569" s="249"/>
      <c r="M569" s="252"/>
      <c r="N569" s="253"/>
      <c r="O569" s="247"/>
      <c r="P569" s="247"/>
      <c r="Q569" s="42"/>
    </row>
    <row r="570" spans="1:17" x14ac:dyDescent="0.25">
      <c r="A570" s="250"/>
      <c r="B570" s="251"/>
      <c r="C570" s="246"/>
      <c r="D570" s="246"/>
      <c r="E570" s="246"/>
      <c r="F570" s="246"/>
      <c r="G570" s="246"/>
      <c r="H570" s="248"/>
      <c r="I570" s="246"/>
      <c r="J570" s="246"/>
      <c r="K570" s="246"/>
      <c r="L570" s="249"/>
      <c r="M570" s="252"/>
      <c r="N570" s="253"/>
      <c r="O570" s="247"/>
      <c r="P570" s="247"/>
      <c r="Q570" s="42"/>
    </row>
    <row r="571" spans="1:17" ht="38.25" customHeight="1" x14ac:dyDescent="0.25">
      <c r="A571" s="250" t="s">
        <v>278</v>
      </c>
      <c r="B571" s="473" t="s">
        <v>920</v>
      </c>
      <c r="C571" s="473"/>
      <c r="D571" s="473"/>
      <c r="E571" s="473"/>
      <c r="F571" s="473"/>
      <c r="G571" s="473"/>
      <c r="H571" s="473"/>
      <c r="I571" s="473"/>
      <c r="J571" s="246"/>
      <c r="K571" s="246"/>
      <c r="L571" s="249"/>
      <c r="M571" s="252"/>
      <c r="N571" s="253"/>
      <c r="O571" s="247"/>
      <c r="P571" s="247"/>
      <c r="Q571" s="42"/>
    </row>
    <row r="572" spans="1:17" ht="15.6" customHeight="1" x14ac:dyDescent="0.25">
      <c r="A572" s="254" t="s">
        <v>278</v>
      </c>
      <c r="B572" s="255" t="s">
        <v>279</v>
      </c>
      <c r="C572" s="251"/>
      <c r="D572" s="251"/>
      <c r="E572" s="251"/>
      <c r="F572" s="246"/>
      <c r="G572" s="246"/>
      <c r="H572" s="248"/>
      <c r="I572" s="246"/>
      <c r="J572" s="246"/>
      <c r="K572" s="246"/>
      <c r="L572" s="249"/>
      <c r="M572" s="245"/>
      <c r="N572" s="253"/>
      <c r="O572" s="247"/>
      <c r="P572" s="247"/>
      <c r="Q572" s="43"/>
    </row>
    <row r="573" spans="1:17" x14ac:dyDescent="0.25">
      <c r="A573" s="245"/>
      <c r="B573" s="246"/>
      <c r="C573" s="256"/>
      <c r="D573" s="254"/>
      <c r="E573" s="254"/>
      <c r="F573" s="246"/>
      <c r="G573" s="246"/>
      <c r="H573" s="248"/>
      <c r="I573" s="246"/>
      <c r="J573" s="246"/>
      <c r="K573" s="246"/>
      <c r="L573" s="246"/>
      <c r="M573" s="245"/>
      <c r="N573" s="253"/>
      <c r="O573" s="247"/>
      <c r="P573" s="247"/>
      <c r="Q573" s="247"/>
    </row>
    <row r="574" spans="1:17" ht="15.6" customHeight="1" x14ac:dyDescent="0.25"/>
    <row r="576" spans="1:17" ht="15.6" customHeight="1" x14ac:dyDescent="0.25"/>
    <row r="578" ht="15.6" customHeight="1" x14ac:dyDescent="0.25"/>
  </sheetData>
  <autoFilter ref="A4:Q572" xr:uid="{00000000-0009-0000-0000-000004000000}"/>
  <mergeCells count="1667">
    <mergeCell ref="P559:P560"/>
    <mergeCell ref="Q559:Q560"/>
    <mergeCell ref="N561:N562"/>
    <mergeCell ref="O561:O562"/>
    <mergeCell ref="P561:P562"/>
    <mergeCell ref="Q561:Q562"/>
    <mergeCell ref="N563:N564"/>
    <mergeCell ref="O563:O564"/>
    <mergeCell ref="P563:P564"/>
    <mergeCell ref="Q563:Q564"/>
    <mergeCell ref="P565:P566"/>
    <mergeCell ref="Q565:Q566"/>
    <mergeCell ref="N549:N550"/>
    <mergeCell ref="O549:O550"/>
    <mergeCell ref="P549:P550"/>
    <mergeCell ref="Q549:Q550"/>
    <mergeCell ref="N551:N552"/>
    <mergeCell ref="O551:O552"/>
    <mergeCell ref="P551:P552"/>
    <mergeCell ref="Q551:Q552"/>
    <mergeCell ref="N553:N554"/>
    <mergeCell ref="O553:O554"/>
    <mergeCell ref="P553:P554"/>
    <mergeCell ref="Q553:Q554"/>
    <mergeCell ref="N555:N556"/>
    <mergeCell ref="O555:O556"/>
    <mergeCell ref="P555:P556"/>
    <mergeCell ref="Q555:Q556"/>
    <mergeCell ref="P557:P558"/>
    <mergeCell ref="Q557:Q558"/>
    <mergeCell ref="N559:N560"/>
    <mergeCell ref="O559:O560"/>
    <mergeCell ref="P535:P536"/>
    <mergeCell ref="Q535:Q536"/>
    <mergeCell ref="P537:P538"/>
    <mergeCell ref="Q537:Q538"/>
    <mergeCell ref="P539:P540"/>
    <mergeCell ref="Q539:Q540"/>
    <mergeCell ref="O541:O542"/>
    <mergeCell ref="P541:P542"/>
    <mergeCell ref="Q541:Q542"/>
    <mergeCell ref="P543:P544"/>
    <mergeCell ref="Q543:Q544"/>
    <mergeCell ref="P545:P546"/>
    <mergeCell ref="Q545:Q546"/>
    <mergeCell ref="N547:N548"/>
    <mergeCell ref="O547:O548"/>
    <mergeCell ref="P547:P548"/>
    <mergeCell ref="Q547:Q548"/>
    <mergeCell ref="O511:O512"/>
    <mergeCell ref="P511:P512"/>
    <mergeCell ref="Q511:Q512"/>
    <mergeCell ref="N513:N514"/>
    <mergeCell ref="O513:O514"/>
    <mergeCell ref="P513:P514"/>
    <mergeCell ref="Q513:Q514"/>
    <mergeCell ref="N515:N516"/>
    <mergeCell ref="O515:O516"/>
    <mergeCell ref="P515:P516"/>
    <mergeCell ref="Q515:Q516"/>
    <mergeCell ref="N517:N518"/>
    <mergeCell ref="O517:O518"/>
    <mergeCell ref="P517:P518"/>
    <mergeCell ref="Q517:Q518"/>
    <mergeCell ref="P533:P534"/>
    <mergeCell ref="Q533:Q534"/>
    <mergeCell ref="P499:P500"/>
    <mergeCell ref="Q499:Q500"/>
    <mergeCell ref="P501:P502"/>
    <mergeCell ref="Q501:Q502"/>
    <mergeCell ref="N503:N504"/>
    <mergeCell ref="O503:O504"/>
    <mergeCell ref="P503:P504"/>
    <mergeCell ref="Q503:Q504"/>
    <mergeCell ref="N505:N506"/>
    <mergeCell ref="O505:O506"/>
    <mergeCell ref="P505:P506"/>
    <mergeCell ref="Q505:Q506"/>
    <mergeCell ref="N507:N508"/>
    <mergeCell ref="O507:O508"/>
    <mergeCell ref="P507:P508"/>
    <mergeCell ref="Q507:Q508"/>
    <mergeCell ref="N509:N510"/>
    <mergeCell ref="O509:O510"/>
    <mergeCell ref="P509:P510"/>
    <mergeCell ref="Q509:Q510"/>
    <mergeCell ref="P473:P474"/>
    <mergeCell ref="Q473:Q474"/>
    <mergeCell ref="P475:P476"/>
    <mergeCell ref="Q475:Q476"/>
    <mergeCell ref="P477:P478"/>
    <mergeCell ref="Q477:Q478"/>
    <mergeCell ref="P479:P480"/>
    <mergeCell ref="Q479:Q480"/>
    <mergeCell ref="P481:P482"/>
    <mergeCell ref="Q481:Q482"/>
    <mergeCell ref="P483:P484"/>
    <mergeCell ref="Q483:Q484"/>
    <mergeCell ref="P485:P486"/>
    <mergeCell ref="Q485:Q486"/>
    <mergeCell ref="P487:P488"/>
    <mergeCell ref="Q487:Q488"/>
    <mergeCell ref="P497:P498"/>
    <mergeCell ref="Q497:Q498"/>
    <mergeCell ref="N457:N458"/>
    <mergeCell ref="O457:O458"/>
    <mergeCell ref="P457:P458"/>
    <mergeCell ref="Q457:Q458"/>
    <mergeCell ref="N459:N460"/>
    <mergeCell ref="O459:O460"/>
    <mergeCell ref="P459:P460"/>
    <mergeCell ref="Q459:Q460"/>
    <mergeCell ref="O465:O466"/>
    <mergeCell ref="P465:P466"/>
    <mergeCell ref="Q465:Q466"/>
    <mergeCell ref="P467:P468"/>
    <mergeCell ref="Q467:Q468"/>
    <mergeCell ref="P469:P470"/>
    <mergeCell ref="Q469:Q470"/>
    <mergeCell ref="P471:P472"/>
    <mergeCell ref="Q471:Q472"/>
    <mergeCell ref="N465:N466"/>
    <mergeCell ref="N467:N468"/>
    <mergeCell ref="O467:O468"/>
    <mergeCell ref="N469:N470"/>
    <mergeCell ref="O469:O470"/>
    <mergeCell ref="N471:N472"/>
    <mergeCell ref="O471:O472"/>
    <mergeCell ref="O443:O444"/>
    <mergeCell ref="P443:P444"/>
    <mergeCell ref="Q443:Q444"/>
    <mergeCell ref="N445:N446"/>
    <mergeCell ref="O445:O446"/>
    <mergeCell ref="P445:P446"/>
    <mergeCell ref="Q445:Q446"/>
    <mergeCell ref="N447:N448"/>
    <mergeCell ref="O447:O448"/>
    <mergeCell ref="P447:P448"/>
    <mergeCell ref="Q447:Q448"/>
    <mergeCell ref="N449:N450"/>
    <mergeCell ref="O449:O450"/>
    <mergeCell ref="P449:P450"/>
    <mergeCell ref="Q449:Q450"/>
    <mergeCell ref="N451:N452"/>
    <mergeCell ref="O451:O452"/>
    <mergeCell ref="P451:P452"/>
    <mergeCell ref="Q451:Q452"/>
    <mergeCell ref="O433:O434"/>
    <mergeCell ref="P433:P434"/>
    <mergeCell ref="Q433:Q434"/>
    <mergeCell ref="N435:N436"/>
    <mergeCell ref="O435:O436"/>
    <mergeCell ref="P435:P436"/>
    <mergeCell ref="Q435:Q436"/>
    <mergeCell ref="N437:N438"/>
    <mergeCell ref="O437:O438"/>
    <mergeCell ref="P437:P438"/>
    <mergeCell ref="Q437:Q438"/>
    <mergeCell ref="N439:N440"/>
    <mergeCell ref="O439:O440"/>
    <mergeCell ref="P439:P440"/>
    <mergeCell ref="Q439:Q440"/>
    <mergeCell ref="N441:N442"/>
    <mergeCell ref="O441:O442"/>
    <mergeCell ref="P441:P442"/>
    <mergeCell ref="Q441:Q442"/>
    <mergeCell ref="O425:O426"/>
    <mergeCell ref="P425:P426"/>
    <mergeCell ref="Q425:Q426"/>
    <mergeCell ref="O427:O428"/>
    <mergeCell ref="P427:P428"/>
    <mergeCell ref="Q427:Q428"/>
    <mergeCell ref="O429:O430"/>
    <mergeCell ref="P429:P430"/>
    <mergeCell ref="Q429:Q430"/>
    <mergeCell ref="N431:N432"/>
    <mergeCell ref="O431:O432"/>
    <mergeCell ref="P431:P432"/>
    <mergeCell ref="Q431:Q432"/>
    <mergeCell ref="O411:O412"/>
    <mergeCell ref="P411:P412"/>
    <mergeCell ref="Q411:Q412"/>
    <mergeCell ref="O413:O414"/>
    <mergeCell ref="P413:P414"/>
    <mergeCell ref="Q413:Q414"/>
    <mergeCell ref="O415:O416"/>
    <mergeCell ref="P415:P416"/>
    <mergeCell ref="Q415:Q416"/>
    <mergeCell ref="O399:O400"/>
    <mergeCell ref="P399:P400"/>
    <mergeCell ref="Q399:Q400"/>
    <mergeCell ref="O401:O402"/>
    <mergeCell ref="P401:P402"/>
    <mergeCell ref="Q401:Q402"/>
    <mergeCell ref="O403:O404"/>
    <mergeCell ref="P403:P404"/>
    <mergeCell ref="Q403:Q404"/>
    <mergeCell ref="O405:O406"/>
    <mergeCell ref="P405:P406"/>
    <mergeCell ref="Q405:Q406"/>
    <mergeCell ref="O407:O408"/>
    <mergeCell ref="P407:P408"/>
    <mergeCell ref="Q407:Q408"/>
    <mergeCell ref="O409:O410"/>
    <mergeCell ref="P409:P410"/>
    <mergeCell ref="Q409:Q410"/>
    <mergeCell ref="N377:N378"/>
    <mergeCell ref="O377:O378"/>
    <mergeCell ref="P377:P378"/>
    <mergeCell ref="Q377:Q378"/>
    <mergeCell ref="N379:N380"/>
    <mergeCell ref="O379:O380"/>
    <mergeCell ref="P379:P380"/>
    <mergeCell ref="Q379:Q380"/>
    <mergeCell ref="N381:N382"/>
    <mergeCell ref="O381:O382"/>
    <mergeCell ref="P381:P382"/>
    <mergeCell ref="Q381:Q382"/>
    <mergeCell ref="N383:N384"/>
    <mergeCell ref="O383:O384"/>
    <mergeCell ref="P383:P384"/>
    <mergeCell ref="Q383:Q384"/>
    <mergeCell ref="O397:O398"/>
    <mergeCell ref="P397:P398"/>
    <mergeCell ref="Q397:Q398"/>
    <mergeCell ref="N367:N368"/>
    <mergeCell ref="O367:O368"/>
    <mergeCell ref="P367:P368"/>
    <mergeCell ref="Q367:Q368"/>
    <mergeCell ref="N369:N370"/>
    <mergeCell ref="O369:O370"/>
    <mergeCell ref="P369:P370"/>
    <mergeCell ref="Q369:Q370"/>
    <mergeCell ref="N371:N372"/>
    <mergeCell ref="O371:O372"/>
    <mergeCell ref="P371:P372"/>
    <mergeCell ref="Q371:Q372"/>
    <mergeCell ref="N373:N374"/>
    <mergeCell ref="O373:O374"/>
    <mergeCell ref="P373:P374"/>
    <mergeCell ref="Q373:Q374"/>
    <mergeCell ref="N375:N376"/>
    <mergeCell ref="O375:O376"/>
    <mergeCell ref="P375:P376"/>
    <mergeCell ref="Q375:Q376"/>
    <mergeCell ref="P353:P354"/>
    <mergeCell ref="Q353:Q354"/>
    <mergeCell ref="P355:P356"/>
    <mergeCell ref="Q355:Q356"/>
    <mergeCell ref="N357:N358"/>
    <mergeCell ref="O357:O358"/>
    <mergeCell ref="P357:P358"/>
    <mergeCell ref="Q357:Q358"/>
    <mergeCell ref="P359:P360"/>
    <mergeCell ref="Q359:Q360"/>
    <mergeCell ref="N361:N362"/>
    <mergeCell ref="O361:O362"/>
    <mergeCell ref="P361:P362"/>
    <mergeCell ref="Q361:Q362"/>
    <mergeCell ref="P363:P364"/>
    <mergeCell ref="Q363:Q364"/>
    <mergeCell ref="N365:N366"/>
    <mergeCell ref="O365:O366"/>
    <mergeCell ref="P365:P366"/>
    <mergeCell ref="Q365:Q366"/>
    <mergeCell ref="N311:N312"/>
    <mergeCell ref="O311:O312"/>
    <mergeCell ref="P311:P312"/>
    <mergeCell ref="Q311:Q312"/>
    <mergeCell ref="P321:P322"/>
    <mergeCell ref="Q321:Q322"/>
    <mergeCell ref="P323:P324"/>
    <mergeCell ref="Q323:Q324"/>
    <mergeCell ref="P325:P326"/>
    <mergeCell ref="Q325:Q326"/>
    <mergeCell ref="P327:P328"/>
    <mergeCell ref="Q327:Q328"/>
    <mergeCell ref="P329:P330"/>
    <mergeCell ref="Q329:Q330"/>
    <mergeCell ref="P331:P332"/>
    <mergeCell ref="Q331:Q332"/>
    <mergeCell ref="P351:P352"/>
    <mergeCell ref="Q351:Q352"/>
    <mergeCell ref="P343:P344"/>
    <mergeCell ref="Q343:Q344"/>
    <mergeCell ref="O345:O346"/>
    <mergeCell ref="P345:P346"/>
    <mergeCell ref="Q345:Q346"/>
    <mergeCell ref="O347:O348"/>
    <mergeCell ref="P347:P348"/>
    <mergeCell ref="Q347:Q348"/>
    <mergeCell ref="O349:O350"/>
    <mergeCell ref="P349:P350"/>
    <mergeCell ref="Q349:Q350"/>
    <mergeCell ref="N321:N322"/>
    <mergeCell ref="O321:O322"/>
    <mergeCell ref="N339:N340"/>
    <mergeCell ref="N297:N298"/>
    <mergeCell ref="O297:O298"/>
    <mergeCell ref="P297:P298"/>
    <mergeCell ref="Q297:Q298"/>
    <mergeCell ref="N299:N300"/>
    <mergeCell ref="O299:O300"/>
    <mergeCell ref="P299:P300"/>
    <mergeCell ref="Q299:Q300"/>
    <mergeCell ref="N301:N302"/>
    <mergeCell ref="O301:O302"/>
    <mergeCell ref="P301:P302"/>
    <mergeCell ref="Q301:Q302"/>
    <mergeCell ref="N303:N304"/>
    <mergeCell ref="O303:O304"/>
    <mergeCell ref="P303:P304"/>
    <mergeCell ref="Q303:Q304"/>
    <mergeCell ref="N309:N310"/>
    <mergeCell ref="O309:O310"/>
    <mergeCell ref="P309:P310"/>
    <mergeCell ref="Q309:Q310"/>
    <mergeCell ref="N287:N288"/>
    <mergeCell ref="O287:O288"/>
    <mergeCell ref="P287:P288"/>
    <mergeCell ref="Q287:Q288"/>
    <mergeCell ref="N289:N290"/>
    <mergeCell ref="O289:O290"/>
    <mergeCell ref="P289:P290"/>
    <mergeCell ref="Q289:Q290"/>
    <mergeCell ref="N291:N292"/>
    <mergeCell ref="O291:O292"/>
    <mergeCell ref="P291:P292"/>
    <mergeCell ref="Q291:Q292"/>
    <mergeCell ref="N293:N294"/>
    <mergeCell ref="O293:O294"/>
    <mergeCell ref="P293:P294"/>
    <mergeCell ref="Q293:Q294"/>
    <mergeCell ref="N295:N296"/>
    <mergeCell ref="O295:O296"/>
    <mergeCell ref="P295:P296"/>
    <mergeCell ref="Q295:Q296"/>
    <mergeCell ref="N277:N278"/>
    <mergeCell ref="O277:O278"/>
    <mergeCell ref="P277:P278"/>
    <mergeCell ref="Q277:Q278"/>
    <mergeCell ref="N279:N280"/>
    <mergeCell ref="O279:O280"/>
    <mergeCell ref="P279:P280"/>
    <mergeCell ref="Q279:Q280"/>
    <mergeCell ref="N281:N282"/>
    <mergeCell ref="O281:O282"/>
    <mergeCell ref="P281:P282"/>
    <mergeCell ref="Q281:Q282"/>
    <mergeCell ref="N283:N284"/>
    <mergeCell ref="O283:O284"/>
    <mergeCell ref="P283:P284"/>
    <mergeCell ref="Q283:Q284"/>
    <mergeCell ref="N285:N286"/>
    <mergeCell ref="O285:O286"/>
    <mergeCell ref="P285:P286"/>
    <mergeCell ref="Q285:Q286"/>
    <mergeCell ref="O253:O254"/>
    <mergeCell ref="P253:P254"/>
    <mergeCell ref="Q253:Q254"/>
    <mergeCell ref="O255:O256"/>
    <mergeCell ref="P255:P256"/>
    <mergeCell ref="Q255:Q256"/>
    <mergeCell ref="P257:P258"/>
    <mergeCell ref="Q257:Q258"/>
    <mergeCell ref="P259:P260"/>
    <mergeCell ref="Q259:Q260"/>
    <mergeCell ref="P261:P262"/>
    <mergeCell ref="Q261:Q262"/>
    <mergeCell ref="P263:P264"/>
    <mergeCell ref="Q263:Q264"/>
    <mergeCell ref="N274:N275"/>
    <mergeCell ref="O274:O275"/>
    <mergeCell ref="P274:P275"/>
    <mergeCell ref="Q274:Q275"/>
    <mergeCell ref="N253:N254"/>
    <mergeCell ref="O241:O242"/>
    <mergeCell ref="P241:P242"/>
    <mergeCell ref="Q241:Q242"/>
    <mergeCell ref="N243:N244"/>
    <mergeCell ref="O243:O244"/>
    <mergeCell ref="P243:P244"/>
    <mergeCell ref="Q243:Q244"/>
    <mergeCell ref="N245:N246"/>
    <mergeCell ref="O245:O246"/>
    <mergeCell ref="P245:P246"/>
    <mergeCell ref="Q245:Q246"/>
    <mergeCell ref="N247:N248"/>
    <mergeCell ref="O247:O248"/>
    <mergeCell ref="P247:P248"/>
    <mergeCell ref="Q247:Q248"/>
    <mergeCell ref="N251:N252"/>
    <mergeCell ref="O251:O252"/>
    <mergeCell ref="P251:P252"/>
    <mergeCell ref="Q251:Q252"/>
    <mergeCell ref="P221:P222"/>
    <mergeCell ref="Q221:Q222"/>
    <mergeCell ref="P223:P224"/>
    <mergeCell ref="Q223:Q224"/>
    <mergeCell ref="P231:P232"/>
    <mergeCell ref="Q231:Q232"/>
    <mergeCell ref="P233:P234"/>
    <mergeCell ref="Q233:Q234"/>
    <mergeCell ref="N235:N236"/>
    <mergeCell ref="O235:O236"/>
    <mergeCell ref="P235:P236"/>
    <mergeCell ref="Q235:Q236"/>
    <mergeCell ref="N237:N238"/>
    <mergeCell ref="O237:O238"/>
    <mergeCell ref="P237:P238"/>
    <mergeCell ref="Q237:Q238"/>
    <mergeCell ref="N239:N240"/>
    <mergeCell ref="O239:O240"/>
    <mergeCell ref="P239:P240"/>
    <mergeCell ref="Q239:Q240"/>
    <mergeCell ref="N221:N222"/>
    <mergeCell ref="O221:O222"/>
    <mergeCell ref="P197:P198"/>
    <mergeCell ref="Q197:Q198"/>
    <mergeCell ref="N199:N200"/>
    <mergeCell ref="O199:O200"/>
    <mergeCell ref="P199:P200"/>
    <mergeCell ref="Q199:Q200"/>
    <mergeCell ref="N201:N202"/>
    <mergeCell ref="O201:O202"/>
    <mergeCell ref="P201:P202"/>
    <mergeCell ref="Q201:Q202"/>
    <mergeCell ref="P213:P214"/>
    <mergeCell ref="Q213:Q214"/>
    <mergeCell ref="P215:P216"/>
    <mergeCell ref="Q215:Q216"/>
    <mergeCell ref="P217:P218"/>
    <mergeCell ref="Q217:Q218"/>
    <mergeCell ref="P219:P220"/>
    <mergeCell ref="Q219:Q220"/>
    <mergeCell ref="N213:N214"/>
    <mergeCell ref="O213:O214"/>
    <mergeCell ref="P187:P188"/>
    <mergeCell ref="Q187:Q188"/>
    <mergeCell ref="N189:N190"/>
    <mergeCell ref="O189:O190"/>
    <mergeCell ref="P189:P190"/>
    <mergeCell ref="Q189:Q190"/>
    <mergeCell ref="N191:N192"/>
    <mergeCell ref="O191:O192"/>
    <mergeCell ref="P191:P192"/>
    <mergeCell ref="Q191:Q192"/>
    <mergeCell ref="N193:N194"/>
    <mergeCell ref="O193:O194"/>
    <mergeCell ref="P193:P194"/>
    <mergeCell ref="Q193:Q194"/>
    <mergeCell ref="N195:N196"/>
    <mergeCell ref="O195:O196"/>
    <mergeCell ref="P195:P196"/>
    <mergeCell ref="Q195:Q196"/>
    <mergeCell ref="P155:P156"/>
    <mergeCell ref="Q155:Q156"/>
    <mergeCell ref="P163:P164"/>
    <mergeCell ref="Q163:Q164"/>
    <mergeCell ref="P165:P166"/>
    <mergeCell ref="Q165:Q166"/>
    <mergeCell ref="P167:P168"/>
    <mergeCell ref="Q167:Q168"/>
    <mergeCell ref="P169:P170"/>
    <mergeCell ref="Q169:Q170"/>
    <mergeCell ref="P171:P172"/>
    <mergeCell ref="Q171:Q172"/>
    <mergeCell ref="P173:P174"/>
    <mergeCell ref="Q173:Q174"/>
    <mergeCell ref="P175:P176"/>
    <mergeCell ref="Q175:Q176"/>
    <mergeCell ref="P177:P178"/>
    <mergeCell ref="Q177:Q178"/>
    <mergeCell ref="Q144:Q145"/>
    <mergeCell ref="N146:N147"/>
    <mergeCell ref="O146:O147"/>
    <mergeCell ref="P146:P147"/>
    <mergeCell ref="Q146:Q147"/>
    <mergeCell ref="N149:N150"/>
    <mergeCell ref="O149:O150"/>
    <mergeCell ref="P149:P150"/>
    <mergeCell ref="Q149:Q150"/>
    <mergeCell ref="N151:N152"/>
    <mergeCell ref="O151:O152"/>
    <mergeCell ref="P151:P152"/>
    <mergeCell ref="Q151:Q152"/>
    <mergeCell ref="N153:N154"/>
    <mergeCell ref="O153:O154"/>
    <mergeCell ref="P153:P154"/>
    <mergeCell ref="Q153:Q154"/>
    <mergeCell ref="N144:N145"/>
    <mergeCell ref="O144:O145"/>
    <mergeCell ref="P144:P145"/>
    <mergeCell ref="N15:N16"/>
    <mergeCell ref="O15:O16"/>
    <mergeCell ref="P15:P16"/>
    <mergeCell ref="Q15:Q16"/>
    <mergeCell ref="N17:N18"/>
    <mergeCell ref="O17:O18"/>
    <mergeCell ref="P17:P18"/>
    <mergeCell ref="Q17:Q18"/>
    <mergeCell ref="N19:N20"/>
    <mergeCell ref="O19:O20"/>
    <mergeCell ref="P19:P20"/>
    <mergeCell ref="Q19:Q20"/>
    <mergeCell ref="N21:N22"/>
    <mergeCell ref="O21:O22"/>
    <mergeCell ref="P21:P22"/>
    <mergeCell ref="Q21:Q22"/>
    <mergeCell ref="N99:N100"/>
    <mergeCell ref="O99:O100"/>
    <mergeCell ref="P99:P100"/>
    <mergeCell ref="Q99:Q100"/>
    <mergeCell ref="P77:P78"/>
    <mergeCell ref="Q77:Q78"/>
    <mergeCell ref="P73:P74"/>
    <mergeCell ref="Q73:Q74"/>
    <mergeCell ref="N71:N72"/>
    <mergeCell ref="O71:O72"/>
    <mergeCell ref="P71:P72"/>
    <mergeCell ref="Q71:Q72"/>
    <mergeCell ref="P67:P68"/>
    <mergeCell ref="Q67:Q68"/>
    <mergeCell ref="P63:P64"/>
    <mergeCell ref="Q63:Q64"/>
    <mergeCell ref="N5:N6"/>
    <mergeCell ref="O5:O6"/>
    <mergeCell ref="P5:P6"/>
    <mergeCell ref="Q5:Q6"/>
    <mergeCell ref="N7:N8"/>
    <mergeCell ref="O7:O8"/>
    <mergeCell ref="P7:P8"/>
    <mergeCell ref="Q7:Q8"/>
    <mergeCell ref="N9:N10"/>
    <mergeCell ref="O9:O10"/>
    <mergeCell ref="P9:P10"/>
    <mergeCell ref="Q9:Q10"/>
    <mergeCell ref="N11:N12"/>
    <mergeCell ref="O11:O12"/>
    <mergeCell ref="P11:P12"/>
    <mergeCell ref="Q11:Q12"/>
    <mergeCell ref="N13:N14"/>
    <mergeCell ref="O13:O14"/>
    <mergeCell ref="P13:P14"/>
    <mergeCell ref="Q13:Q14"/>
    <mergeCell ref="P65:P66"/>
    <mergeCell ref="Q65:Q66"/>
    <mergeCell ref="P39:P40"/>
    <mergeCell ref="Q39:Q40"/>
    <mergeCell ref="P41:P42"/>
    <mergeCell ref="Q41:Q42"/>
    <mergeCell ref="O43:O44"/>
    <mergeCell ref="P43:P44"/>
    <mergeCell ref="Q43:Q44"/>
    <mergeCell ref="P45:P46"/>
    <mergeCell ref="Q45:Q46"/>
    <mergeCell ref="P47:P48"/>
    <mergeCell ref="Q47:Q48"/>
    <mergeCell ref="P49:P50"/>
    <mergeCell ref="Q49:Q50"/>
    <mergeCell ref="P51:P52"/>
    <mergeCell ref="Q51:Q52"/>
    <mergeCell ref="O45:O46"/>
    <mergeCell ref="P93:P94"/>
    <mergeCell ref="Q93:Q94"/>
    <mergeCell ref="N79:N80"/>
    <mergeCell ref="O79:O80"/>
    <mergeCell ref="P79:P80"/>
    <mergeCell ref="Q79:Q80"/>
    <mergeCell ref="N81:N82"/>
    <mergeCell ref="O81:O82"/>
    <mergeCell ref="P81:P82"/>
    <mergeCell ref="Q81:Q82"/>
    <mergeCell ref="N83:N84"/>
    <mergeCell ref="O83:O84"/>
    <mergeCell ref="P83:P84"/>
    <mergeCell ref="Q83:Q84"/>
    <mergeCell ref="N85:N86"/>
    <mergeCell ref="O85:O86"/>
    <mergeCell ref="P85:P86"/>
    <mergeCell ref="Q85:Q86"/>
    <mergeCell ref="N87:N88"/>
    <mergeCell ref="O87:O88"/>
    <mergeCell ref="P87:P88"/>
    <mergeCell ref="Q87:Q88"/>
    <mergeCell ref="N89:N90"/>
    <mergeCell ref="O89:O90"/>
    <mergeCell ref="P89:P90"/>
    <mergeCell ref="Q89:Q90"/>
    <mergeCell ref="N91:N92"/>
    <mergeCell ref="O91:O92"/>
    <mergeCell ref="P91:P92"/>
    <mergeCell ref="Q91:Q92"/>
    <mergeCell ref="P121:P122"/>
    <mergeCell ref="Q121:Q122"/>
    <mergeCell ref="P119:P120"/>
    <mergeCell ref="Q119:Q120"/>
    <mergeCell ref="P117:P118"/>
    <mergeCell ref="Q117:Q118"/>
    <mergeCell ref="P109:P110"/>
    <mergeCell ref="Q109:Q110"/>
    <mergeCell ref="P111:P112"/>
    <mergeCell ref="Q111:Q112"/>
    <mergeCell ref="P113:P114"/>
    <mergeCell ref="Q113:Q114"/>
    <mergeCell ref="P115:P116"/>
    <mergeCell ref="Q115:Q116"/>
    <mergeCell ref="P101:P102"/>
    <mergeCell ref="Q101:Q102"/>
    <mergeCell ref="P95:P96"/>
    <mergeCell ref="Q95:Q96"/>
    <mergeCell ref="P131:P132"/>
    <mergeCell ref="Q131:Q132"/>
    <mergeCell ref="N133:N134"/>
    <mergeCell ref="O133:O134"/>
    <mergeCell ref="P133:P134"/>
    <mergeCell ref="Q133:Q134"/>
    <mergeCell ref="N135:N136"/>
    <mergeCell ref="O135:O136"/>
    <mergeCell ref="P135:P136"/>
    <mergeCell ref="Q135:Q136"/>
    <mergeCell ref="N137:N138"/>
    <mergeCell ref="O137:O138"/>
    <mergeCell ref="P137:P138"/>
    <mergeCell ref="Q137:Q138"/>
    <mergeCell ref="N139:N140"/>
    <mergeCell ref="O139:O140"/>
    <mergeCell ref="P139:P140"/>
    <mergeCell ref="Q139:Q140"/>
    <mergeCell ref="I3:M3"/>
    <mergeCell ref="A568:P568"/>
    <mergeCell ref="A567:K567"/>
    <mergeCell ref="N567:P567"/>
    <mergeCell ref="B571:I571"/>
    <mergeCell ref="E15:E16"/>
    <mergeCell ref="C17:C18"/>
    <mergeCell ref="D17:D18"/>
    <mergeCell ref="E17:E18"/>
    <mergeCell ref="C11:C12"/>
    <mergeCell ref="D11:D12"/>
    <mergeCell ref="E11:E12"/>
    <mergeCell ref="C13:C14"/>
    <mergeCell ref="D13:D14"/>
    <mergeCell ref="E13:E14"/>
    <mergeCell ref="N3:Q3"/>
    <mergeCell ref="A5:A64"/>
    <mergeCell ref="B5:B64"/>
    <mergeCell ref="C5:C6"/>
    <mergeCell ref="D5:D6"/>
    <mergeCell ref="E5:E6"/>
    <mergeCell ref="A3:A4"/>
    <mergeCell ref="B3:B4"/>
    <mergeCell ref="C3:C4"/>
    <mergeCell ref="D3:D4"/>
    <mergeCell ref="E3:E4"/>
    <mergeCell ref="F3:F4"/>
    <mergeCell ref="C7:C8"/>
    <mergeCell ref="D7:D8"/>
    <mergeCell ref="E7:E8"/>
    <mergeCell ref="N343:N344"/>
    <mergeCell ref="O343:O344"/>
    <mergeCell ref="C9:C10"/>
    <mergeCell ref="D9:D10"/>
    <mergeCell ref="E9:E10"/>
    <mergeCell ref="G3:G4"/>
    <mergeCell ref="H3:H4"/>
    <mergeCell ref="C27:C28"/>
    <mergeCell ref="D27:D28"/>
    <mergeCell ref="E27:E28"/>
    <mergeCell ref="C29:C30"/>
    <mergeCell ref="D29:D30"/>
    <mergeCell ref="E29:E30"/>
    <mergeCell ref="C23:C24"/>
    <mergeCell ref="D23:D24"/>
    <mergeCell ref="E23:E24"/>
    <mergeCell ref="C25:C26"/>
    <mergeCell ref="D25:D26"/>
    <mergeCell ref="E25:E26"/>
    <mergeCell ref="C19:C20"/>
    <mergeCell ref="D19:D20"/>
    <mergeCell ref="E19:E20"/>
    <mergeCell ref="C21:C22"/>
    <mergeCell ref="D21:D22"/>
    <mergeCell ref="E21:E22"/>
    <mergeCell ref="C15:C16"/>
    <mergeCell ref="D15:D16"/>
    <mergeCell ref="C39:C40"/>
    <mergeCell ref="D39:D40"/>
    <mergeCell ref="E39:E40"/>
    <mergeCell ref="N39:N40"/>
    <mergeCell ref="O39:O40"/>
    <mergeCell ref="C41:C42"/>
    <mergeCell ref="D41:D42"/>
    <mergeCell ref="E41:E42"/>
    <mergeCell ref="N41:N42"/>
    <mergeCell ref="O41:O42"/>
    <mergeCell ref="C35:C36"/>
    <mergeCell ref="D35:D36"/>
    <mergeCell ref="E35:E36"/>
    <mergeCell ref="C37:C38"/>
    <mergeCell ref="D37:D38"/>
    <mergeCell ref="E37:E38"/>
    <mergeCell ref="C31:C32"/>
    <mergeCell ref="D31:D32"/>
    <mergeCell ref="E31:E32"/>
    <mergeCell ref="C33:C34"/>
    <mergeCell ref="D33:D34"/>
    <mergeCell ref="E33:E34"/>
    <mergeCell ref="C47:C48"/>
    <mergeCell ref="N47:N48"/>
    <mergeCell ref="O47:O48"/>
    <mergeCell ref="C49:C50"/>
    <mergeCell ref="D49:D50"/>
    <mergeCell ref="E49:E50"/>
    <mergeCell ref="N49:N50"/>
    <mergeCell ref="O49:O50"/>
    <mergeCell ref="C43:C44"/>
    <mergeCell ref="D43:D44"/>
    <mergeCell ref="E43:E44"/>
    <mergeCell ref="N43:N44"/>
    <mergeCell ref="C45:C46"/>
    <mergeCell ref="D45:D46"/>
    <mergeCell ref="E45:E46"/>
    <mergeCell ref="N45:N46"/>
    <mergeCell ref="C59:C60"/>
    <mergeCell ref="D59:D60"/>
    <mergeCell ref="E59:E60"/>
    <mergeCell ref="C61:C62"/>
    <mergeCell ref="D61:D62"/>
    <mergeCell ref="E61:E62"/>
    <mergeCell ref="C55:C56"/>
    <mergeCell ref="D55:D56"/>
    <mergeCell ref="E55:E56"/>
    <mergeCell ref="C57:C58"/>
    <mergeCell ref="D57:D58"/>
    <mergeCell ref="E57:E58"/>
    <mergeCell ref="C51:C52"/>
    <mergeCell ref="D51:D52"/>
    <mergeCell ref="E51:E52"/>
    <mergeCell ref="N51:N52"/>
    <mergeCell ref="O51:O52"/>
    <mergeCell ref="C53:C54"/>
    <mergeCell ref="D53:D54"/>
    <mergeCell ref="E53:E54"/>
    <mergeCell ref="C71:C72"/>
    <mergeCell ref="D71:D72"/>
    <mergeCell ref="E71:E72"/>
    <mergeCell ref="C73:C74"/>
    <mergeCell ref="D73:D74"/>
    <mergeCell ref="E73:E74"/>
    <mergeCell ref="D67:D68"/>
    <mergeCell ref="E67:E68"/>
    <mergeCell ref="N67:N68"/>
    <mergeCell ref="O67:O68"/>
    <mergeCell ref="C69:C70"/>
    <mergeCell ref="D69:D70"/>
    <mergeCell ref="E69:E70"/>
    <mergeCell ref="C63:C64"/>
    <mergeCell ref="D63:D64"/>
    <mergeCell ref="E63:E64"/>
    <mergeCell ref="N63:N64"/>
    <mergeCell ref="O63:O64"/>
    <mergeCell ref="C65:C66"/>
    <mergeCell ref="D65:D66"/>
    <mergeCell ref="E65:E66"/>
    <mergeCell ref="C67:C68"/>
    <mergeCell ref="N65:N66"/>
    <mergeCell ref="O65:O66"/>
    <mergeCell ref="C83:C84"/>
    <mergeCell ref="D83:D84"/>
    <mergeCell ref="E83:E84"/>
    <mergeCell ref="C85:C86"/>
    <mergeCell ref="D85:D86"/>
    <mergeCell ref="E85:E86"/>
    <mergeCell ref="C79:C80"/>
    <mergeCell ref="D79:D80"/>
    <mergeCell ref="E79:E80"/>
    <mergeCell ref="C81:C82"/>
    <mergeCell ref="D81:D82"/>
    <mergeCell ref="E81:E82"/>
    <mergeCell ref="N73:N74"/>
    <mergeCell ref="O73:O74"/>
    <mergeCell ref="C75:C76"/>
    <mergeCell ref="D75:D76"/>
    <mergeCell ref="E75:E76"/>
    <mergeCell ref="C77:C78"/>
    <mergeCell ref="D77:D78"/>
    <mergeCell ref="E77:E78"/>
    <mergeCell ref="N77:N78"/>
    <mergeCell ref="O77:O78"/>
    <mergeCell ref="C95:C96"/>
    <mergeCell ref="D95:D96"/>
    <mergeCell ref="E95:E96"/>
    <mergeCell ref="N95:N96"/>
    <mergeCell ref="O95:O96"/>
    <mergeCell ref="C97:C98"/>
    <mergeCell ref="D97:D98"/>
    <mergeCell ref="E97:E98"/>
    <mergeCell ref="C91:C92"/>
    <mergeCell ref="D91:D92"/>
    <mergeCell ref="E91:E92"/>
    <mergeCell ref="C93:C94"/>
    <mergeCell ref="D93:D94"/>
    <mergeCell ref="E93:E94"/>
    <mergeCell ref="C87:C88"/>
    <mergeCell ref="D87:D88"/>
    <mergeCell ref="E87:E88"/>
    <mergeCell ref="C89:C90"/>
    <mergeCell ref="D89:D90"/>
    <mergeCell ref="E89:E90"/>
    <mergeCell ref="N93:N94"/>
    <mergeCell ref="O93:O94"/>
    <mergeCell ref="C107:C108"/>
    <mergeCell ref="D107:D108"/>
    <mergeCell ref="E107:E108"/>
    <mergeCell ref="C109:C110"/>
    <mergeCell ref="D109:D110"/>
    <mergeCell ref="E109:E110"/>
    <mergeCell ref="N101:N102"/>
    <mergeCell ref="O101:O102"/>
    <mergeCell ref="C103:C104"/>
    <mergeCell ref="D103:D104"/>
    <mergeCell ref="E103:E104"/>
    <mergeCell ref="C105:C106"/>
    <mergeCell ref="D105:D106"/>
    <mergeCell ref="E105:E106"/>
    <mergeCell ref="C99:C100"/>
    <mergeCell ref="D99:D100"/>
    <mergeCell ref="E99:E100"/>
    <mergeCell ref="C101:C102"/>
    <mergeCell ref="D101:D102"/>
    <mergeCell ref="E101:E102"/>
    <mergeCell ref="C113:C114"/>
    <mergeCell ref="D113:D114"/>
    <mergeCell ref="E113:E114"/>
    <mergeCell ref="N113:N114"/>
    <mergeCell ref="O113:O114"/>
    <mergeCell ref="C115:C116"/>
    <mergeCell ref="D115:D116"/>
    <mergeCell ref="E115:E116"/>
    <mergeCell ref="N115:N116"/>
    <mergeCell ref="O115:O116"/>
    <mergeCell ref="N109:N110"/>
    <mergeCell ref="O109:O110"/>
    <mergeCell ref="C111:C112"/>
    <mergeCell ref="D111:D112"/>
    <mergeCell ref="E111:E112"/>
    <mergeCell ref="N111:N112"/>
    <mergeCell ref="O111:O112"/>
    <mergeCell ref="D121:D122"/>
    <mergeCell ref="E121:E122"/>
    <mergeCell ref="N121:N122"/>
    <mergeCell ref="O121:O122"/>
    <mergeCell ref="C123:C124"/>
    <mergeCell ref="D123:D124"/>
    <mergeCell ref="E123:E124"/>
    <mergeCell ref="C117:C118"/>
    <mergeCell ref="D117:D118"/>
    <mergeCell ref="E117:E118"/>
    <mergeCell ref="N117:N118"/>
    <mergeCell ref="O117:O118"/>
    <mergeCell ref="C119:C120"/>
    <mergeCell ref="D119:D120"/>
    <mergeCell ref="E119:E120"/>
    <mergeCell ref="N119:N120"/>
    <mergeCell ref="O119:O120"/>
    <mergeCell ref="B135:B190"/>
    <mergeCell ref="C135:C136"/>
    <mergeCell ref="D135:D136"/>
    <mergeCell ref="E135:E136"/>
    <mergeCell ref="C137:C138"/>
    <mergeCell ref="B65:B134"/>
    <mergeCell ref="C143:C144"/>
    <mergeCell ref="D143:D144"/>
    <mergeCell ref="E143:E144"/>
    <mergeCell ref="C145:C146"/>
    <mergeCell ref="D145:D146"/>
    <mergeCell ref="E145:E146"/>
    <mergeCell ref="D137:D138"/>
    <mergeCell ref="E137:E138"/>
    <mergeCell ref="C139:C140"/>
    <mergeCell ref="D139:D140"/>
    <mergeCell ref="E139:E140"/>
    <mergeCell ref="C141:C142"/>
    <mergeCell ref="D141:D142"/>
    <mergeCell ref="C129:C130"/>
    <mergeCell ref="D129:D130"/>
    <mergeCell ref="E129:E130"/>
    <mergeCell ref="C131:C132"/>
    <mergeCell ref="D131:D132"/>
    <mergeCell ref="E131:E132"/>
    <mergeCell ref="C125:C126"/>
    <mergeCell ref="D125:D126"/>
    <mergeCell ref="E125:E126"/>
    <mergeCell ref="C127:C128"/>
    <mergeCell ref="D127:D128"/>
    <mergeCell ref="E127:E128"/>
    <mergeCell ref="C121:C122"/>
    <mergeCell ref="E141:E142"/>
    <mergeCell ref="C151:C152"/>
    <mergeCell ref="D151:D152"/>
    <mergeCell ref="E151:E152"/>
    <mergeCell ref="C153:C154"/>
    <mergeCell ref="D153:D154"/>
    <mergeCell ref="E153:E154"/>
    <mergeCell ref="C147:C148"/>
    <mergeCell ref="D147:D148"/>
    <mergeCell ref="E147:E148"/>
    <mergeCell ref="C149:C150"/>
    <mergeCell ref="D149:D150"/>
    <mergeCell ref="E149:E150"/>
    <mergeCell ref="N131:N132"/>
    <mergeCell ref="O131:O132"/>
    <mergeCell ref="C133:C134"/>
    <mergeCell ref="D133:D134"/>
    <mergeCell ref="E133:E134"/>
    <mergeCell ref="C163:C164"/>
    <mergeCell ref="D163:D164"/>
    <mergeCell ref="E163:E164"/>
    <mergeCell ref="N163:N164"/>
    <mergeCell ref="O163:O164"/>
    <mergeCell ref="C165:C166"/>
    <mergeCell ref="D165:D166"/>
    <mergeCell ref="E165:E166"/>
    <mergeCell ref="N165:N166"/>
    <mergeCell ref="O165:O166"/>
    <mergeCell ref="C159:C160"/>
    <mergeCell ref="D159:D160"/>
    <mergeCell ref="E159:E160"/>
    <mergeCell ref="C161:C162"/>
    <mergeCell ref="D161:D162"/>
    <mergeCell ref="E161:E162"/>
    <mergeCell ref="C155:C156"/>
    <mergeCell ref="D155:D156"/>
    <mergeCell ref="E155:E156"/>
    <mergeCell ref="C157:C158"/>
    <mergeCell ref="D157:D158"/>
    <mergeCell ref="E157:E158"/>
    <mergeCell ref="N155:N156"/>
    <mergeCell ref="O155:O156"/>
    <mergeCell ref="C171:C172"/>
    <mergeCell ref="D171:D172"/>
    <mergeCell ref="E171:E172"/>
    <mergeCell ref="N171:N172"/>
    <mergeCell ref="O171:O172"/>
    <mergeCell ref="C173:C174"/>
    <mergeCell ref="D173:D174"/>
    <mergeCell ref="E173:E174"/>
    <mergeCell ref="N173:N174"/>
    <mergeCell ref="O173:O174"/>
    <mergeCell ref="C167:C168"/>
    <mergeCell ref="D167:D168"/>
    <mergeCell ref="E167:E168"/>
    <mergeCell ref="N167:N168"/>
    <mergeCell ref="O167:O168"/>
    <mergeCell ref="C169:C170"/>
    <mergeCell ref="D169:D170"/>
    <mergeCell ref="E169:E170"/>
    <mergeCell ref="N169:N170"/>
    <mergeCell ref="O169:O170"/>
    <mergeCell ref="C183:C184"/>
    <mergeCell ref="D183:D184"/>
    <mergeCell ref="E183:E184"/>
    <mergeCell ref="C185:C186"/>
    <mergeCell ref="D185:D186"/>
    <mergeCell ref="E185:E186"/>
    <mergeCell ref="C179:C180"/>
    <mergeCell ref="D179:D180"/>
    <mergeCell ref="E179:E180"/>
    <mergeCell ref="C181:C182"/>
    <mergeCell ref="D181:D182"/>
    <mergeCell ref="E181:E182"/>
    <mergeCell ref="C175:C176"/>
    <mergeCell ref="D175:D176"/>
    <mergeCell ref="E175:E176"/>
    <mergeCell ref="N175:N176"/>
    <mergeCell ref="O175:O176"/>
    <mergeCell ref="C177:C178"/>
    <mergeCell ref="D177:D178"/>
    <mergeCell ref="E177:E178"/>
    <mergeCell ref="N177:N178"/>
    <mergeCell ref="O177:O178"/>
    <mergeCell ref="E201:E202"/>
    <mergeCell ref="C203:C204"/>
    <mergeCell ref="D203:D204"/>
    <mergeCell ref="E203:E204"/>
    <mergeCell ref="C197:C198"/>
    <mergeCell ref="D197:D198"/>
    <mergeCell ref="E197:E198"/>
    <mergeCell ref="C199:C200"/>
    <mergeCell ref="D199:D200"/>
    <mergeCell ref="E199:E200"/>
    <mergeCell ref="C187:C188"/>
    <mergeCell ref="D187:D188"/>
    <mergeCell ref="E187:E188"/>
    <mergeCell ref="N187:N188"/>
    <mergeCell ref="O187:O188"/>
    <mergeCell ref="C189:C190"/>
    <mergeCell ref="D189:D190"/>
    <mergeCell ref="E189:E190"/>
    <mergeCell ref="N197:N198"/>
    <mergeCell ref="O197:O198"/>
    <mergeCell ref="C215:C216"/>
    <mergeCell ref="D215:D216"/>
    <mergeCell ref="E215:E216"/>
    <mergeCell ref="N215:N216"/>
    <mergeCell ref="O215:O216"/>
    <mergeCell ref="C209:C210"/>
    <mergeCell ref="D209:D210"/>
    <mergeCell ref="E209:E210"/>
    <mergeCell ref="C211:C212"/>
    <mergeCell ref="D211:D212"/>
    <mergeCell ref="E211:E212"/>
    <mergeCell ref="C205:C206"/>
    <mergeCell ref="D205:D206"/>
    <mergeCell ref="E205:E206"/>
    <mergeCell ref="C207:C208"/>
    <mergeCell ref="D207:D208"/>
    <mergeCell ref="E207:E208"/>
    <mergeCell ref="C223:C224"/>
    <mergeCell ref="D223:D224"/>
    <mergeCell ref="E223:E224"/>
    <mergeCell ref="N223:N224"/>
    <mergeCell ref="O223:O224"/>
    <mergeCell ref="C217:C218"/>
    <mergeCell ref="D217:D218"/>
    <mergeCell ref="E217:E218"/>
    <mergeCell ref="N217:N218"/>
    <mergeCell ref="O217:O218"/>
    <mergeCell ref="C219:C220"/>
    <mergeCell ref="D219:D220"/>
    <mergeCell ref="E219:E220"/>
    <mergeCell ref="N219:N220"/>
    <mergeCell ref="O219:O220"/>
    <mergeCell ref="N231:N232"/>
    <mergeCell ref="O231:O232"/>
    <mergeCell ref="C233:C234"/>
    <mergeCell ref="D233:D234"/>
    <mergeCell ref="E233:E234"/>
    <mergeCell ref="N233:N234"/>
    <mergeCell ref="O233:O234"/>
    <mergeCell ref="C229:C230"/>
    <mergeCell ref="D229:D230"/>
    <mergeCell ref="E229:E230"/>
    <mergeCell ref="C231:C232"/>
    <mergeCell ref="D231:D232"/>
    <mergeCell ref="E231:E232"/>
    <mergeCell ref="C225:C226"/>
    <mergeCell ref="D225:D226"/>
    <mergeCell ref="E225:E226"/>
    <mergeCell ref="C227:C228"/>
    <mergeCell ref="D227:D228"/>
    <mergeCell ref="E227:E228"/>
    <mergeCell ref="C235:C236"/>
    <mergeCell ref="D235:D236"/>
    <mergeCell ref="E235:E236"/>
    <mergeCell ref="B237:B276"/>
    <mergeCell ref="C237:C238"/>
    <mergeCell ref="D237:D238"/>
    <mergeCell ref="E237:E238"/>
    <mergeCell ref="C239:C240"/>
    <mergeCell ref="D239:D240"/>
    <mergeCell ref="E239:E240"/>
    <mergeCell ref="B191:B236"/>
    <mergeCell ref="C191:C192"/>
    <mergeCell ref="D191:D192"/>
    <mergeCell ref="E191:E192"/>
    <mergeCell ref="C193:C194"/>
    <mergeCell ref="D193:D194"/>
    <mergeCell ref="E193:E194"/>
    <mergeCell ref="C195:C196"/>
    <mergeCell ref="D195:D196"/>
    <mergeCell ref="E195:E196"/>
    <mergeCell ref="C245:C246"/>
    <mergeCell ref="D245:D246"/>
    <mergeCell ref="E245:E246"/>
    <mergeCell ref="C247:C248"/>
    <mergeCell ref="C221:C222"/>
    <mergeCell ref="D221:D222"/>
    <mergeCell ref="E221:E222"/>
    <mergeCell ref="C213:C214"/>
    <mergeCell ref="D213:D214"/>
    <mergeCell ref="E213:E214"/>
    <mergeCell ref="C201:C202"/>
    <mergeCell ref="D201:D202"/>
    <mergeCell ref="C255:C256"/>
    <mergeCell ref="D255:D256"/>
    <mergeCell ref="E255:E256"/>
    <mergeCell ref="N255:N256"/>
    <mergeCell ref="C249:C250"/>
    <mergeCell ref="D249:D250"/>
    <mergeCell ref="E249:E250"/>
    <mergeCell ref="C251:C252"/>
    <mergeCell ref="D251:D252"/>
    <mergeCell ref="E251:E252"/>
    <mergeCell ref="D247:D248"/>
    <mergeCell ref="E247:E248"/>
    <mergeCell ref="C241:C242"/>
    <mergeCell ref="D241:D242"/>
    <mergeCell ref="E241:E242"/>
    <mergeCell ref="C243:C244"/>
    <mergeCell ref="D243:D244"/>
    <mergeCell ref="E243:E244"/>
    <mergeCell ref="C253:C254"/>
    <mergeCell ref="D253:D254"/>
    <mergeCell ref="E253:E254"/>
    <mergeCell ref="N241:N242"/>
    <mergeCell ref="C261:C262"/>
    <mergeCell ref="D261:D262"/>
    <mergeCell ref="E261:E262"/>
    <mergeCell ref="N261:N262"/>
    <mergeCell ref="O261:O262"/>
    <mergeCell ref="C263:C264"/>
    <mergeCell ref="D263:D264"/>
    <mergeCell ref="E263:E264"/>
    <mergeCell ref="N263:N264"/>
    <mergeCell ref="O263:O264"/>
    <mergeCell ref="C257:C258"/>
    <mergeCell ref="D257:D258"/>
    <mergeCell ref="E257:E258"/>
    <mergeCell ref="N257:N258"/>
    <mergeCell ref="O257:O258"/>
    <mergeCell ref="C259:C260"/>
    <mergeCell ref="D259:D260"/>
    <mergeCell ref="E259:E260"/>
    <mergeCell ref="N259:N260"/>
    <mergeCell ref="O259:O260"/>
    <mergeCell ref="C273:C274"/>
    <mergeCell ref="D273:D274"/>
    <mergeCell ref="E273:E274"/>
    <mergeCell ref="C275:C276"/>
    <mergeCell ref="D275:D276"/>
    <mergeCell ref="E275:E276"/>
    <mergeCell ref="C269:C270"/>
    <mergeCell ref="D269:D270"/>
    <mergeCell ref="E269:E270"/>
    <mergeCell ref="C271:C272"/>
    <mergeCell ref="D271:D272"/>
    <mergeCell ref="E271:E272"/>
    <mergeCell ref="C265:C266"/>
    <mergeCell ref="D265:D266"/>
    <mergeCell ref="E265:E266"/>
    <mergeCell ref="C267:C268"/>
    <mergeCell ref="D267:D268"/>
    <mergeCell ref="E267:E268"/>
    <mergeCell ref="B277:B342"/>
    <mergeCell ref="C277:C278"/>
    <mergeCell ref="D277:D278"/>
    <mergeCell ref="E277:E278"/>
    <mergeCell ref="C279:C280"/>
    <mergeCell ref="D279:D280"/>
    <mergeCell ref="E279:E280"/>
    <mergeCell ref="C281:C282"/>
    <mergeCell ref="D281:D282"/>
    <mergeCell ref="E281:E282"/>
    <mergeCell ref="C291:C292"/>
    <mergeCell ref="D291:D292"/>
    <mergeCell ref="E291:E292"/>
    <mergeCell ref="C293:C294"/>
    <mergeCell ref="D293:D294"/>
    <mergeCell ref="E293:E294"/>
    <mergeCell ref="C287:C288"/>
    <mergeCell ref="D287:D288"/>
    <mergeCell ref="E287:E288"/>
    <mergeCell ref="C289:C290"/>
    <mergeCell ref="D289:D290"/>
    <mergeCell ref="E289:E290"/>
    <mergeCell ref="C299:C300"/>
    <mergeCell ref="D299:D300"/>
    <mergeCell ref="E299:E300"/>
    <mergeCell ref="C301:C302"/>
    <mergeCell ref="D301:D302"/>
    <mergeCell ref="E301:E302"/>
    <mergeCell ref="C295:C296"/>
    <mergeCell ref="D295:D296"/>
    <mergeCell ref="E295:E296"/>
    <mergeCell ref="C297:C298"/>
    <mergeCell ref="D297:D298"/>
    <mergeCell ref="E297:E298"/>
    <mergeCell ref="C283:C284"/>
    <mergeCell ref="D283:D284"/>
    <mergeCell ref="E283:E284"/>
    <mergeCell ref="C285:C286"/>
    <mergeCell ref="D285:D286"/>
    <mergeCell ref="E285:E286"/>
    <mergeCell ref="C311:C312"/>
    <mergeCell ref="D311:D312"/>
    <mergeCell ref="E311:E312"/>
    <mergeCell ref="C313:C314"/>
    <mergeCell ref="D313:D314"/>
    <mergeCell ref="E313:E314"/>
    <mergeCell ref="C307:C308"/>
    <mergeCell ref="D307:D308"/>
    <mergeCell ref="E307:E308"/>
    <mergeCell ref="C309:C310"/>
    <mergeCell ref="D309:D310"/>
    <mergeCell ref="E309:E310"/>
    <mergeCell ref="C303:C304"/>
    <mergeCell ref="D303:D304"/>
    <mergeCell ref="E303:E304"/>
    <mergeCell ref="C305:C306"/>
    <mergeCell ref="D305:D306"/>
    <mergeCell ref="E305:E306"/>
    <mergeCell ref="C323:C324"/>
    <mergeCell ref="D323:D324"/>
    <mergeCell ref="E323:E324"/>
    <mergeCell ref="N323:N324"/>
    <mergeCell ref="O323:O324"/>
    <mergeCell ref="C319:C320"/>
    <mergeCell ref="D319:D320"/>
    <mergeCell ref="E319:E320"/>
    <mergeCell ref="C321:C322"/>
    <mergeCell ref="D321:D322"/>
    <mergeCell ref="E321:E322"/>
    <mergeCell ref="C315:C316"/>
    <mergeCell ref="D315:D316"/>
    <mergeCell ref="E315:E316"/>
    <mergeCell ref="C317:C318"/>
    <mergeCell ref="D317:D318"/>
    <mergeCell ref="E317:E318"/>
    <mergeCell ref="C329:C330"/>
    <mergeCell ref="D329:D330"/>
    <mergeCell ref="E329:E330"/>
    <mergeCell ref="N329:N330"/>
    <mergeCell ref="O329:O330"/>
    <mergeCell ref="C331:C332"/>
    <mergeCell ref="D331:D332"/>
    <mergeCell ref="E331:E332"/>
    <mergeCell ref="N331:N332"/>
    <mergeCell ref="O331:O332"/>
    <mergeCell ref="C325:C326"/>
    <mergeCell ref="D325:D326"/>
    <mergeCell ref="E325:E326"/>
    <mergeCell ref="N325:N326"/>
    <mergeCell ref="O325:O326"/>
    <mergeCell ref="C327:C328"/>
    <mergeCell ref="D327:D328"/>
    <mergeCell ref="E327:E328"/>
    <mergeCell ref="N327:N328"/>
    <mergeCell ref="O327:O328"/>
    <mergeCell ref="O339:O340"/>
    <mergeCell ref="C341:C342"/>
    <mergeCell ref="D341:D342"/>
    <mergeCell ref="E341:E342"/>
    <mergeCell ref="C337:C338"/>
    <mergeCell ref="D337:D338"/>
    <mergeCell ref="E337:E338"/>
    <mergeCell ref="C339:C340"/>
    <mergeCell ref="D339:D340"/>
    <mergeCell ref="E339:E340"/>
    <mergeCell ref="C333:C334"/>
    <mergeCell ref="D333:D334"/>
    <mergeCell ref="E333:E334"/>
    <mergeCell ref="C335:C336"/>
    <mergeCell ref="D335:D336"/>
    <mergeCell ref="E335:E336"/>
    <mergeCell ref="D343:D344"/>
    <mergeCell ref="E343:E344"/>
    <mergeCell ref="D345:D346"/>
    <mergeCell ref="E345:E346"/>
    <mergeCell ref="D347:D348"/>
    <mergeCell ref="E347:E348"/>
    <mergeCell ref="D349:D350"/>
    <mergeCell ref="E349:E350"/>
    <mergeCell ref="D351:D352"/>
    <mergeCell ref="E351:E352"/>
    <mergeCell ref="A343:A364"/>
    <mergeCell ref="B343:B364"/>
    <mergeCell ref="C343:C344"/>
    <mergeCell ref="C345:C346"/>
    <mergeCell ref="C347:C348"/>
    <mergeCell ref="C349:C350"/>
    <mergeCell ref="C351:C352"/>
    <mergeCell ref="C353:C354"/>
    <mergeCell ref="C355:C356"/>
    <mergeCell ref="C357:C358"/>
    <mergeCell ref="C359:C360"/>
    <mergeCell ref="C361:C362"/>
    <mergeCell ref="C363:C364"/>
    <mergeCell ref="O351:O352"/>
    <mergeCell ref="O353:O354"/>
    <mergeCell ref="O355:O356"/>
    <mergeCell ref="O359:O360"/>
    <mergeCell ref="O363:O364"/>
    <mergeCell ref="D363:D364"/>
    <mergeCell ref="E363:E364"/>
    <mergeCell ref="N351:N352"/>
    <mergeCell ref="N353:N354"/>
    <mergeCell ref="N355:N356"/>
    <mergeCell ref="N359:N360"/>
    <mergeCell ref="N363:N364"/>
    <mergeCell ref="D353:D354"/>
    <mergeCell ref="E353:E354"/>
    <mergeCell ref="D355:D356"/>
    <mergeCell ref="E355:E356"/>
    <mergeCell ref="D357:D358"/>
    <mergeCell ref="E357:E358"/>
    <mergeCell ref="D359:D360"/>
    <mergeCell ref="E359:E360"/>
    <mergeCell ref="D361:D362"/>
    <mergeCell ref="E361:E362"/>
    <mergeCell ref="C389:C390"/>
    <mergeCell ref="D389:D390"/>
    <mergeCell ref="C391:C392"/>
    <mergeCell ref="D391:D392"/>
    <mergeCell ref="C393:C394"/>
    <mergeCell ref="D393:D394"/>
    <mergeCell ref="C383:C384"/>
    <mergeCell ref="D383:D384"/>
    <mergeCell ref="C385:C386"/>
    <mergeCell ref="D385:D386"/>
    <mergeCell ref="C387:C388"/>
    <mergeCell ref="D387:D388"/>
    <mergeCell ref="C377:C378"/>
    <mergeCell ref="D377:D378"/>
    <mergeCell ref="C379:C380"/>
    <mergeCell ref="D379:D380"/>
    <mergeCell ref="C381:C382"/>
    <mergeCell ref="D381:D382"/>
    <mergeCell ref="B365:B432"/>
    <mergeCell ref="C421:C422"/>
    <mergeCell ref="D421:D422"/>
    <mergeCell ref="C423:C424"/>
    <mergeCell ref="D423:D424"/>
    <mergeCell ref="C425:C426"/>
    <mergeCell ref="D425:D426"/>
    <mergeCell ref="C415:C416"/>
    <mergeCell ref="D415:D416"/>
    <mergeCell ref="C417:C418"/>
    <mergeCell ref="D417:D418"/>
    <mergeCell ref="C419:C420"/>
    <mergeCell ref="D419:D420"/>
    <mergeCell ref="C407:C408"/>
    <mergeCell ref="D407:D408"/>
    <mergeCell ref="C409:C410"/>
    <mergeCell ref="D409:D410"/>
    <mergeCell ref="C411:C412"/>
    <mergeCell ref="C413:C414"/>
    <mergeCell ref="D413:D414"/>
    <mergeCell ref="C401:C402"/>
    <mergeCell ref="D401:D402"/>
    <mergeCell ref="C403:C404"/>
    <mergeCell ref="D403:D404"/>
    <mergeCell ref="C405:C406"/>
    <mergeCell ref="D405:D406"/>
    <mergeCell ref="C395:C396"/>
    <mergeCell ref="D395:D396"/>
    <mergeCell ref="C397:C398"/>
    <mergeCell ref="D397:D398"/>
    <mergeCell ref="C399:C400"/>
    <mergeCell ref="D399:D400"/>
    <mergeCell ref="E383:E384"/>
    <mergeCell ref="E385:E386"/>
    <mergeCell ref="E387:E388"/>
    <mergeCell ref="E389:E390"/>
    <mergeCell ref="E391:E392"/>
    <mergeCell ref="E393:E394"/>
    <mergeCell ref="E395:E396"/>
    <mergeCell ref="E397:E398"/>
    <mergeCell ref="E399:E400"/>
    <mergeCell ref="E365:E366"/>
    <mergeCell ref="E367:E368"/>
    <mergeCell ref="E369:E370"/>
    <mergeCell ref="E371:E372"/>
    <mergeCell ref="E373:E374"/>
    <mergeCell ref="E375:E376"/>
    <mergeCell ref="E377:E378"/>
    <mergeCell ref="E379:E380"/>
    <mergeCell ref="E381:E382"/>
    <mergeCell ref="E447:E448"/>
    <mergeCell ref="N411:N412"/>
    <mergeCell ref="N413:N414"/>
    <mergeCell ref="N415:N416"/>
    <mergeCell ref="N425:N426"/>
    <mergeCell ref="N401:N402"/>
    <mergeCell ref="N403:N404"/>
    <mergeCell ref="N405:N406"/>
    <mergeCell ref="N407:N408"/>
    <mergeCell ref="E419:E420"/>
    <mergeCell ref="E421:E422"/>
    <mergeCell ref="E423:E424"/>
    <mergeCell ref="E425:E426"/>
    <mergeCell ref="E427:E428"/>
    <mergeCell ref="E429:E430"/>
    <mergeCell ref="E431:E432"/>
    <mergeCell ref="N397:N398"/>
    <mergeCell ref="N399:N400"/>
    <mergeCell ref="N409:N410"/>
    <mergeCell ref="N427:N428"/>
    <mergeCell ref="E401:E402"/>
    <mergeCell ref="E403:E404"/>
    <mergeCell ref="E405:E406"/>
    <mergeCell ref="E407:E408"/>
    <mergeCell ref="E409:E410"/>
    <mergeCell ref="E413:E414"/>
    <mergeCell ref="E415:E416"/>
    <mergeCell ref="E417:E418"/>
    <mergeCell ref="N433:N434"/>
    <mergeCell ref="N443:N444"/>
    <mergeCell ref="N429:N430"/>
    <mergeCell ref="C433:C434"/>
    <mergeCell ref="D433:D434"/>
    <mergeCell ref="C435:C436"/>
    <mergeCell ref="D435:D436"/>
    <mergeCell ref="C437:C438"/>
    <mergeCell ref="D437:D438"/>
    <mergeCell ref="C439:C440"/>
    <mergeCell ref="D439:D440"/>
    <mergeCell ref="C441:C442"/>
    <mergeCell ref="D441:D442"/>
    <mergeCell ref="C443:C444"/>
    <mergeCell ref="D443:D444"/>
    <mergeCell ref="C445:C446"/>
    <mergeCell ref="E433:E434"/>
    <mergeCell ref="E435:E436"/>
    <mergeCell ref="E437:E438"/>
    <mergeCell ref="E439:E440"/>
    <mergeCell ref="E441:E442"/>
    <mergeCell ref="E443:E444"/>
    <mergeCell ref="E445:E446"/>
    <mergeCell ref="C429:C430"/>
    <mergeCell ref="D429:D430"/>
    <mergeCell ref="C431:C432"/>
    <mergeCell ref="D431:D432"/>
    <mergeCell ref="C467:C468"/>
    <mergeCell ref="D467:D468"/>
    <mergeCell ref="A365:A432"/>
    <mergeCell ref="C365:C366"/>
    <mergeCell ref="D365:D366"/>
    <mergeCell ref="C367:C368"/>
    <mergeCell ref="D367:D368"/>
    <mergeCell ref="C369:C370"/>
    <mergeCell ref="D369:D370"/>
    <mergeCell ref="C371:C372"/>
    <mergeCell ref="D371:D372"/>
    <mergeCell ref="C373:C374"/>
    <mergeCell ref="D373:D374"/>
    <mergeCell ref="C375:C376"/>
    <mergeCell ref="D375:D376"/>
    <mergeCell ref="A433:A504"/>
    <mergeCell ref="B433:B504"/>
    <mergeCell ref="C475:C476"/>
    <mergeCell ref="D475:D476"/>
    <mergeCell ref="C483:C484"/>
    <mergeCell ref="C459:C460"/>
    <mergeCell ref="D483:D484"/>
    <mergeCell ref="D445:D446"/>
    <mergeCell ref="C447:C448"/>
    <mergeCell ref="C449:C450"/>
    <mergeCell ref="D449:D450"/>
    <mergeCell ref="C451:C452"/>
    <mergeCell ref="D451:D452"/>
    <mergeCell ref="D447:D448"/>
    <mergeCell ref="D411:D412"/>
    <mergeCell ref="C427:C428"/>
    <mergeCell ref="D427:D428"/>
    <mergeCell ref="E467:E468"/>
    <mergeCell ref="C469:C470"/>
    <mergeCell ref="D469:D470"/>
    <mergeCell ref="E469:E470"/>
    <mergeCell ref="C471:C472"/>
    <mergeCell ref="D471:D472"/>
    <mergeCell ref="E471:E472"/>
    <mergeCell ref="C473:C474"/>
    <mergeCell ref="D473:D474"/>
    <mergeCell ref="E473:E474"/>
    <mergeCell ref="E449:E450"/>
    <mergeCell ref="E451:E452"/>
    <mergeCell ref="E453:E454"/>
    <mergeCell ref="E455:E456"/>
    <mergeCell ref="E457:E458"/>
    <mergeCell ref="E459:E460"/>
    <mergeCell ref="E461:E462"/>
    <mergeCell ref="E463:E464"/>
    <mergeCell ref="E465:E466"/>
    <mergeCell ref="D459:D460"/>
    <mergeCell ref="C461:C462"/>
    <mergeCell ref="D461:D462"/>
    <mergeCell ref="C463:C464"/>
    <mergeCell ref="D463:D464"/>
    <mergeCell ref="C453:C454"/>
    <mergeCell ref="D453:D454"/>
    <mergeCell ref="C455:C456"/>
    <mergeCell ref="D455:D456"/>
    <mergeCell ref="D493:D494"/>
    <mergeCell ref="E493:E494"/>
    <mergeCell ref="C495:C496"/>
    <mergeCell ref="D495:D496"/>
    <mergeCell ref="E495:E496"/>
    <mergeCell ref="C457:C458"/>
    <mergeCell ref="D457:D458"/>
    <mergeCell ref="C465:C466"/>
    <mergeCell ref="D465:D466"/>
    <mergeCell ref="E483:E484"/>
    <mergeCell ref="C485:C486"/>
    <mergeCell ref="D485:D486"/>
    <mergeCell ref="E485:E486"/>
    <mergeCell ref="C487:C488"/>
    <mergeCell ref="D487:D488"/>
    <mergeCell ref="E487:E488"/>
    <mergeCell ref="C489:C490"/>
    <mergeCell ref="D489:D490"/>
    <mergeCell ref="E489:E490"/>
    <mergeCell ref="E475:E476"/>
    <mergeCell ref="C477:C478"/>
    <mergeCell ref="D477:D478"/>
    <mergeCell ref="E477:E478"/>
    <mergeCell ref="C479:C480"/>
    <mergeCell ref="D479:D480"/>
    <mergeCell ref="C481:C482"/>
    <mergeCell ref="D481:D482"/>
    <mergeCell ref="E481:E482"/>
    <mergeCell ref="C519:C520"/>
    <mergeCell ref="D519:D520"/>
    <mergeCell ref="E519:E520"/>
    <mergeCell ref="N487:N488"/>
    <mergeCell ref="D511:D512"/>
    <mergeCell ref="E511:E512"/>
    <mergeCell ref="C513:C514"/>
    <mergeCell ref="D513:D514"/>
    <mergeCell ref="N511:N512"/>
    <mergeCell ref="O487:O488"/>
    <mergeCell ref="N497:N498"/>
    <mergeCell ref="O497:O498"/>
    <mergeCell ref="N499:N500"/>
    <mergeCell ref="O499:O500"/>
    <mergeCell ref="N501:N502"/>
    <mergeCell ref="O501:O502"/>
    <mergeCell ref="C503:C504"/>
    <mergeCell ref="D503:D504"/>
    <mergeCell ref="E503:E504"/>
    <mergeCell ref="C497:C498"/>
    <mergeCell ref="D497:D498"/>
    <mergeCell ref="E497:E498"/>
    <mergeCell ref="C499:C500"/>
    <mergeCell ref="D499:D500"/>
    <mergeCell ref="E499:E500"/>
    <mergeCell ref="C501:C502"/>
    <mergeCell ref="D501:D502"/>
    <mergeCell ref="E501:E502"/>
    <mergeCell ref="C491:C492"/>
    <mergeCell ref="D491:D492"/>
    <mergeCell ref="E491:E492"/>
    <mergeCell ref="C493:C494"/>
    <mergeCell ref="E547:E548"/>
    <mergeCell ref="C549:C550"/>
    <mergeCell ref="D549:D550"/>
    <mergeCell ref="E549:E550"/>
    <mergeCell ref="C551:C552"/>
    <mergeCell ref="D551:D552"/>
    <mergeCell ref="E551:E552"/>
    <mergeCell ref="C541:C542"/>
    <mergeCell ref="D541:D542"/>
    <mergeCell ref="E541:E542"/>
    <mergeCell ref="C543:C544"/>
    <mergeCell ref="D543:D544"/>
    <mergeCell ref="E543:E544"/>
    <mergeCell ref="C545:C546"/>
    <mergeCell ref="D545:D546"/>
    <mergeCell ref="E545:E546"/>
    <mergeCell ref="C533:C534"/>
    <mergeCell ref="D533:D534"/>
    <mergeCell ref="E533:E534"/>
    <mergeCell ref="C535:C536"/>
    <mergeCell ref="D535:D536"/>
    <mergeCell ref="E535:E536"/>
    <mergeCell ref="C537:C538"/>
    <mergeCell ref="D537:D538"/>
    <mergeCell ref="C539:C540"/>
    <mergeCell ref="D539:D540"/>
    <mergeCell ref="E539:E540"/>
    <mergeCell ref="N473:N474"/>
    <mergeCell ref="O473:O474"/>
    <mergeCell ref="C565:C566"/>
    <mergeCell ref="D565:D566"/>
    <mergeCell ref="E565:E566"/>
    <mergeCell ref="C559:C560"/>
    <mergeCell ref="D559:D560"/>
    <mergeCell ref="E559:E560"/>
    <mergeCell ref="C561:C562"/>
    <mergeCell ref="D561:D562"/>
    <mergeCell ref="E561:E562"/>
    <mergeCell ref="C563:C564"/>
    <mergeCell ref="D563:D564"/>
    <mergeCell ref="E563:E564"/>
    <mergeCell ref="C553:C554"/>
    <mergeCell ref="D553:D554"/>
    <mergeCell ref="E553:E554"/>
    <mergeCell ref="C555:C556"/>
    <mergeCell ref="D555:D556"/>
    <mergeCell ref="E555:E556"/>
    <mergeCell ref="C557:C558"/>
    <mergeCell ref="D557:D558"/>
    <mergeCell ref="E557:E558"/>
    <mergeCell ref="C547:C548"/>
    <mergeCell ref="D547:D548"/>
    <mergeCell ref="N533:N534"/>
    <mergeCell ref="O533:O534"/>
    <mergeCell ref="N535:N536"/>
    <mergeCell ref="O535:O536"/>
    <mergeCell ref="N537:N538"/>
    <mergeCell ref="O537:O538"/>
    <mergeCell ref="N475:N476"/>
    <mergeCell ref="O477:O478"/>
    <mergeCell ref="N479:N480"/>
    <mergeCell ref="O479:O480"/>
    <mergeCell ref="N481:N482"/>
    <mergeCell ref="O481:O482"/>
    <mergeCell ref="N483:N484"/>
    <mergeCell ref="O483:O484"/>
    <mergeCell ref="C527:C528"/>
    <mergeCell ref="D527:D528"/>
    <mergeCell ref="E527:E528"/>
    <mergeCell ref="C529:C530"/>
    <mergeCell ref="D529:D530"/>
    <mergeCell ref="E529:E530"/>
    <mergeCell ref="C531:C532"/>
    <mergeCell ref="D531:D532"/>
    <mergeCell ref="E531:E532"/>
    <mergeCell ref="C521:C522"/>
    <mergeCell ref="D521:D522"/>
    <mergeCell ref="E521:E522"/>
    <mergeCell ref="C523:C524"/>
    <mergeCell ref="D523:D524"/>
    <mergeCell ref="E523:E524"/>
    <mergeCell ref="C525:C526"/>
    <mergeCell ref="D525:D526"/>
    <mergeCell ref="E525:E526"/>
    <mergeCell ref="E513:E514"/>
    <mergeCell ref="C515:C516"/>
    <mergeCell ref="D515:D516"/>
    <mergeCell ref="E515:E516"/>
    <mergeCell ref="C517:C518"/>
    <mergeCell ref="D517:D518"/>
    <mergeCell ref="E517:E518"/>
    <mergeCell ref="N565:N566"/>
    <mergeCell ref="O565:O566"/>
    <mergeCell ref="A65:A134"/>
    <mergeCell ref="A135:A190"/>
    <mergeCell ref="A191:A236"/>
    <mergeCell ref="A237:A276"/>
    <mergeCell ref="A277:A342"/>
    <mergeCell ref="N539:N540"/>
    <mergeCell ref="O539:O540"/>
    <mergeCell ref="N541:N542"/>
    <mergeCell ref="N543:N544"/>
    <mergeCell ref="O543:O544"/>
    <mergeCell ref="N545:N546"/>
    <mergeCell ref="O545:O546"/>
    <mergeCell ref="N557:N558"/>
    <mergeCell ref="O557:O558"/>
    <mergeCell ref="N485:N486"/>
    <mergeCell ref="O485:O486"/>
    <mergeCell ref="A505:A566"/>
    <mergeCell ref="B505:B566"/>
    <mergeCell ref="C505:C506"/>
    <mergeCell ref="D505:D506"/>
    <mergeCell ref="E505:E506"/>
    <mergeCell ref="C507:C508"/>
    <mergeCell ref="D507:D508"/>
    <mergeCell ref="E507:E508"/>
    <mergeCell ref="C509:C510"/>
    <mergeCell ref="D509:D510"/>
    <mergeCell ref="E509:E510"/>
    <mergeCell ref="C511:C512"/>
    <mergeCell ref="O475:O476"/>
    <mergeCell ref="N477:N478"/>
  </mergeCells>
  <pageMargins left="0.39370078740157483" right="0.19685039370078741" top="0.78740157480314965" bottom="0.78740157480314965" header="0" footer="0"/>
  <pageSetup paperSize="8" scale="59" orientation="landscape" r:id="rId1"/>
  <rowBreaks count="9" manualBreakCount="9">
    <brk id="64" max="16383" man="1"/>
    <brk id="134" max="16383" man="1"/>
    <brk id="190" max="16383" man="1"/>
    <brk id="236" max="16383" man="1"/>
    <brk id="276" max="16383" man="1"/>
    <brk id="342" max="16383" man="1"/>
    <brk id="364" max="16383" man="1"/>
    <brk id="432" max="16383" man="1"/>
    <brk id="50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zoomScale="172" zoomScaleNormal="172" workbookViewId="0">
      <selection activeCell="E5" sqref="E5"/>
    </sheetView>
  </sheetViews>
  <sheetFormatPr defaultRowHeight="15" x14ac:dyDescent="0.25"/>
  <cols>
    <col min="1" max="1" width="12" customWidth="1"/>
  </cols>
  <sheetData>
    <row r="1" spans="1:5" x14ac:dyDescent="0.25">
      <c r="A1" t="s">
        <v>585</v>
      </c>
      <c r="B1">
        <v>48900</v>
      </c>
      <c r="C1">
        <f>B1*0.302</f>
        <v>14767.8</v>
      </c>
      <c r="D1">
        <f>B1+C1</f>
        <v>63667.8</v>
      </c>
      <c r="E1">
        <f>D1/164</f>
        <v>388.21829268292686</v>
      </c>
    </row>
    <row r="2" spans="1:5" x14ac:dyDescent="0.25">
      <c r="A2" t="s">
        <v>585</v>
      </c>
      <c r="B2">
        <v>46000</v>
      </c>
      <c r="C2">
        <f>B2*0.302</f>
        <v>13892</v>
      </c>
      <c r="D2">
        <f>B2+C2</f>
        <v>59892</v>
      </c>
      <c r="E2">
        <f>D2/164</f>
        <v>365.19512195121951</v>
      </c>
    </row>
    <row r="3" spans="1:5" x14ac:dyDescent="0.25">
      <c r="E3">
        <f>AVERAGE(E1:E2)</f>
        <v>376.70670731707321</v>
      </c>
    </row>
    <row r="4" spans="1:5" x14ac:dyDescent="0.25">
      <c r="A4" t="s">
        <v>731</v>
      </c>
      <c r="E4">
        <f>E3*1.3</f>
        <v>489.71871951219521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P863"/>
  <sheetViews>
    <sheetView view="pageBreakPreview" topLeftCell="A844" zoomScaleNormal="90" zoomScaleSheetLayoutView="100" workbookViewId="0">
      <selection activeCell="B257" sqref="B257:B343"/>
    </sheetView>
  </sheetViews>
  <sheetFormatPr defaultColWidth="9.140625" defaultRowHeight="15.75" x14ac:dyDescent="0.25"/>
  <cols>
    <col min="1" max="1" width="3.85546875" style="16" customWidth="1"/>
    <col min="2" max="2" width="35.85546875" style="40" customWidth="1"/>
    <col min="3" max="3" width="62.140625" style="40" customWidth="1"/>
    <col min="4" max="4" width="7.140625" style="16" customWidth="1"/>
    <col min="5" max="5" width="7" style="16" customWidth="1"/>
    <col min="6" max="6" width="4.5703125" style="16" hidden="1" customWidth="1"/>
    <col min="7" max="7" width="9.140625" style="16"/>
    <col min="8" max="8" width="6.42578125" style="16" customWidth="1"/>
    <col min="9" max="9" width="15.28515625" style="295" customWidth="1"/>
    <col min="10" max="10" width="6.140625" style="16" customWidth="1"/>
    <col min="11" max="11" width="10.42578125" style="16" customWidth="1"/>
    <col min="12" max="12" width="20" style="297" customWidth="1"/>
    <col min="13" max="13" width="27.28515625" style="40" customWidth="1"/>
    <col min="14" max="14" width="9.140625" style="16"/>
    <col min="15" max="15" width="8.7109375" style="16" customWidth="1"/>
    <col min="16" max="16" width="20.28515625" style="16" customWidth="1"/>
    <col min="17" max="16384" width="9.140625" style="16"/>
  </cols>
  <sheetData>
    <row r="1" spans="1:16" x14ac:dyDescent="0.25">
      <c r="G1" s="24" t="s">
        <v>23</v>
      </c>
      <c r="L1" s="293"/>
      <c r="M1" s="24"/>
    </row>
    <row r="2" spans="1:16" x14ac:dyDescent="0.25">
      <c r="A2" s="24"/>
      <c r="B2" s="296"/>
    </row>
    <row r="3" spans="1:16" ht="15" customHeight="1" x14ac:dyDescent="0.25">
      <c r="A3" s="478" t="s">
        <v>24</v>
      </c>
      <c r="B3" s="479" t="s">
        <v>25</v>
      </c>
      <c r="C3" s="479" t="s">
        <v>26</v>
      </c>
      <c r="D3" s="478" t="s">
        <v>27</v>
      </c>
      <c r="E3" s="478" t="s">
        <v>28</v>
      </c>
      <c r="F3" s="478" t="s">
        <v>29</v>
      </c>
      <c r="G3" s="477" t="s">
        <v>30</v>
      </c>
      <c r="H3" s="478" t="s">
        <v>31</v>
      </c>
      <c r="I3" s="578" t="s">
        <v>32</v>
      </c>
      <c r="J3" s="578"/>
      <c r="K3" s="578"/>
      <c r="L3" s="578"/>
      <c r="M3" s="479" t="s">
        <v>33</v>
      </c>
      <c r="N3" s="479"/>
      <c r="O3" s="479"/>
      <c r="P3" s="479"/>
    </row>
    <row r="4" spans="1:16" ht="165" customHeight="1" x14ac:dyDescent="0.25">
      <c r="A4" s="478"/>
      <c r="B4" s="479"/>
      <c r="C4" s="479"/>
      <c r="D4" s="478"/>
      <c r="E4" s="478"/>
      <c r="F4" s="478"/>
      <c r="G4" s="478"/>
      <c r="H4" s="478"/>
      <c r="I4" s="321" t="s">
        <v>34</v>
      </c>
      <c r="J4" s="263" t="s">
        <v>35</v>
      </c>
      <c r="K4" s="263" t="s">
        <v>36</v>
      </c>
      <c r="L4" s="298" t="s">
        <v>37</v>
      </c>
      <c r="M4" s="299" t="s">
        <v>38</v>
      </c>
      <c r="N4" s="262" t="s">
        <v>39</v>
      </c>
      <c r="O4" s="262" t="s">
        <v>40</v>
      </c>
      <c r="P4" s="322" t="s">
        <v>41</v>
      </c>
    </row>
    <row r="5" spans="1:16" x14ac:dyDescent="0.25">
      <c r="A5" s="565">
        <v>1</v>
      </c>
      <c r="B5" s="523" t="s">
        <v>1027</v>
      </c>
      <c r="C5" s="532" t="s">
        <v>42</v>
      </c>
      <c r="D5" s="526">
        <v>6</v>
      </c>
      <c r="E5" s="211" t="s">
        <v>43</v>
      </c>
      <c r="F5" s="215"/>
      <c r="G5" s="211">
        <v>1E-3</v>
      </c>
      <c r="H5" s="211">
        <v>2</v>
      </c>
      <c r="I5" s="300">
        <f>D5*G5*351*1.1</f>
        <v>2.3166000000000002</v>
      </c>
      <c r="J5" s="230">
        <v>6</v>
      </c>
      <c r="K5" s="301">
        <v>454.87</v>
      </c>
      <c r="L5" s="583">
        <f>H5*I5*K5</f>
        <v>2107.5036840000002</v>
      </c>
      <c r="M5" s="303"/>
      <c r="N5" s="216"/>
      <c r="O5" s="216"/>
      <c r="P5" s="216"/>
    </row>
    <row r="6" spans="1:16" x14ac:dyDescent="0.25">
      <c r="A6" s="565"/>
      <c r="B6" s="523"/>
      <c r="C6" s="532"/>
      <c r="D6" s="526"/>
      <c r="E6" s="211" t="s">
        <v>44</v>
      </c>
      <c r="F6" s="215"/>
      <c r="G6" s="211">
        <v>1E-4</v>
      </c>
      <c r="H6" s="211">
        <v>4</v>
      </c>
      <c r="I6" s="300">
        <f>D6*G6*351*1.1</f>
        <v>0</v>
      </c>
      <c r="J6" s="230">
        <v>6</v>
      </c>
      <c r="K6" s="301">
        <v>454.87</v>
      </c>
      <c r="L6" s="584"/>
      <c r="M6" s="303"/>
      <c r="N6" s="216"/>
      <c r="O6" s="216"/>
      <c r="P6" s="216"/>
    </row>
    <row r="7" spans="1:16" x14ac:dyDescent="0.25">
      <c r="A7" s="565"/>
      <c r="B7" s="523"/>
      <c r="C7" s="532" t="s">
        <v>45</v>
      </c>
      <c r="D7" s="526">
        <v>5</v>
      </c>
      <c r="E7" s="211" t="s">
        <v>43</v>
      </c>
      <c r="F7" s="215"/>
      <c r="G7" s="211">
        <v>1E-3</v>
      </c>
      <c r="H7" s="211">
        <v>2</v>
      </c>
      <c r="I7" s="300">
        <f t="shared" ref="I7:I70" si="0">D7*G7*351*1.1</f>
        <v>1.9305000000000003</v>
      </c>
      <c r="J7" s="230">
        <v>6</v>
      </c>
      <c r="K7" s="301">
        <v>454.87</v>
      </c>
      <c r="L7" s="583">
        <f t="shared" ref="L7:L70" si="1">H7*I7*K7</f>
        <v>1756.2530700000002</v>
      </c>
      <c r="M7" s="303"/>
      <c r="N7" s="216"/>
      <c r="O7" s="216"/>
      <c r="P7" s="216"/>
    </row>
    <row r="8" spans="1:16" x14ac:dyDescent="0.25">
      <c r="A8" s="565"/>
      <c r="B8" s="523"/>
      <c r="C8" s="532"/>
      <c r="D8" s="526"/>
      <c r="E8" s="211" t="s">
        <v>44</v>
      </c>
      <c r="F8" s="215"/>
      <c r="G8" s="211">
        <v>1E-4</v>
      </c>
      <c r="H8" s="211">
        <v>4</v>
      </c>
      <c r="I8" s="300">
        <f t="shared" si="0"/>
        <v>0</v>
      </c>
      <c r="J8" s="230">
        <v>6</v>
      </c>
      <c r="K8" s="301">
        <v>454.87</v>
      </c>
      <c r="L8" s="584"/>
      <c r="M8" s="303"/>
      <c r="N8" s="216"/>
      <c r="O8" s="216"/>
      <c r="P8" s="216"/>
    </row>
    <row r="9" spans="1:16" x14ac:dyDescent="0.25">
      <c r="A9" s="565"/>
      <c r="B9" s="523"/>
      <c r="C9" s="532" t="s">
        <v>46</v>
      </c>
      <c r="D9" s="526">
        <v>5</v>
      </c>
      <c r="E9" s="211" t="s">
        <v>43</v>
      </c>
      <c r="F9" s="216"/>
      <c r="G9" s="211">
        <v>1E-3</v>
      </c>
      <c r="H9" s="211">
        <v>2</v>
      </c>
      <c r="I9" s="300">
        <f t="shared" si="0"/>
        <v>1.9305000000000003</v>
      </c>
      <c r="J9" s="230">
        <v>6</v>
      </c>
      <c r="K9" s="301">
        <v>454.87</v>
      </c>
      <c r="L9" s="583">
        <f t="shared" si="1"/>
        <v>1756.2530700000002</v>
      </c>
      <c r="M9" s="303"/>
      <c r="N9" s="216"/>
      <c r="O9" s="216"/>
      <c r="P9" s="216"/>
    </row>
    <row r="10" spans="1:16" x14ac:dyDescent="0.25">
      <c r="A10" s="565"/>
      <c r="B10" s="523"/>
      <c r="C10" s="532"/>
      <c r="D10" s="526"/>
      <c r="E10" s="211" t="s">
        <v>44</v>
      </c>
      <c r="F10" s="216"/>
      <c r="G10" s="211">
        <v>1E-4</v>
      </c>
      <c r="H10" s="211">
        <v>4</v>
      </c>
      <c r="I10" s="300">
        <f t="shared" si="0"/>
        <v>0</v>
      </c>
      <c r="J10" s="230">
        <v>6</v>
      </c>
      <c r="K10" s="301">
        <v>454.87</v>
      </c>
      <c r="L10" s="584"/>
      <c r="M10" s="303"/>
      <c r="N10" s="216"/>
      <c r="O10" s="216"/>
      <c r="P10" s="216"/>
    </row>
    <row r="11" spans="1:16" x14ac:dyDescent="0.25">
      <c r="A11" s="565"/>
      <c r="B11" s="523"/>
      <c r="C11" s="532" t="s">
        <v>47</v>
      </c>
      <c r="D11" s="215">
        <v>5</v>
      </c>
      <c r="E11" s="211" t="s">
        <v>43</v>
      </c>
      <c r="F11" s="216"/>
      <c r="G11" s="211">
        <v>1E-3</v>
      </c>
      <c r="H11" s="211">
        <v>2</v>
      </c>
      <c r="I11" s="300">
        <f t="shared" si="0"/>
        <v>1.9305000000000003</v>
      </c>
      <c r="J11" s="230">
        <v>6</v>
      </c>
      <c r="K11" s="301">
        <v>454.87</v>
      </c>
      <c r="L11" s="302">
        <f t="shared" si="1"/>
        <v>1756.2530700000002</v>
      </c>
      <c r="M11" s="303"/>
      <c r="N11" s="216"/>
      <c r="O11" s="216"/>
      <c r="P11" s="216"/>
    </row>
    <row r="12" spans="1:16" x14ac:dyDescent="0.25">
      <c r="A12" s="565"/>
      <c r="B12" s="523"/>
      <c r="C12" s="532"/>
      <c r="D12" s="215">
        <v>5</v>
      </c>
      <c r="E12" s="211" t="s">
        <v>44</v>
      </c>
      <c r="F12" s="216"/>
      <c r="G12" s="211">
        <v>1E-4</v>
      </c>
      <c r="H12" s="211">
        <v>4</v>
      </c>
      <c r="I12" s="300">
        <f t="shared" si="0"/>
        <v>0.19305000000000003</v>
      </c>
      <c r="J12" s="230">
        <v>6</v>
      </c>
      <c r="K12" s="301">
        <v>454.87</v>
      </c>
      <c r="L12" s="302">
        <f t="shared" si="1"/>
        <v>351.25061400000004</v>
      </c>
      <c r="M12" s="303"/>
      <c r="N12" s="216"/>
      <c r="O12" s="216"/>
      <c r="P12" s="216"/>
    </row>
    <row r="13" spans="1:16" x14ac:dyDescent="0.25">
      <c r="A13" s="565"/>
      <c r="B13" s="523"/>
      <c r="C13" s="532" t="s">
        <v>48</v>
      </c>
      <c r="D13" s="215">
        <v>5</v>
      </c>
      <c r="E13" s="211" t="s">
        <v>43</v>
      </c>
      <c r="F13" s="216"/>
      <c r="G13" s="211">
        <v>1E-3</v>
      </c>
      <c r="H13" s="211">
        <v>2</v>
      </c>
      <c r="I13" s="300">
        <f t="shared" si="0"/>
        <v>1.9305000000000003</v>
      </c>
      <c r="J13" s="230">
        <v>6</v>
      </c>
      <c r="K13" s="301">
        <v>454.87</v>
      </c>
      <c r="L13" s="302">
        <f t="shared" si="1"/>
        <v>1756.2530700000002</v>
      </c>
      <c r="M13" s="303"/>
      <c r="N13" s="216"/>
      <c r="O13" s="216"/>
      <c r="P13" s="216"/>
    </row>
    <row r="14" spans="1:16" x14ac:dyDescent="0.25">
      <c r="A14" s="565"/>
      <c r="B14" s="523"/>
      <c r="C14" s="532"/>
      <c r="D14" s="215">
        <v>5</v>
      </c>
      <c r="E14" s="211" t="s">
        <v>44</v>
      </c>
      <c r="F14" s="216"/>
      <c r="G14" s="211">
        <v>1E-4</v>
      </c>
      <c r="H14" s="211">
        <v>4</v>
      </c>
      <c r="I14" s="300">
        <f t="shared" si="0"/>
        <v>0.19305000000000003</v>
      </c>
      <c r="J14" s="230">
        <v>6</v>
      </c>
      <c r="K14" s="301">
        <v>454.87</v>
      </c>
      <c r="L14" s="302">
        <f t="shared" si="1"/>
        <v>351.25061400000004</v>
      </c>
      <c r="M14" s="303"/>
      <c r="N14" s="216"/>
      <c r="O14" s="216"/>
      <c r="P14" s="216"/>
    </row>
    <row r="15" spans="1:16" x14ac:dyDescent="0.25">
      <c r="A15" s="565"/>
      <c r="B15" s="523"/>
      <c r="C15" s="532" t="s">
        <v>49</v>
      </c>
      <c r="D15" s="215">
        <v>5</v>
      </c>
      <c r="E15" s="211" t="s">
        <v>43</v>
      </c>
      <c r="F15" s="216"/>
      <c r="G15" s="211">
        <v>1E-3</v>
      </c>
      <c r="H15" s="211">
        <v>2</v>
      </c>
      <c r="I15" s="300">
        <f t="shared" si="0"/>
        <v>1.9305000000000003</v>
      </c>
      <c r="J15" s="230">
        <v>6</v>
      </c>
      <c r="K15" s="301">
        <v>454.87</v>
      </c>
      <c r="L15" s="302">
        <f t="shared" si="1"/>
        <v>1756.2530700000002</v>
      </c>
      <c r="M15" s="303"/>
      <c r="N15" s="216"/>
      <c r="O15" s="216"/>
      <c r="P15" s="216"/>
    </row>
    <row r="16" spans="1:16" x14ac:dyDescent="0.25">
      <c r="A16" s="565"/>
      <c r="B16" s="523"/>
      <c r="C16" s="532"/>
      <c r="D16" s="215">
        <v>5</v>
      </c>
      <c r="E16" s="211" t="s">
        <v>44</v>
      </c>
      <c r="F16" s="216"/>
      <c r="G16" s="211">
        <v>1E-4</v>
      </c>
      <c r="H16" s="211">
        <v>4</v>
      </c>
      <c r="I16" s="300">
        <f t="shared" si="0"/>
        <v>0.19305000000000003</v>
      </c>
      <c r="J16" s="230">
        <v>6</v>
      </c>
      <c r="K16" s="301">
        <v>454.87</v>
      </c>
      <c r="L16" s="302">
        <f t="shared" si="1"/>
        <v>351.25061400000004</v>
      </c>
      <c r="M16" s="303"/>
      <c r="N16" s="216"/>
      <c r="O16" s="216"/>
      <c r="P16" s="216"/>
    </row>
    <row r="17" spans="1:16" x14ac:dyDescent="0.25">
      <c r="A17" s="565"/>
      <c r="B17" s="523"/>
      <c r="C17" s="31" t="s">
        <v>50</v>
      </c>
      <c r="D17" s="215">
        <v>3</v>
      </c>
      <c r="E17" s="211" t="s">
        <v>43</v>
      </c>
      <c r="F17" s="216"/>
      <c r="G17" s="211">
        <v>1E-3</v>
      </c>
      <c r="H17" s="211">
        <v>2</v>
      </c>
      <c r="I17" s="300">
        <f t="shared" si="0"/>
        <v>1.1583000000000001</v>
      </c>
      <c r="J17" s="230">
        <v>6</v>
      </c>
      <c r="K17" s="301">
        <v>454.87</v>
      </c>
      <c r="L17" s="302">
        <f t="shared" si="1"/>
        <v>1053.7518420000001</v>
      </c>
      <c r="M17" s="303"/>
      <c r="N17" s="216"/>
      <c r="O17" s="216"/>
      <c r="P17" s="216"/>
    </row>
    <row r="18" spans="1:16" x14ac:dyDescent="0.25">
      <c r="A18" s="565"/>
      <c r="B18" s="523"/>
      <c r="C18" s="31" t="s">
        <v>50</v>
      </c>
      <c r="D18" s="215">
        <v>3</v>
      </c>
      <c r="E18" s="211" t="s">
        <v>44</v>
      </c>
      <c r="F18" s="216"/>
      <c r="G18" s="211">
        <v>1E-4</v>
      </c>
      <c r="H18" s="211">
        <v>4</v>
      </c>
      <c r="I18" s="300">
        <f t="shared" si="0"/>
        <v>0.11583000000000002</v>
      </c>
      <c r="J18" s="230">
        <v>6</v>
      </c>
      <c r="K18" s="301">
        <v>454.87</v>
      </c>
      <c r="L18" s="302">
        <f t="shared" si="1"/>
        <v>210.75036840000004</v>
      </c>
      <c r="M18" s="303"/>
      <c r="N18" s="216"/>
      <c r="O18" s="216"/>
      <c r="P18" s="216"/>
    </row>
    <row r="19" spans="1:16" x14ac:dyDescent="0.25">
      <c r="A19" s="565"/>
      <c r="B19" s="523"/>
      <c r="C19" s="31" t="s">
        <v>51</v>
      </c>
      <c r="D19" s="215">
        <v>3</v>
      </c>
      <c r="E19" s="211" t="s">
        <v>43</v>
      </c>
      <c r="F19" s="216"/>
      <c r="G19" s="211">
        <v>1E-3</v>
      </c>
      <c r="H19" s="211">
        <v>2</v>
      </c>
      <c r="I19" s="300">
        <f t="shared" si="0"/>
        <v>1.1583000000000001</v>
      </c>
      <c r="J19" s="230">
        <v>6</v>
      </c>
      <c r="K19" s="301">
        <v>454.87</v>
      </c>
      <c r="L19" s="302">
        <f t="shared" si="1"/>
        <v>1053.7518420000001</v>
      </c>
      <c r="M19" s="303"/>
      <c r="N19" s="216"/>
      <c r="O19" s="216"/>
      <c r="P19" s="216"/>
    </row>
    <row r="20" spans="1:16" x14ac:dyDescent="0.25">
      <c r="A20" s="565"/>
      <c r="B20" s="523"/>
      <c r="C20" s="31" t="s">
        <v>51</v>
      </c>
      <c r="D20" s="215">
        <v>3</v>
      </c>
      <c r="E20" s="211" t="s">
        <v>44</v>
      </c>
      <c r="F20" s="216"/>
      <c r="G20" s="211">
        <v>1E-4</v>
      </c>
      <c r="H20" s="211">
        <v>4</v>
      </c>
      <c r="I20" s="300">
        <f t="shared" si="0"/>
        <v>0.11583000000000002</v>
      </c>
      <c r="J20" s="230">
        <v>6</v>
      </c>
      <c r="K20" s="301">
        <v>454.87</v>
      </c>
      <c r="L20" s="302">
        <f t="shared" si="1"/>
        <v>210.75036840000004</v>
      </c>
      <c r="M20" s="303"/>
      <c r="N20" s="216"/>
      <c r="O20" s="216"/>
      <c r="P20" s="216"/>
    </row>
    <row r="21" spans="1:16" x14ac:dyDescent="0.25">
      <c r="A21" s="565"/>
      <c r="B21" s="523"/>
      <c r="C21" s="31" t="s">
        <v>52</v>
      </c>
      <c r="D21" s="215">
        <v>5</v>
      </c>
      <c r="E21" s="211" t="s">
        <v>43</v>
      </c>
      <c r="F21" s="216"/>
      <c r="G21" s="211">
        <v>1E-3</v>
      </c>
      <c r="H21" s="211">
        <v>2</v>
      </c>
      <c r="I21" s="300">
        <f t="shared" si="0"/>
        <v>1.9305000000000003</v>
      </c>
      <c r="J21" s="230">
        <v>6</v>
      </c>
      <c r="K21" s="301">
        <v>454.87</v>
      </c>
      <c r="L21" s="302">
        <f t="shared" si="1"/>
        <v>1756.2530700000002</v>
      </c>
      <c r="M21" s="303"/>
      <c r="N21" s="216"/>
      <c r="O21" s="216"/>
      <c r="P21" s="216"/>
    </row>
    <row r="22" spans="1:16" x14ac:dyDescent="0.25">
      <c r="A22" s="565"/>
      <c r="B22" s="523"/>
      <c r="C22" s="31" t="s">
        <v>52</v>
      </c>
      <c r="D22" s="215">
        <v>5</v>
      </c>
      <c r="E22" s="211" t="s">
        <v>44</v>
      </c>
      <c r="F22" s="216"/>
      <c r="G22" s="211">
        <v>1E-4</v>
      </c>
      <c r="H22" s="211">
        <v>4</v>
      </c>
      <c r="I22" s="300">
        <f t="shared" si="0"/>
        <v>0.19305000000000003</v>
      </c>
      <c r="J22" s="230">
        <v>6</v>
      </c>
      <c r="K22" s="301">
        <v>454.87</v>
      </c>
      <c r="L22" s="302">
        <f t="shared" si="1"/>
        <v>351.25061400000004</v>
      </c>
      <c r="M22" s="303"/>
      <c r="N22" s="216"/>
      <c r="O22" s="216"/>
      <c r="P22" s="216"/>
    </row>
    <row r="23" spans="1:16" ht="31.5" x14ac:dyDescent="0.25">
      <c r="A23" s="565"/>
      <c r="B23" s="523"/>
      <c r="C23" s="31" t="s">
        <v>53</v>
      </c>
      <c r="D23" s="215">
        <v>20</v>
      </c>
      <c r="E23" s="211" t="s">
        <v>43</v>
      </c>
      <c r="F23" s="215"/>
      <c r="G23" s="211">
        <v>1E-3</v>
      </c>
      <c r="H23" s="211">
        <v>2</v>
      </c>
      <c r="I23" s="300">
        <f t="shared" si="0"/>
        <v>7.7220000000000013</v>
      </c>
      <c r="J23" s="230">
        <v>6</v>
      </c>
      <c r="K23" s="301">
        <v>454.87</v>
      </c>
      <c r="L23" s="302">
        <f t="shared" si="1"/>
        <v>7025.0122800000008</v>
      </c>
      <c r="M23" s="303"/>
      <c r="N23" s="216"/>
      <c r="O23" s="216"/>
      <c r="P23" s="216"/>
    </row>
    <row r="24" spans="1:16" ht="31.5" x14ac:dyDescent="0.25">
      <c r="A24" s="565"/>
      <c r="B24" s="523"/>
      <c r="C24" s="31" t="s">
        <v>53</v>
      </c>
      <c r="D24" s="215">
        <v>20</v>
      </c>
      <c r="E24" s="211" t="s">
        <v>44</v>
      </c>
      <c r="F24" s="216"/>
      <c r="G24" s="211">
        <v>1E-4</v>
      </c>
      <c r="H24" s="211">
        <v>4</v>
      </c>
      <c r="I24" s="300">
        <f t="shared" si="0"/>
        <v>0.77220000000000011</v>
      </c>
      <c r="J24" s="230">
        <v>6</v>
      </c>
      <c r="K24" s="301">
        <v>454.87</v>
      </c>
      <c r="L24" s="302">
        <f t="shared" si="1"/>
        <v>1405.0024560000002</v>
      </c>
      <c r="M24" s="303"/>
      <c r="N24" s="216"/>
      <c r="O24" s="216"/>
      <c r="P24" s="216"/>
    </row>
    <row r="25" spans="1:16" x14ac:dyDescent="0.25">
      <c r="A25" s="565"/>
      <c r="B25" s="523"/>
      <c r="C25" s="31" t="s">
        <v>54</v>
      </c>
      <c r="D25" s="215">
        <v>5</v>
      </c>
      <c r="E25" s="211" t="s">
        <v>43</v>
      </c>
      <c r="F25" s="216"/>
      <c r="G25" s="211">
        <v>2E-3</v>
      </c>
      <c r="H25" s="211">
        <v>2</v>
      </c>
      <c r="I25" s="300">
        <f t="shared" si="0"/>
        <v>3.8610000000000007</v>
      </c>
      <c r="J25" s="230">
        <v>6</v>
      </c>
      <c r="K25" s="301">
        <v>454.87</v>
      </c>
      <c r="L25" s="302">
        <f t="shared" si="1"/>
        <v>3512.5061400000004</v>
      </c>
      <c r="M25" s="211" t="s">
        <v>55</v>
      </c>
      <c r="N25" s="211">
        <f>0.04*D25</f>
        <v>0.2</v>
      </c>
      <c r="O25" s="211">
        <v>207</v>
      </c>
      <c r="P25" s="211">
        <f>N25*O25</f>
        <v>41.400000000000006</v>
      </c>
    </row>
    <row r="26" spans="1:16" x14ac:dyDescent="0.25">
      <c r="A26" s="565"/>
      <c r="B26" s="523"/>
      <c r="C26" s="31" t="s">
        <v>54</v>
      </c>
      <c r="D26" s="215">
        <v>5</v>
      </c>
      <c r="E26" s="211" t="s">
        <v>44</v>
      </c>
      <c r="F26" s="216"/>
      <c r="G26" s="211">
        <v>2.0000000000000001E-4</v>
      </c>
      <c r="H26" s="211">
        <v>4</v>
      </c>
      <c r="I26" s="300">
        <f t="shared" si="0"/>
        <v>0.38610000000000005</v>
      </c>
      <c r="J26" s="230">
        <v>6</v>
      </c>
      <c r="K26" s="301">
        <v>454.87</v>
      </c>
      <c r="L26" s="302">
        <f t="shared" si="1"/>
        <v>702.50122800000008</v>
      </c>
      <c r="M26" s="303"/>
      <c r="N26" s="216"/>
      <c r="O26" s="216"/>
      <c r="P26" s="216"/>
    </row>
    <row r="27" spans="1:16" x14ac:dyDescent="0.25">
      <c r="A27" s="565"/>
      <c r="B27" s="523"/>
      <c r="C27" s="31" t="s">
        <v>56</v>
      </c>
      <c r="D27" s="215">
        <v>4</v>
      </c>
      <c r="E27" s="211" t="s">
        <v>43</v>
      </c>
      <c r="F27" s="216"/>
      <c r="G27" s="211">
        <v>1E-3</v>
      </c>
      <c r="H27" s="211">
        <v>2</v>
      </c>
      <c r="I27" s="300">
        <f>D27*G27*351*1.1</f>
        <v>1.5444000000000002</v>
      </c>
      <c r="J27" s="230">
        <v>6</v>
      </c>
      <c r="K27" s="301">
        <v>454.87</v>
      </c>
      <c r="L27" s="302">
        <f t="shared" si="1"/>
        <v>1405.0024560000002</v>
      </c>
      <c r="M27" s="303"/>
      <c r="N27" s="216"/>
      <c r="O27" s="216"/>
      <c r="P27" s="216"/>
    </row>
    <row r="28" spans="1:16" x14ac:dyDescent="0.25">
      <c r="A28" s="565"/>
      <c r="B28" s="523"/>
      <c r="C28" s="31" t="s">
        <v>56</v>
      </c>
      <c r="D28" s="215">
        <v>4</v>
      </c>
      <c r="E28" s="211" t="s">
        <v>44</v>
      </c>
      <c r="F28" s="216"/>
      <c r="G28" s="211">
        <v>1E-4</v>
      </c>
      <c r="H28" s="211">
        <v>4</v>
      </c>
      <c r="I28" s="300">
        <f>D28*G28*351*1.1</f>
        <v>0.15444000000000002</v>
      </c>
      <c r="J28" s="230">
        <v>6</v>
      </c>
      <c r="K28" s="301">
        <v>454.87</v>
      </c>
      <c r="L28" s="302">
        <f t="shared" si="1"/>
        <v>281.00049120000006</v>
      </c>
      <c r="M28" s="303"/>
      <c r="N28" s="216"/>
      <c r="O28" s="216"/>
      <c r="P28" s="216"/>
    </row>
    <row r="29" spans="1:16" x14ac:dyDescent="0.25">
      <c r="A29" s="565"/>
      <c r="B29" s="523"/>
      <c r="C29" s="31" t="s">
        <v>57</v>
      </c>
      <c r="D29" s="215">
        <v>2</v>
      </c>
      <c r="E29" s="211" t="s">
        <v>44</v>
      </c>
      <c r="F29" s="216"/>
      <c r="G29" s="211">
        <v>1E-4</v>
      </c>
      <c r="H29" s="211">
        <v>2</v>
      </c>
      <c r="I29" s="300">
        <f>D29*G29*351*1.1</f>
        <v>7.7220000000000011E-2</v>
      </c>
      <c r="J29" s="230">
        <v>6</v>
      </c>
      <c r="K29" s="301">
        <v>454.87</v>
      </c>
      <c r="L29" s="302">
        <f t="shared" si="1"/>
        <v>70.250122800000014</v>
      </c>
      <c r="M29" s="303"/>
      <c r="N29" s="216"/>
      <c r="O29" s="216"/>
      <c r="P29" s="216"/>
    </row>
    <row r="30" spans="1:16" x14ac:dyDescent="0.25">
      <c r="A30" s="565"/>
      <c r="B30" s="523"/>
      <c r="C30" s="31" t="s">
        <v>58</v>
      </c>
      <c r="D30" s="215">
        <v>2</v>
      </c>
      <c r="E30" s="211" t="s">
        <v>43</v>
      </c>
      <c r="F30" s="215"/>
      <c r="G30" s="211">
        <v>1E-3</v>
      </c>
      <c r="H30" s="211">
        <v>4</v>
      </c>
      <c r="I30" s="300">
        <f>D30*G30*351*1.1</f>
        <v>0.77220000000000011</v>
      </c>
      <c r="J30" s="230">
        <v>6</v>
      </c>
      <c r="K30" s="301">
        <v>454.87</v>
      </c>
      <c r="L30" s="302">
        <f t="shared" si="1"/>
        <v>1405.0024560000002</v>
      </c>
      <c r="M30" s="303"/>
      <c r="N30" s="216"/>
      <c r="O30" s="216"/>
      <c r="P30" s="216"/>
    </row>
    <row r="31" spans="1:16" ht="31.5" x14ac:dyDescent="0.25">
      <c r="A31" s="565"/>
      <c r="B31" s="523"/>
      <c r="C31" s="31" t="s">
        <v>53</v>
      </c>
      <c r="D31" s="215">
        <v>19</v>
      </c>
      <c r="E31" s="211" t="s">
        <v>43</v>
      </c>
      <c r="F31" s="215"/>
      <c r="G31" s="211">
        <v>1E-3</v>
      </c>
      <c r="H31" s="211">
        <v>2</v>
      </c>
      <c r="I31" s="300">
        <f t="shared" ref="I31:I42" si="2">D31*G31*351*1.1</f>
        <v>7.3359000000000005</v>
      </c>
      <c r="J31" s="230">
        <v>6</v>
      </c>
      <c r="K31" s="301">
        <v>454.87</v>
      </c>
      <c r="L31" s="302">
        <f t="shared" si="1"/>
        <v>6673.7616660000003</v>
      </c>
      <c r="M31" s="303"/>
      <c r="N31" s="216"/>
      <c r="O31" s="216"/>
      <c r="P31" s="216"/>
    </row>
    <row r="32" spans="1:16" ht="31.5" x14ac:dyDescent="0.25">
      <c r="A32" s="565"/>
      <c r="B32" s="523"/>
      <c r="C32" s="31" t="s">
        <v>59</v>
      </c>
      <c r="D32" s="215">
        <v>10</v>
      </c>
      <c r="E32" s="211" t="s">
        <v>44</v>
      </c>
      <c r="F32" s="216"/>
      <c r="G32" s="211">
        <v>1E-4</v>
      </c>
      <c r="H32" s="211">
        <v>4</v>
      </c>
      <c r="I32" s="300">
        <f t="shared" si="2"/>
        <v>0.38610000000000005</v>
      </c>
      <c r="J32" s="230">
        <v>6</v>
      </c>
      <c r="K32" s="301">
        <v>454.87</v>
      </c>
      <c r="L32" s="302">
        <f t="shared" si="1"/>
        <v>702.50122800000008</v>
      </c>
      <c r="M32" s="303"/>
      <c r="N32" s="216"/>
      <c r="O32" s="216"/>
      <c r="P32" s="216"/>
    </row>
    <row r="33" spans="1:16" ht="31.5" x14ac:dyDescent="0.25">
      <c r="A33" s="565"/>
      <c r="B33" s="523"/>
      <c r="C33" s="31" t="s">
        <v>60</v>
      </c>
      <c r="D33" s="215">
        <v>5</v>
      </c>
      <c r="E33" s="211" t="s">
        <v>43</v>
      </c>
      <c r="F33" s="215"/>
      <c r="G33" s="211">
        <v>1E-3</v>
      </c>
      <c r="H33" s="211">
        <v>2</v>
      </c>
      <c r="I33" s="300">
        <f t="shared" si="2"/>
        <v>1.9305000000000003</v>
      </c>
      <c r="J33" s="230">
        <v>6</v>
      </c>
      <c r="K33" s="301">
        <v>454.87</v>
      </c>
      <c r="L33" s="302">
        <f t="shared" si="1"/>
        <v>1756.2530700000002</v>
      </c>
      <c r="M33" s="303"/>
      <c r="N33" s="216"/>
      <c r="O33" s="216"/>
      <c r="P33" s="216"/>
    </row>
    <row r="34" spans="1:16" ht="31.5" x14ac:dyDescent="0.25">
      <c r="A34" s="565"/>
      <c r="B34" s="523"/>
      <c r="C34" s="31" t="s">
        <v>60</v>
      </c>
      <c r="D34" s="215">
        <v>5</v>
      </c>
      <c r="E34" s="211" t="s">
        <v>44</v>
      </c>
      <c r="F34" s="216"/>
      <c r="G34" s="211">
        <v>1E-4</v>
      </c>
      <c r="H34" s="211">
        <v>4</v>
      </c>
      <c r="I34" s="300">
        <f t="shared" si="2"/>
        <v>0.19305000000000003</v>
      </c>
      <c r="J34" s="230">
        <v>6</v>
      </c>
      <c r="K34" s="301">
        <v>454.87</v>
      </c>
      <c r="L34" s="302">
        <f t="shared" si="1"/>
        <v>351.25061400000004</v>
      </c>
      <c r="M34" s="303"/>
      <c r="N34" s="216"/>
      <c r="O34" s="216"/>
      <c r="P34" s="216"/>
    </row>
    <row r="35" spans="1:16" x14ac:dyDescent="0.25">
      <c r="A35" s="565"/>
      <c r="B35" s="523"/>
      <c r="C35" s="31" t="s">
        <v>61</v>
      </c>
      <c r="D35" s="215">
        <v>1</v>
      </c>
      <c r="E35" s="211" t="s">
        <v>44</v>
      </c>
      <c r="F35" s="216"/>
      <c r="G35" s="211">
        <v>1E-4</v>
      </c>
      <c r="H35" s="211">
        <v>2</v>
      </c>
      <c r="I35" s="300">
        <f t="shared" si="2"/>
        <v>3.8610000000000005E-2</v>
      </c>
      <c r="J35" s="230">
        <v>6</v>
      </c>
      <c r="K35" s="301">
        <v>454.87</v>
      </c>
      <c r="L35" s="302">
        <f t="shared" si="1"/>
        <v>35.125061400000007</v>
      </c>
      <c r="M35" s="303"/>
      <c r="N35" s="216"/>
      <c r="O35" s="216"/>
      <c r="P35" s="216"/>
    </row>
    <row r="36" spans="1:16" x14ac:dyDescent="0.25">
      <c r="A36" s="565"/>
      <c r="B36" s="523"/>
      <c r="C36" s="31" t="s">
        <v>58</v>
      </c>
      <c r="D36" s="215">
        <v>1</v>
      </c>
      <c r="E36" s="211" t="s">
        <v>43</v>
      </c>
      <c r="F36" s="216"/>
      <c r="G36" s="211">
        <v>1E-3</v>
      </c>
      <c r="H36" s="211">
        <v>4</v>
      </c>
      <c r="I36" s="300">
        <f t="shared" si="2"/>
        <v>0.38610000000000005</v>
      </c>
      <c r="J36" s="230">
        <v>6</v>
      </c>
      <c r="K36" s="301">
        <v>454.87</v>
      </c>
      <c r="L36" s="302">
        <f t="shared" si="1"/>
        <v>702.50122800000008</v>
      </c>
      <c r="M36" s="303"/>
      <c r="N36" s="216"/>
      <c r="O36" s="216"/>
      <c r="P36" s="216"/>
    </row>
    <row r="37" spans="1:16" x14ac:dyDescent="0.25">
      <c r="A37" s="565"/>
      <c r="B37" s="523"/>
      <c r="C37" s="31" t="s">
        <v>62</v>
      </c>
      <c r="D37" s="215">
        <v>1</v>
      </c>
      <c r="E37" s="211" t="s">
        <v>44</v>
      </c>
      <c r="F37" s="216"/>
      <c r="G37" s="211">
        <v>1E-4</v>
      </c>
      <c r="H37" s="211">
        <v>2</v>
      </c>
      <c r="I37" s="300">
        <f t="shared" si="2"/>
        <v>3.8610000000000005E-2</v>
      </c>
      <c r="J37" s="230">
        <v>6</v>
      </c>
      <c r="K37" s="301">
        <v>454.87</v>
      </c>
      <c r="L37" s="302">
        <f t="shared" si="1"/>
        <v>35.125061400000007</v>
      </c>
      <c r="M37" s="303"/>
      <c r="N37" s="216"/>
      <c r="O37" s="216"/>
      <c r="P37" s="216"/>
    </row>
    <row r="38" spans="1:16" x14ac:dyDescent="0.25">
      <c r="A38" s="565"/>
      <c r="B38" s="523"/>
      <c r="C38" s="31" t="s">
        <v>63</v>
      </c>
      <c r="D38" s="215">
        <v>1</v>
      </c>
      <c r="E38" s="211" t="s">
        <v>43</v>
      </c>
      <c r="F38" s="216"/>
      <c r="G38" s="211">
        <v>1E-3</v>
      </c>
      <c r="H38" s="211">
        <v>4</v>
      </c>
      <c r="I38" s="300">
        <f t="shared" si="2"/>
        <v>0.38610000000000005</v>
      </c>
      <c r="J38" s="230">
        <v>6</v>
      </c>
      <c r="K38" s="301">
        <v>454.87</v>
      </c>
      <c r="L38" s="302">
        <f t="shared" si="1"/>
        <v>702.50122800000008</v>
      </c>
      <c r="M38" s="303"/>
      <c r="N38" s="216"/>
      <c r="O38" s="216"/>
      <c r="P38" s="216"/>
    </row>
    <row r="39" spans="1:16" x14ac:dyDescent="0.25">
      <c r="A39" s="565"/>
      <c r="B39" s="523"/>
      <c r="C39" s="31" t="s">
        <v>64</v>
      </c>
      <c r="D39" s="215">
        <v>2</v>
      </c>
      <c r="E39" s="211" t="s">
        <v>44</v>
      </c>
      <c r="F39" s="216"/>
      <c r="G39" s="211">
        <v>1E-4</v>
      </c>
      <c r="H39" s="211">
        <v>2</v>
      </c>
      <c r="I39" s="300">
        <f t="shared" si="2"/>
        <v>7.7220000000000011E-2</v>
      </c>
      <c r="J39" s="230">
        <v>6</v>
      </c>
      <c r="K39" s="301">
        <v>454.87</v>
      </c>
      <c r="L39" s="302">
        <f t="shared" si="1"/>
        <v>70.250122800000014</v>
      </c>
      <c r="M39" s="303"/>
      <c r="N39" s="216"/>
      <c r="O39" s="216"/>
      <c r="P39" s="216"/>
    </row>
    <row r="40" spans="1:16" x14ac:dyDescent="0.25">
      <c r="A40" s="565"/>
      <c r="B40" s="523"/>
      <c r="C40" s="31" t="s">
        <v>64</v>
      </c>
      <c r="D40" s="215">
        <v>2</v>
      </c>
      <c r="E40" s="211" t="s">
        <v>43</v>
      </c>
      <c r="F40" s="216"/>
      <c r="G40" s="211">
        <v>1E-3</v>
      </c>
      <c r="H40" s="211">
        <v>4</v>
      </c>
      <c r="I40" s="300">
        <f t="shared" si="2"/>
        <v>0.77220000000000011</v>
      </c>
      <c r="J40" s="230">
        <v>6</v>
      </c>
      <c r="K40" s="301">
        <v>454.87</v>
      </c>
      <c r="L40" s="302">
        <f t="shared" si="1"/>
        <v>1405.0024560000002</v>
      </c>
      <c r="M40" s="303"/>
      <c r="N40" s="216"/>
      <c r="O40" s="216"/>
      <c r="P40" s="216"/>
    </row>
    <row r="41" spans="1:16" x14ac:dyDescent="0.25">
      <c r="A41" s="565"/>
      <c r="B41" s="523"/>
      <c r="C41" s="31" t="s">
        <v>65</v>
      </c>
      <c r="D41" s="215">
        <v>1</v>
      </c>
      <c r="E41" s="211" t="s">
        <v>44</v>
      </c>
      <c r="F41" s="216"/>
      <c r="G41" s="211">
        <v>1E-4</v>
      </c>
      <c r="H41" s="211">
        <v>2</v>
      </c>
      <c r="I41" s="300">
        <f t="shared" si="2"/>
        <v>3.8610000000000005E-2</v>
      </c>
      <c r="J41" s="230">
        <v>6</v>
      </c>
      <c r="K41" s="301">
        <v>454.87</v>
      </c>
      <c r="L41" s="302">
        <f t="shared" si="1"/>
        <v>35.125061400000007</v>
      </c>
      <c r="M41" s="303"/>
      <c r="N41" s="216"/>
      <c r="O41" s="216"/>
      <c r="P41" s="216"/>
    </row>
    <row r="42" spans="1:16" x14ac:dyDescent="0.25">
      <c r="A42" s="565"/>
      <c r="B42" s="523"/>
      <c r="C42" s="31" t="s">
        <v>65</v>
      </c>
      <c r="D42" s="215">
        <v>1</v>
      </c>
      <c r="E42" s="211" t="s">
        <v>43</v>
      </c>
      <c r="F42" s="216"/>
      <c r="G42" s="211">
        <v>1E-3</v>
      </c>
      <c r="H42" s="211">
        <v>4</v>
      </c>
      <c r="I42" s="300">
        <f t="shared" si="2"/>
        <v>0.38610000000000005</v>
      </c>
      <c r="J42" s="230">
        <v>6</v>
      </c>
      <c r="K42" s="301">
        <v>454.87</v>
      </c>
      <c r="L42" s="302">
        <f t="shared" si="1"/>
        <v>702.50122800000008</v>
      </c>
      <c r="M42" s="303"/>
      <c r="N42" s="216"/>
      <c r="O42" s="216"/>
      <c r="P42" s="216"/>
    </row>
    <row r="43" spans="1:16" x14ac:dyDescent="0.25">
      <c r="A43" s="565"/>
      <c r="B43" s="523"/>
      <c r="C43" s="31" t="s">
        <v>66</v>
      </c>
      <c r="D43" s="215">
        <v>2</v>
      </c>
      <c r="E43" s="211" t="s">
        <v>43</v>
      </c>
      <c r="F43" s="216"/>
      <c r="G43" s="211">
        <v>1E-3</v>
      </c>
      <c r="H43" s="211">
        <v>2</v>
      </c>
      <c r="I43" s="300">
        <f>D43*G43*351*1.1</f>
        <v>0.77220000000000011</v>
      </c>
      <c r="J43" s="230">
        <v>6</v>
      </c>
      <c r="K43" s="301">
        <v>454.87</v>
      </c>
      <c r="L43" s="302">
        <f t="shared" si="1"/>
        <v>702.50122800000008</v>
      </c>
      <c r="M43" s="303"/>
      <c r="N43" s="216"/>
      <c r="O43" s="216"/>
      <c r="P43" s="216"/>
    </row>
    <row r="44" spans="1:16" x14ac:dyDescent="0.25">
      <c r="A44" s="565"/>
      <c r="B44" s="523"/>
      <c r="C44" s="31" t="s">
        <v>67</v>
      </c>
      <c r="D44" s="215">
        <v>4</v>
      </c>
      <c r="E44" s="211" t="s">
        <v>44</v>
      </c>
      <c r="F44" s="216"/>
      <c r="G44" s="211">
        <v>1E-4</v>
      </c>
      <c r="H44" s="211">
        <v>4</v>
      </c>
      <c r="I44" s="300">
        <f>D44*G44*351*1.1</f>
        <v>0.15444000000000002</v>
      </c>
      <c r="J44" s="230">
        <v>6</v>
      </c>
      <c r="K44" s="301">
        <v>454.87</v>
      </c>
      <c r="L44" s="302">
        <f t="shared" si="1"/>
        <v>281.00049120000006</v>
      </c>
      <c r="M44" s="303"/>
      <c r="N44" s="216"/>
      <c r="O44" s="216"/>
      <c r="P44" s="216"/>
    </row>
    <row r="45" spans="1:16" x14ac:dyDescent="0.25">
      <c r="A45" s="565"/>
      <c r="B45" s="523"/>
      <c r="C45" s="31" t="s">
        <v>68</v>
      </c>
      <c r="D45" s="215">
        <v>3</v>
      </c>
      <c r="E45" s="211" t="s">
        <v>43</v>
      </c>
      <c r="F45" s="216"/>
      <c r="G45" s="211">
        <v>1E-3</v>
      </c>
      <c r="H45" s="211">
        <v>2</v>
      </c>
      <c r="I45" s="300">
        <f t="shared" si="0"/>
        <v>1.1583000000000001</v>
      </c>
      <c r="J45" s="230">
        <v>6</v>
      </c>
      <c r="K45" s="301">
        <v>454.87</v>
      </c>
      <c r="L45" s="302">
        <f t="shared" si="1"/>
        <v>1053.7518420000001</v>
      </c>
      <c r="M45" s="303"/>
      <c r="N45" s="216"/>
      <c r="O45" s="216"/>
      <c r="P45" s="216"/>
    </row>
    <row r="46" spans="1:16" x14ac:dyDescent="0.25">
      <c r="A46" s="565"/>
      <c r="B46" s="523"/>
      <c r="C46" s="31" t="s">
        <v>68</v>
      </c>
      <c r="D46" s="215">
        <v>3</v>
      </c>
      <c r="E46" s="211" t="s">
        <v>44</v>
      </c>
      <c r="F46" s="216"/>
      <c r="G46" s="211">
        <v>1E-4</v>
      </c>
      <c r="H46" s="211">
        <v>4</v>
      </c>
      <c r="I46" s="300">
        <f t="shared" si="0"/>
        <v>0.11583000000000002</v>
      </c>
      <c r="J46" s="230">
        <v>6</v>
      </c>
      <c r="K46" s="301">
        <v>454.87</v>
      </c>
      <c r="L46" s="302">
        <f t="shared" si="1"/>
        <v>210.75036840000004</v>
      </c>
      <c r="M46" s="303"/>
      <c r="N46" s="216"/>
      <c r="O46" s="216"/>
      <c r="P46" s="216"/>
    </row>
    <row r="47" spans="1:16" x14ac:dyDescent="0.25">
      <c r="A47" s="565"/>
      <c r="B47" s="523"/>
      <c r="C47" s="31" t="s">
        <v>49</v>
      </c>
      <c r="D47" s="215">
        <v>6</v>
      </c>
      <c r="E47" s="211" t="s">
        <v>43</v>
      </c>
      <c r="F47" s="216"/>
      <c r="G47" s="211">
        <v>1E-3</v>
      </c>
      <c r="H47" s="211">
        <v>2</v>
      </c>
      <c r="I47" s="300">
        <f t="shared" si="0"/>
        <v>2.3166000000000002</v>
      </c>
      <c r="J47" s="230">
        <v>6</v>
      </c>
      <c r="K47" s="301">
        <v>454.87</v>
      </c>
      <c r="L47" s="302">
        <f t="shared" si="1"/>
        <v>2107.5036840000002</v>
      </c>
      <c r="M47" s="303"/>
      <c r="N47" s="216"/>
      <c r="O47" s="216"/>
      <c r="P47" s="216"/>
    </row>
    <row r="48" spans="1:16" x14ac:dyDescent="0.25">
      <c r="A48" s="565"/>
      <c r="B48" s="523"/>
      <c r="C48" s="31" t="s">
        <v>49</v>
      </c>
      <c r="D48" s="215">
        <v>6</v>
      </c>
      <c r="E48" s="211" t="s">
        <v>44</v>
      </c>
      <c r="F48" s="216"/>
      <c r="G48" s="211">
        <v>1E-4</v>
      </c>
      <c r="H48" s="211">
        <v>4</v>
      </c>
      <c r="I48" s="300">
        <f t="shared" si="0"/>
        <v>0.23166000000000003</v>
      </c>
      <c r="J48" s="230">
        <v>6</v>
      </c>
      <c r="K48" s="301">
        <v>454.87</v>
      </c>
      <c r="L48" s="302">
        <f t="shared" si="1"/>
        <v>421.50073680000008</v>
      </c>
      <c r="M48" s="303"/>
      <c r="N48" s="216"/>
      <c r="O48" s="216"/>
      <c r="P48" s="216"/>
    </row>
    <row r="49" spans="1:16" x14ac:dyDescent="0.25">
      <c r="A49" s="565"/>
      <c r="B49" s="523"/>
      <c r="C49" s="31" t="s">
        <v>69</v>
      </c>
      <c r="D49" s="215">
        <v>3</v>
      </c>
      <c r="E49" s="211" t="s">
        <v>43</v>
      </c>
      <c r="F49" s="216"/>
      <c r="G49" s="211">
        <v>1E-3</v>
      </c>
      <c r="H49" s="211">
        <v>2</v>
      </c>
      <c r="I49" s="300">
        <f t="shared" si="0"/>
        <v>1.1583000000000001</v>
      </c>
      <c r="J49" s="230">
        <v>6</v>
      </c>
      <c r="K49" s="301">
        <v>454.87</v>
      </c>
      <c r="L49" s="302">
        <f t="shared" si="1"/>
        <v>1053.7518420000001</v>
      </c>
      <c r="M49" s="303"/>
      <c r="N49" s="216"/>
      <c r="O49" s="216"/>
      <c r="P49" s="216"/>
    </row>
    <row r="50" spans="1:16" x14ac:dyDescent="0.25">
      <c r="A50" s="565"/>
      <c r="B50" s="523"/>
      <c r="C50" s="31" t="s">
        <v>69</v>
      </c>
      <c r="D50" s="215">
        <v>3</v>
      </c>
      <c r="E50" s="211" t="s">
        <v>44</v>
      </c>
      <c r="F50" s="216"/>
      <c r="G50" s="211">
        <v>1E-4</v>
      </c>
      <c r="H50" s="211">
        <v>4</v>
      </c>
      <c r="I50" s="300">
        <f t="shared" si="0"/>
        <v>0.11583000000000002</v>
      </c>
      <c r="J50" s="230">
        <v>6</v>
      </c>
      <c r="K50" s="301">
        <v>454.87</v>
      </c>
      <c r="L50" s="302">
        <f t="shared" si="1"/>
        <v>210.75036840000004</v>
      </c>
      <c r="M50" s="303"/>
      <c r="N50" s="216"/>
      <c r="O50" s="216"/>
      <c r="P50" s="216"/>
    </row>
    <row r="51" spans="1:16" x14ac:dyDescent="0.25">
      <c r="A51" s="565"/>
      <c r="B51" s="523"/>
      <c r="C51" s="31" t="s">
        <v>70</v>
      </c>
      <c r="D51" s="215">
        <v>3</v>
      </c>
      <c r="E51" s="211" t="s">
        <v>43</v>
      </c>
      <c r="F51" s="216"/>
      <c r="G51" s="211">
        <v>1E-3</v>
      </c>
      <c r="H51" s="211">
        <v>2</v>
      </c>
      <c r="I51" s="300">
        <f t="shared" si="0"/>
        <v>1.1583000000000001</v>
      </c>
      <c r="J51" s="230">
        <v>6</v>
      </c>
      <c r="K51" s="301">
        <v>454.87</v>
      </c>
      <c r="L51" s="302">
        <f t="shared" si="1"/>
        <v>1053.7518420000001</v>
      </c>
      <c r="M51" s="303"/>
      <c r="N51" s="216"/>
      <c r="O51" s="216"/>
      <c r="P51" s="216"/>
    </row>
    <row r="52" spans="1:16" x14ac:dyDescent="0.25">
      <c r="A52" s="565"/>
      <c r="B52" s="523"/>
      <c r="C52" s="31" t="s">
        <v>70</v>
      </c>
      <c r="D52" s="215">
        <v>3</v>
      </c>
      <c r="E52" s="211" t="s">
        <v>44</v>
      </c>
      <c r="F52" s="216"/>
      <c r="G52" s="211">
        <v>1E-4</v>
      </c>
      <c r="H52" s="211">
        <v>4</v>
      </c>
      <c r="I52" s="300">
        <f t="shared" si="0"/>
        <v>0.11583000000000002</v>
      </c>
      <c r="J52" s="230">
        <v>6</v>
      </c>
      <c r="K52" s="301">
        <v>454.87</v>
      </c>
      <c r="L52" s="302">
        <f t="shared" si="1"/>
        <v>210.75036840000004</v>
      </c>
      <c r="M52" s="303"/>
      <c r="N52" s="216"/>
      <c r="O52" s="216"/>
      <c r="P52" s="216"/>
    </row>
    <row r="53" spans="1:16" x14ac:dyDescent="0.25">
      <c r="A53" s="565"/>
      <c r="B53" s="523"/>
      <c r="C53" s="31" t="s">
        <v>71</v>
      </c>
      <c r="D53" s="215">
        <v>2</v>
      </c>
      <c r="E53" s="211" t="s">
        <v>43</v>
      </c>
      <c r="F53" s="216"/>
      <c r="G53" s="211">
        <v>1E-3</v>
      </c>
      <c r="H53" s="211">
        <v>2</v>
      </c>
      <c r="I53" s="300">
        <f t="shared" si="0"/>
        <v>0.77220000000000011</v>
      </c>
      <c r="J53" s="230">
        <v>6</v>
      </c>
      <c r="K53" s="301">
        <v>454.87</v>
      </c>
      <c r="L53" s="302">
        <f t="shared" si="1"/>
        <v>702.50122800000008</v>
      </c>
      <c r="M53" s="303"/>
      <c r="N53" s="216"/>
      <c r="O53" s="216"/>
      <c r="P53" s="216"/>
    </row>
    <row r="54" spans="1:16" x14ac:dyDescent="0.25">
      <c r="A54" s="565"/>
      <c r="B54" s="523"/>
      <c r="C54" s="31" t="s">
        <v>71</v>
      </c>
      <c r="D54" s="215">
        <v>2</v>
      </c>
      <c r="E54" s="211" t="s">
        <v>44</v>
      </c>
      <c r="F54" s="216"/>
      <c r="G54" s="211">
        <v>1E-4</v>
      </c>
      <c r="H54" s="211">
        <v>4</v>
      </c>
      <c r="I54" s="300">
        <f t="shared" si="0"/>
        <v>7.7220000000000011E-2</v>
      </c>
      <c r="J54" s="230">
        <v>6</v>
      </c>
      <c r="K54" s="301">
        <v>454.87</v>
      </c>
      <c r="L54" s="302">
        <f t="shared" si="1"/>
        <v>140.50024560000003</v>
      </c>
      <c r="M54" s="303"/>
      <c r="N54" s="216"/>
      <c r="O54" s="216"/>
      <c r="P54" s="216"/>
    </row>
    <row r="55" spans="1:16" x14ac:dyDescent="0.25">
      <c r="A55" s="565"/>
      <c r="B55" s="523"/>
      <c r="C55" s="31" t="s">
        <v>48</v>
      </c>
      <c r="D55" s="215">
        <v>2</v>
      </c>
      <c r="E55" s="211" t="s">
        <v>43</v>
      </c>
      <c r="F55" s="216"/>
      <c r="G55" s="211">
        <v>1E-3</v>
      </c>
      <c r="H55" s="211">
        <v>2</v>
      </c>
      <c r="I55" s="300">
        <f t="shared" si="0"/>
        <v>0.77220000000000011</v>
      </c>
      <c r="J55" s="230">
        <v>6</v>
      </c>
      <c r="K55" s="301">
        <v>454.87</v>
      </c>
      <c r="L55" s="302">
        <f t="shared" si="1"/>
        <v>702.50122800000008</v>
      </c>
      <c r="M55" s="303"/>
      <c r="N55" s="216"/>
      <c r="O55" s="216"/>
      <c r="P55" s="216"/>
    </row>
    <row r="56" spans="1:16" x14ac:dyDescent="0.25">
      <c r="A56" s="565"/>
      <c r="B56" s="523"/>
      <c r="C56" s="31" t="s">
        <v>48</v>
      </c>
      <c r="D56" s="215">
        <v>2</v>
      </c>
      <c r="E56" s="211" t="s">
        <v>44</v>
      </c>
      <c r="F56" s="216"/>
      <c r="G56" s="211">
        <v>1E-4</v>
      </c>
      <c r="H56" s="211">
        <v>4</v>
      </c>
      <c r="I56" s="300">
        <f t="shared" si="0"/>
        <v>7.7220000000000011E-2</v>
      </c>
      <c r="J56" s="230">
        <v>6</v>
      </c>
      <c r="K56" s="301">
        <v>454.87</v>
      </c>
      <c r="L56" s="302">
        <f t="shared" si="1"/>
        <v>140.50024560000003</v>
      </c>
      <c r="M56" s="303"/>
      <c r="N56" s="216"/>
      <c r="O56" s="216"/>
      <c r="P56" s="216"/>
    </row>
    <row r="57" spans="1:16" ht="31.5" x14ac:dyDescent="0.25">
      <c r="A57" s="565"/>
      <c r="B57" s="523"/>
      <c r="C57" s="31" t="s">
        <v>46</v>
      </c>
      <c r="D57" s="215">
        <v>1</v>
      </c>
      <c r="E57" s="211" t="s">
        <v>43</v>
      </c>
      <c r="F57" s="216"/>
      <c r="G57" s="211">
        <v>1E-3</v>
      </c>
      <c r="H57" s="211">
        <v>2</v>
      </c>
      <c r="I57" s="300">
        <f t="shared" si="0"/>
        <v>0.38610000000000005</v>
      </c>
      <c r="J57" s="230">
        <v>6</v>
      </c>
      <c r="K57" s="301">
        <v>454.87</v>
      </c>
      <c r="L57" s="302">
        <f t="shared" si="1"/>
        <v>351.25061400000004</v>
      </c>
      <c r="M57" s="303"/>
      <c r="N57" s="216"/>
      <c r="O57" s="216"/>
      <c r="P57" s="216"/>
    </row>
    <row r="58" spans="1:16" ht="31.5" x14ac:dyDescent="0.25">
      <c r="A58" s="565"/>
      <c r="B58" s="523"/>
      <c r="C58" s="31" t="s">
        <v>46</v>
      </c>
      <c r="D58" s="215">
        <v>1</v>
      </c>
      <c r="E58" s="211" t="s">
        <v>44</v>
      </c>
      <c r="F58" s="216"/>
      <c r="G58" s="211">
        <v>1E-4</v>
      </c>
      <c r="H58" s="211">
        <v>4</v>
      </c>
      <c r="I58" s="300">
        <f t="shared" si="0"/>
        <v>3.8610000000000005E-2</v>
      </c>
      <c r="J58" s="230">
        <v>6</v>
      </c>
      <c r="K58" s="301">
        <v>454.87</v>
      </c>
      <c r="L58" s="302">
        <f t="shared" si="1"/>
        <v>70.250122800000014</v>
      </c>
      <c r="M58" s="303"/>
      <c r="N58" s="216"/>
      <c r="O58" s="216"/>
      <c r="P58" s="216"/>
    </row>
    <row r="59" spans="1:16" x14ac:dyDescent="0.25">
      <c r="A59" s="565"/>
      <c r="B59" s="523"/>
      <c r="C59" s="31" t="s">
        <v>72</v>
      </c>
      <c r="D59" s="215">
        <v>2</v>
      </c>
      <c r="E59" s="211" t="s">
        <v>43</v>
      </c>
      <c r="F59" s="216"/>
      <c r="G59" s="211">
        <v>1E-3</v>
      </c>
      <c r="H59" s="211">
        <v>2</v>
      </c>
      <c r="I59" s="300">
        <f t="shared" si="0"/>
        <v>0.77220000000000011</v>
      </c>
      <c r="J59" s="230">
        <v>6</v>
      </c>
      <c r="K59" s="301">
        <v>454.87</v>
      </c>
      <c r="L59" s="302">
        <f t="shared" si="1"/>
        <v>702.50122800000008</v>
      </c>
      <c r="M59" s="303"/>
      <c r="N59" s="216"/>
      <c r="O59" s="216"/>
      <c r="P59" s="216"/>
    </row>
    <row r="60" spans="1:16" x14ac:dyDescent="0.25">
      <c r="A60" s="565"/>
      <c r="B60" s="523"/>
      <c r="C60" s="31" t="s">
        <v>72</v>
      </c>
      <c r="D60" s="215">
        <v>2</v>
      </c>
      <c r="E60" s="211" t="s">
        <v>44</v>
      </c>
      <c r="F60" s="216"/>
      <c r="G60" s="211">
        <v>1E-4</v>
      </c>
      <c r="H60" s="211">
        <v>4</v>
      </c>
      <c r="I60" s="300">
        <f t="shared" si="0"/>
        <v>7.7220000000000011E-2</v>
      </c>
      <c r="J60" s="230">
        <v>6</v>
      </c>
      <c r="K60" s="301">
        <v>454.87</v>
      </c>
      <c r="L60" s="302">
        <f t="shared" si="1"/>
        <v>140.50024560000003</v>
      </c>
      <c r="M60" s="303"/>
      <c r="N60" s="216"/>
      <c r="O60" s="216"/>
      <c r="P60" s="216"/>
    </row>
    <row r="61" spans="1:16" x14ac:dyDescent="0.25">
      <c r="A61" s="565"/>
      <c r="B61" s="523"/>
      <c r="C61" s="31" t="s">
        <v>73</v>
      </c>
      <c r="D61" s="215">
        <v>5</v>
      </c>
      <c r="E61" s="211" t="s">
        <v>43</v>
      </c>
      <c r="F61" s="216"/>
      <c r="G61" s="211">
        <v>3.0000000000000001E-3</v>
      </c>
      <c r="H61" s="211">
        <v>4</v>
      </c>
      <c r="I61" s="300">
        <f t="shared" si="0"/>
        <v>5.7915000000000001</v>
      </c>
      <c r="J61" s="230">
        <v>6</v>
      </c>
      <c r="K61" s="301">
        <v>454.87</v>
      </c>
      <c r="L61" s="302">
        <f t="shared" si="1"/>
        <v>10537.51842</v>
      </c>
      <c r="M61" s="303"/>
      <c r="N61" s="216"/>
      <c r="O61" s="216"/>
      <c r="P61" s="216"/>
    </row>
    <row r="62" spans="1:16" ht="31.5" x14ac:dyDescent="0.25">
      <c r="A62" s="565"/>
      <c r="B62" s="523"/>
      <c r="C62" s="31" t="s">
        <v>74</v>
      </c>
      <c r="D62" s="215">
        <v>70</v>
      </c>
      <c r="E62" s="211" t="s">
        <v>43</v>
      </c>
      <c r="F62" s="216"/>
      <c r="G62" s="211">
        <v>1E-3</v>
      </c>
      <c r="H62" s="211">
        <v>2</v>
      </c>
      <c r="I62" s="300">
        <f t="shared" si="0"/>
        <v>27.027000000000008</v>
      </c>
      <c r="J62" s="230">
        <v>6</v>
      </c>
      <c r="K62" s="301">
        <v>454.87</v>
      </c>
      <c r="L62" s="302">
        <f t="shared" si="1"/>
        <v>24587.542980000009</v>
      </c>
      <c r="M62" s="303"/>
      <c r="N62" s="216"/>
      <c r="O62" s="216"/>
      <c r="P62" s="216"/>
    </row>
    <row r="63" spans="1:16" ht="31.5" x14ac:dyDescent="0.25">
      <c r="A63" s="565"/>
      <c r="B63" s="523"/>
      <c r="C63" s="31" t="s">
        <v>74</v>
      </c>
      <c r="D63" s="215">
        <v>70</v>
      </c>
      <c r="E63" s="211" t="s">
        <v>44</v>
      </c>
      <c r="F63" s="216"/>
      <c r="G63" s="211">
        <v>1E-4</v>
      </c>
      <c r="H63" s="211">
        <v>4</v>
      </c>
      <c r="I63" s="300">
        <f t="shared" si="0"/>
        <v>2.7027000000000001</v>
      </c>
      <c r="J63" s="230">
        <v>6</v>
      </c>
      <c r="K63" s="301">
        <v>454.87</v>
      </c>
      <c r="L63" s="302">
        <f t="shared" si="1"/>
        <v>4917.5085960000006</v>
      </c>
      <c r="M63" s="303"/>
      <c r="N63" s="216"/>
      <c r="O63" s="216"/>
      <c r="P63" s="216"/>
    </row>
    <row r="64" spans="1:16" x14ac:dyDescent="0.25">
      <c r="A64" s="565"/>
      <c r="B64" s="523"/>
      <c r="C64" s="31" t="s">
        <v>75</v>
      </c>
      <c r="D64" s="215">
        <v>5</v>
      </c>
      <c r="E64" s="211" t="s">
        <v>43</v>
      </c>
      <c r="F64" s="216"/>
      <c r="G64" s="211">
        <v>1E-3</v>
      </c>
      <c r="H64" s="211">
        <v>2</v>
      </c>
      <c r="I64" s="300">
        <f t="shared" si="0"/>
        <v>1.9305000000000003</v>
      </c>
      <c r="J64" s="230">
        <v>6</v>
      </c>
      <c r="K64" s="301">
        <v>454.87</v>
      </c>
      <c r="L64" s="302">
        <f t="shared" si="1"/>
        <v>1756.2530700000002</v>
      </c>
      <c r="M64" s="303"/>
      <c r="N64" s="216"/>
      <c r="O64" s="216"/>
      <c r="P64" s="216"/>
    </row>
    <row r="65" spans="1:16" x14ac:dyDescent="0.25">
      <c r="A65" s="565"/>
      <c r="B65" s="523"/>
      <c r="C65" s="31" t="s">
        <v>75</v>
      </c>
      <c r="D65" s="215">
        <v>5</v>
      </c>
      <c r="E65" s="211" t="s">
        <v>44</v>
      </c>
      <c r="F65" s="216"/>
      <c r="G65" s="211">
        <v>1E-4</v>
      </c>
      <c r="H65" s="211">
        <v>4</v>
      </c>
      <c r="I65" s="300">
        <f t="shared" si="0"/>
        <v>0.19305000000000003</v>
      </c>
      <c r="J65" s="230">
        <v>6</v>
      </c>
      <c r="K65" s="301">
        <v>454.87</v>
      </c>
      <c r="L65" s="302">
        <f t="shared" si="1"/>
        <v>351.25061400000004</v>
      </c>
      <c r="M65" s="303"/>
      <c r="N65" s="216"/>
      <c r="O65" s="216"/>
      <c r="P65" s="216"/>
    </row>
    <row r="66" spans="1:16" x14ac:dyDescent="0.25">
      <c r="A66" s="565"/>
      <c r="B66" s="523"/>
      <c r="C66" s="31" t="s">
        <v>76</v>
      </c>
      <c r="D66" s="215">
        <v>10</v>
      </c>
      <c r="E66" s="211" t="s">
        <v>43</v>
      </c>
      <c r="F66" s="216"/>
      <c r="G66" s="211">
        <v>1E-3</v>
      </c>
      <c r="H66" s="211">
        <v>2</v>
      </c>
      <c r="I66" s="300">
        <f t="shared" si="0"/>
        <v>3.8610000000000007</v>
      </c>
      <c r="J66" s="230">
        <v>6</v>
      </c>
      <c r="K66" s="301">
        <v>454.87</v>
      </c>
      <c r="L66" s="302">
        <f t="shared" si="1"/>
        <v>3512.5061400000004</v>
      </c>
      <c r="M66" s="303"/>
      <c r="N66" s="216"/>
      <c r="O66" s="216"/>
      <c r="P66" s="216"/>
    </row>
    <row r="67" spans="1:16" x14ac:dyDescent="0.25">
      <c r="A67" s="565"/>
      <c r="B67" s="523"/>
      <c r="C67" s="31" t="s">
        <v>76</v>
      </c>
      <c r="D67" s="215">
        <v>10</v>
      </c>
      <c r="E67" s="211" t="s">
        <v>44</v>
      </c>
      <c r="F67" s="216"/>
      <c r="G67" s="211">
        <v>1E-4</v>
      </c>
      <c r="H67" s="211">
        <v>4</v>
      </c>
      <c r="I67" s="300">
        <f t="shared" si="0"/>
        <v>0.38610000000000005</v>
      </c>
      <c r="J67" s="230">
        <v>6</v>
      </c>
      <c r="K67" s="301">
        <v>454.87</v>
      </c>
      <c r="L67" s="302">
        <f t="shared" si="1"/>
        <v>702.50122800000008</v>
      </c>
      <c r="M67" s="303"/>
      <c r="N67" s="216"/>
      <c r="O67" s="216"/>
      <c r="P67" s="216"/>
    </row>
    <row r="68" spans="1:16" x14ac:dyDescent="0.25">
      <c r="A68" s="565"/>
      <c r="B68" s="523"/>
      <c r="C68" s="31" t="s">
        <v>77</v>
      </c>
      <c r="D68" s="215">
        <v>10</v>
      </c>
      <c r="E68" s="211" t="s">
        <v>43</v>
      </c>
      <c r="F68" s="216"/>
      <c r="G68" s="211">
        <v>1E-3</v>
      </c>
      <c r="H68" s="211">
        <v>2</v>
      </c>
      <c r="I68" s="300">
        <f t="shared" si="0"/>
        <v>3.8610000000000007</v>
      </c>
      <c r="J68" s="230">
        <v>6</v>
      </c>
      <c r="K68" s="301">
        <v>454.87</v>
      </c>
      <c r="L68" s="302">
        <f t="shared" si="1"/>
        <v>3512.5061400000004</v>
      </c>
      <c r="M68" s="303"/>
      <c r="N68" s="216"/>
      <c r="O68" s="216"/>
      <c r="P68" s="216"/>
    </row>
    <row r="69" spans="1:16" x14ac:dyDescent="0.25">
      <c r="A69" s="565"/>
      <c r="B69" s="523"/>
      <c r="C69" s="31" t="s">
        <v>77</v>
      </c>
      <c r="D69" s="215">
        <v>10</v>
      </c>
      <c r="E69" s="211" t="s">
        <v>44</v>
      </c>
      <c r="F69" s="216"/>
      <c r="G69" s="211">
        <v>1E-4</v>
      </c>
      <c r="H69" s="211">
        <v>4</v>
      </c>
      <c r="I69" s="300">
        <f t="shared" si="0"/>
        <v>0.38610000000000005</v>
      </c>
      <c r="J69" s="230">
        <v>6</v>
      </c>
      <c r="K69" s="301">
        <v>454.87</v>
      </c>
      <c r="L69" s="302">
        <f t="shared" si="1"/>
        <v>702.50122800000008</v>
      </c>
      <c r="M69" s="303"/>
      <c r="N69" s="216"/>
      <c r="O69" s="216"/>
      <c r="P69" s="216"/>
    </row>
    <row r="70" spans="1:16" x14ac:dyDescent="0.25">
      <c r="A70" s="565"/>
      <c r="B70" s="523"/>
      <c r="C70" s="31" t="s">
        <v>78</v>
      </c>
      <c r="D70" s="215">
        <v>5</v>
      </c>
      <c r="E70" s="211" t="s">
        <v>43</v>
      </c>
      <c r="F70" s="216"/>
      <c r="G70" s="211">
        <v>1E-3</v>
      </c>
      <c r="H70" s="211">
        <v>2</v>
      </c>
      <c r="I70" s="300">
        <f t="shared" si="0"/>
        <v>1.9305000000000003</v>
      </c>
      <c r="J70" s="230">
        <v>6</v>
      </c>
      <c r="K70" s="301">
        <v>454.87</v>
      </c>
      <c r="L70" s="302">
        <f t="shared" si="1"/>
        <v>1756.2530700000002</v>
      </c>
      <c r="M70" s="303"/>
      <c r="N70" s="216"/>
      <c r="O70" s="216"/>
      <c r="P70" s="216"/>
    </row>
    <row r="71" spans="1:16" x14ac:dyDescent="0.25">
      <c r="A71" s="565"/>
      <c r="B71" s="523"/>
      <c r="C71" s="31" t="s">
        <v>78</v>
      </c>
      <c r="D71" s="215">
        <v>5</v>
      </c>
      <c r="E71" s="211" t="s">
        <v>44</v>
      </c>
      <c r="F71" s="216"/>
      <c r="G71" s="211">
        <v>1E-4</v>
      </c>
      <c r="H71" s="211">
        <v>4</v>
      </c>
      <c r="I71" s="300">
        <f t="shared" ref="I71:I131" si="3">D71*G71*351*1.1</f>
        <v>0.19305000000000003</v>
      </c>
      <c r="J71" s="230">
        <v>6</v>
      </c>
      <c r="K71" s="301">
        <v>454.87</v>
      </c>
      <c r="L71" s="302">
        <f t="shared" ref="L71:L132" si="4">H71*I71*K71</f>
        <v>351.25061400000004</v>
      </c>
      <c r="M71" s="303"/>
      <c r="N71" s="216"/>
      <c r="O71" s="216"/>
      <c r="P71" s="216"/>
    </row>
    <row r="72" spans="1:16" x14ac:dyDescent="0.25">
      <c r="A72" s="565"/>
      <c r="B72" s="523"/>
      <c r="C72" s="31" t="s">
        <v>79</v>
      </c>
      <c r="D72" s="215">
        <v>5</v>
      </c>
      <c r="E72" s="211" t="s">
        <v>43</v>
      </c>
      <c r="F72" s="216"/>
      <c r="G72" s="211">
        <v>1E-3</v>
      </c>
      <c r="H72" s="211">
        <v>2</v>
      </c>
      <c r="I72" s="300">
        <f t="shared" si="3"/>
        <v>1.9305000000000003</v>
      </c>
      <c r="J72" s="230">
        <v>6</v>
      </c>
      <c r="K72" s="301">
        <v>454.87</v>
      </c>
      <c r="L72" s="302">
        <f t="shared" si="4"/>
        <v>1756.2530700000002</v>
      </c>
      <c r="M72" s="303"/>
      <c r="N72" s="216"/>
      <c r="O72" s="216"/>
      <c r="P72" s="216"/>
    </row>
    <row r="73" spans="1:16" x14ac:dyDescent="0.25">
      <c r="A73" s="565"/>
      <c r="B73" s="523"/>
      <c r="C73" s="31" t="s">
        <v>79</v>
      </c>
      <c r="D73" s="215">
        <v>5</v>
      </c>
      <c r="E73" s="211" t="s">
        <v>44</v>
      </c>
      <c r="F73" s="216"/>
      <c r="G73" s="211">
        <v>1E-4</v>
      </c>
      <c r="H73" s="211">
        <v>4</v>
      </c>
      <c r="I73" s="300">
        <f t="shared" si="3"/>
        <v>0.19305000000000003</v>
      </c>
      <c r="J73" s="230">
        <v>6</v>
      </c>
      <c r="K73" s="301">
        <v>454.87</v>
      </c>
      <c r="L73" s="302">
        <f t="shared" si="4"/>
        <v>351.25061400000004</v>
      </c>
      <c r="M73" s="303"/>
      <c r="N73" s="216"/>
      <c r="O73" s="216"/>
      <c r="P73" s="216"/>
    </row>
    <row r="74" spans="1:16" x14ac:dyDescent="0.25">
      <c r="A74" s="565"/>
      <c r="B74" s="523"/>
      <c r="C74" s="31" t="s">
        <v>80</v>
      </c>
      <c r="D74" s="215">
        <v>5</v>
      </c>
      <c r="E74" s="211" t="s">
        <v>43</v>
      </c>
      <c r="F74" s="216"/>
      <c r="G74" s="211">
        <v>1E-3</v>
      </c>
      <c r="H74" s="211">
        <v>2</v>
      </c>
      <c r="I74" s="300">
        <f t="shared" si="3"/>
        <v>1.9305000000000003</v>
      </c>
      <c r="J74" s="230">
        <v>6</v>
      </c>
      <c r="K74" s="301">
        <v>454.87</v>
      </c>
      <c r="L74" s="302">
        <f t="shared" si="4"/>
        <v>1756.2530700000002</v>
      </c>
      <c r="M74" s="303"/>
      <c r="N74" s="216"/>
      <c r="O74" s="216"/>
      <c r="P74" s="216"/>
    </row>
    <row r="75" spans="1:16" x14ac:dyDescent="0.25">
      <c r="A75" s="565"/>
      <c r="B75" s="523"/>
      <c r="C75" s="31" t="s">
        <v>80</v>
      </c>
      <c r="D75" s="215">
        <v>5</v>
      </c>
      <c r="E75" s="211" t="s">
        <v>44</v>
      </c>
      <c r="F75" s="216"/>
      <c r="G75" s="211">
        <v>1E-4</v>
      </c>
      <c r="H75" s="211">
        <v>4</v>
      </c>
      <c r="I75" s="300">
        <f t="shared" si="3"/>
        <v>0.19305000000000003</v>
      </c>
      <c r="J75" s="230">
        <v>6</v>
      </c>
      <c r="K75" s="301">
        <v>454.87</v>
      </c>
      <c r="L75" s="302">
        <f t="shared" si="4"/>
        <v>351.25061400000004</v>
      </c>
      <c r="M75" s="303"/>
      <c r="N75" s="216"/>
      <c r="O75" s="216"/>
      <c r="P75" s="216"/>
    </row>
    <row r="76" spans="1:16" x14ac:dyDescent="0.25">
      <c r="A76" s="565"/>
      <c r="B76" s="523"/>
      <c r="C76" s="31" t="s">
        <v>81</v>
      </c>
      <c r="D76" s="215">
        <v>5</v>
      </c>
      <c r="E76" s="211" t="s">
        <v>43</v>
      </c>
      <c r="F76" s="216"/>
      <c r="G76" s="211">
        <v>1E-3</v>
      </c>
      <c r="H76" s="211">
        <v>2</v>
      </c>
      <c r="I76" s="300">
        <f t="shared" si="3"/>
        <v>1.9305000000000003</v>
      </c>
      <c r="J76" s="230">
        <v>6</v>
      </c>
      <c r="K76" s="301">
        <v>454.87</v>
      </c>
      <c r="L76" s="302">
        <f t="shared" si="4"/>
        <v>1756.2530700000002</v>
      </c>
      <c r="M76" s="303"/>
      <c r="N76" s="216"/>
      <c r="O76" s="216"/>
      <c r="P76" s="216"/>
    </row>
    <row r="77" spans="1:16" x14ac:dyDescent="0.25">
      <c r="A77" s="565"/>
      <c r="B77" s="523"/>
      <c r="C77" s="31" t="s">
        <v>81</v>
      </c>
      <c r="D77" s="215">
        <v>5</v>
      </c>
      <c r="E77" s="211" t="s">
        <v>44</v>
      </c>
      <c r="F77" s="216"/>
      <c r="G77" s="211">
        <v>1E-4</v>
      </c>
      <c r="H77" s="211">
        <v>4</v>
      </c>
      <c r="I77" s="300">
        <f t="shared" si="3"/>
        <v>0.19305000000000003</v>
      </c>
      <c r="J77" s="230">
        <v>6</v>
      </c>
      <c r="K77" s="301">
        <v>454.87</v>
      </c>
      <c r="L77" s="302">
        <f t="shared" si="4"/>
        <v>351.25061400000004</v>
      </c>
      <c r="M77" s="303"/>
      <c r="N77" s="216"/>
      <c r="O77" s="216"/>
      <c r="P77" s="216"/>
    </row>
    <row r="78" spans="1:16" x14ac:dyDescent="0.25">
      <c r="A78" s="565"/>
      <c r="B78" s="523"/>
      <c r="C78" s="31" t="s">
        <v>82</v>
      </c>
      <c r="D78" s="215">
        <v>5</v>
      </c>
      <c r="E78" s="211" t="s">
        <v>43</v>
      </c>
      <c r="F78" s="216"/>
      <c r="G78" s="211">
        <v>1E-3</v>
      </c>
      <c r="H78" s="211">
        <v>2</v>
      </c>
      <c r="I78" s="300">
        <f t="shared" si="3"/>
        <v>1.9305000000000003</v>
      </c>
      <c r="J78" s="230">
        <v>6</v>
      </c>
      <c r="K78" s="301">
        <v>454.87</v>
      </c>
      <c r="L78" s="302">
        <f t="shared" si="4"/>
        <v>1756.2530700000002</v>
      </c>
      <c r="M78" s="303"/>
      <c r="N78" s="216"/>
      <c r="O78" s="216"/>
      <c r="P78" s="216"/>
    </row>
    <row r="79" spans="1:16" x14ac:dyDescent="0.25">
      <c r="A79" s="565"/>
      <c r="B79" s="523"/>
      <c r="C79" s="31" t="s">
        <v>82</v>
      </c>
      <c r="D79" s="215">
        <v>5</v>
      </c>
      <c r="E79" s="211" t="s">
        <v>44</v>
      </c>
      <c r="F79" s="216"/>
      <c r="G79" s="211">
        <v>1E-4</v>
      </c>
      <c r="H79" s="211">
        <v>4</v>
      </c>
      <c r="I79" s="300">
        <f t="shared" si="3"/>
        <v>0.19305000000000003</v>
      </c>
      <c r="J79" s="230">
        <v>6</v>
      </c>
      <c r="K79" s="301">
        <v>454.87</v>
      </c>
      <c r="L79" s="302">
        <f t="shared" si="4"/>
        <v>351.25061400000004</v>
      </c>
      <c r="M79" s="303"/>
      <c r="N79" s="216"/>
      <c r="O79" s="216"/>
      <c r="P79" s="216"/>
    </row>
    <row r="80" spans="1:16" ht="31.5" x14ac:dyDescent="0.25">
      <c r="A80" s="565"/>
      <c r="B80" s="523"/>
      <c r="C80" s="31" t="s">
        <v>83</v>
      </c>
      <c r="D80" s="215">
        <v>5</v>
      </c>
      <c r="E80" s="211" t="s">
        <v>43</v>
      </c>
      <c r="F80" s="216"/>
      <c r="G80" s="211">
        <v>1E-3</v>
      </c>
      <c r="H80" s="211">
        <v>2</v>
      </c>
      <c r="I80" s="300">
        <f t="shared" si="3"/>
        <v>1.9305000000000003</v>
      </c>
      <c r="J80" s="230">
        <v>6</v>
      </c>
      <c r="K80" s="301">
        <v>454.87</v>
      </c>
      <c r="L80" s="302">
        <f t="shared" si="4"/>
        <v>1756.2530700000002</v>
      </c>
      <c r="M80" s="303"/>
      <c r="N80" s="216"/>
      <c r="O80" s="216"/>
      <c r="P80" s="216"/>
    </row>
    <row r="81" spans="1:16" ht="31.5" x14ac:dyDescent="0.25">
      <c r="A81" s="565"/>
      <c r="B81" s="523"/>
      <c r="C81" s="31" t="s">
        <v>83</v>
      </c>
      <c r="D81" s="215">
        <v>5</v>
      </c>
      <c r="E81" s="211" t="s">
        <v>44</v>
      </c>
      <c r="F81" s="216"/>
      <c r="G81" s="211">
        <v>1E-4</v>
      </c>
      <c r="H81" s="211">
        <v>4</v>
      </c>
      <c r="I81" s="300">
        <f t="shared" si="3"/>
        <v>0.19305000000000003</v>
      </c>
      <c r="J81" s="230">
        <v>6</v>
      </c>
      <c r="K81" s="301">
        <v>454.87</v>
      </c>
      <c r="L81" s="302">
        <f t="shared" si="4"/>
        <v>351.25061400000004</v>
      </c>
      <c r="M81" s="303"/>
      <c r="N81" s="216"/>
      <c r="O81" s="216"/>
      <c r="P81" s="216"/>
    </row>
    <row r="82" spans="1:16" x14ac:dyDescent="0.25">
      <c r="A82" s="565"/>
      <c r="B82" s="523"/>
      <c r="C82" s="31" t="s">
        <v>84</v>
      </c>
      <c r="D82" s="215">
        <v>1</v>
      </c>
      <c r="E82" s="211" t="s">
        <v>43</v>
      </c>
      <c r="F82" s="216"/>
      <c r="G82" s="211">
        <v>3.0000000000000001E-3</v>
      </c>
      <c r="H82" s="211">
        <v>2</v>
      </c>
      <c r="I82" s="300">
        <f t="shared" si="3"/>
        <v>1.1583000000000001</v>
      </c>
      <c r="J82" s="230">
        <v>6</v>
      </c>
      <c r="K82" s="301">
        <v>454.87</v>
      </c>
      <c r="L82" s="302">
        <f t="shared" si="4"/>
        <v>1053.7518420000001</v>
      </c>
      <c r="M82" s="303"/>
      <c r="N82" s="216"/>
      <c r="O82" s="216"/>
      <c r="P82" s="216"/>
    </row>
    <row r="83" spans="1:16" x14ac:dyDescent="0.25">
      <c r="A83" s="565"/>
      <c r="B83" s="523"/>
      <c r="C83" s="31" t="s">
        <v>84</v>
      </c>
      <c r="D83" s="215">
        <v>1</v>
      </c>
      <c r="E83" s="211" t="s">
        <v>44</v>
      </c>
      <c r="F83" s="216"/>
      <c r="G83" s="211">
        <v>2.9999999999999997E-4</v>
      </c>
      <c r="H83" s="211">
        <v>4</v>
      </c>
      <c r="I83" s="300">
        <f t="shared" si="3"/>
        <v>0.11583</v>
      </c>
      <c r="J83" s="230">
        <v>6</v>
      </c>
      <c r="K83" s="301">
        <v>454.87</v>
      </c>
      <c r="L83" s="302">
        <f t="shared" si="4"/>
        <v>210.75036840000001</v>
      </c>
      <c r="M83" s="303"/>
      <c r="N83" s="216"/>
      <c r="O83" s="216"/>
      <c r="P83" s="216"/>
    </row>
    <row r="84" spans="1:16" x14ac:dyDescent="0.25">
      <c r="A84" s="565"/>
      <c r="B84" s="523"/>
      <c r="C84" s="31" t="s">
        <v>85</v>
      </c>
      <c r="D84" s="215">
        <v>3</v>
      </c>
      <c r="E84" s="211" t="s">
        <v>43</v>
      </c>
      <c r="F84" s="216"/>
      <c r="G84" s="211">
        <v>3.0000000000000001E-3</v>
      </c>
      <c r="H84" s="211">
        <v>2</v>
      </c>
      <c r="I84" s="300">
        <f t="shared" si="3"/>
        <v>3.4749000000000008</v>
      </c>
      <c r="J84" s="230">
        <v>6</v>
      </c>
      <c r="K84" s="301">
        <v>454.87</v>
      </c>
      <c r="L84" s="302">
        <f t="shared" si="4"/>
        <v>3161.2555260000008</v>
      </c>
      <c r="M84" s="303"/>
      <c r="N84" s="216"/>
      <c r="O84" s="216"/>
      <c r="P84" s="216"/>
    </row>
    <row r="85" spans="1:16" x14ac:dyDescent="0.25">
      <c r="A85" s="565"/>
      <c r="B85" s="523"/>
      <c r="C85" s="31" t="s">
        <v>85</v>
      </c>
      <c r="D85" s="215">
        <v>3</v>
      </c>
      <c r="E85" s="211" t="s">
        <v>44</v>
      </c>
      <c r="F85" s="216"/>
      <c r="G85" s="211">
        <v>2.9999999999999997E-4</v>
      </c>
      <c r="H85" s="211">
        <v>4</v>
      </c>
      <c r="I85" s="300">
        <f t="shared" si="3"/>
        <v>0.34749000000000002</v>
      </c>
      <c r="J85" s="230">
        <v>6</v>
      </c>
      <c r="K85" s="301">
        <v>454.87</v>
      </c>
      <c r="L85" s="302">
        <f t="shared" si="4"/>
        <v>632.2511052000001</v>
      </c>
      <c r="M85" s="303"/>
      <c r="N85" s="216"/>
      <c r="O85" s="216"/>
      <c r="P85" s="216"/>
    </row>
    <row r="86" spans="1:16" x14ac:dyDescent="0.25">
      <c r="A86" s="565"/>
      <c r="B86" s="523"/>
      <c r="C86" s="31" t="s">
        <v>86</v>
      </c>
      <c r="D86" s="215">
        <v>2</v>
      </c>
      <c r="E86" s="211" t="s">
        <v>43</v>
      </c>
      <c r="F86" s="216"/>
      <c r="G86" s="211">
        <v>3.0000000000000001E-3</v>
      </c>
      <c r="H86" s="211">
        <v>2</v>
      </c>
      <c r="I86" s="300">
        <f t="shared" si="3"/>
        <v>2.3166000000000002</v>
      </c>
      <c r="J86" s="230">
        <v>6</v>
      </c>
      <c r="K86" s="301">
        <v>454.87</v>
      </c>
      <c r="L86" s="302">
        <f t="shared" si="4"/>
        <v>2107.5036840000002</v>
      </c>
      <c r="M86" s="303"/>
      <c r="N86" s="216"/>
      <c r="O86" s="216"/>
      <c r="P86" s="216"/>
    </row>
    <row r="87" spans="1:16" x14ac:dyDescent="0.25">
      <c r="A87" s="565"/>
      <c r="B87" s="523"/>
      <c r="C87" s="31" t="s">
        <v>86</v>
      </c>
      <c r="D87" s="215">
        <v>2</v>
      </c>
      <c r="E87" s="211" t="s">
        <v>44</v>
      </c>
      <c r="F87" s="216"/>
      <c r="G87" s="211">
        <v>2.9999999999999997E-4</v>
      </c>
      <c r="H87" s="211">
        <v>4</v>
      </c>
      <c r="I87" s="300">
        <f t="shared" si="3"/>
        <v>0.23166</v>
      </c>
      <c r="J87" s="230">
        <v>6</v>
      </c>
      <c r="K87" s="301">
        <v>454.87</v>
      </c>
      <c r="L87" s="302">
        <f t="shared" si="4"/>
        <v>421.50073680000003</v>
      </c>
      <c r="M87" s="303"/>
      <c r="N87" s="216"/>
      <c r="O87" s="216"/>
      <c r="P87" s="216"/>
    </row>
    <row r="88" spans="1:16" x14ac:dyDescent="0.25">
      <c r="A88" s="565"/>
      <c r="B88" s="523"/>
      <c r="C88" s="31" t="s">
        <v>87</v>
      </c>
      <c r="D88" s="215">
        <v>2</v>
      </c>
      <c r="E88" s="211" t="s">
        <v>43</v>
      </c>
      <c r="F88" s="216"/>
      <c r="G88" s="211">
        <v>3.0000000000000001E-3</v>
      </c>
      <c r="H88" s="211">
        <v>2</v>
      </c>
      <c r="I88" s="300">
        <f t="shared" si="3"/>
        <v>2.3166000000000002</v>
      </c>
      <c r="J88" s="230">
        <v>6</v>
      </c>
      <c r="K88" s="301">
        <v>454.87</v>
      </c>
      <c r="L88" s="302">
        <f t="shared" si="4"/>
        <v>2107.5036840000002</v>
      </c>
      <c r="M88" s="303"/>
      <c r="N88" s="216"/>
      <c r="O88" s="216"/>
      <c r="P88" s="216"/>
    </row>
    <row r="89" spans="1:16" x14ac:dyDescent="0.25">
      <c r="A89" s="565"/>
      <c r="B89" s="523"/>
      <c r="C89" s="31" t="s">
        <v>87</v>
      </c>
      <c r="D89" s="215">
        <v>2</v>
      </c>
      <c r="E89" s="211" t="s">
        <v>44</v>
      </c>
      <c r="F89" s="216"/>
      <c r="G89" s="211">
        <v>2.9999999999999997E-4</v>
      </c>
      <c r="H89" s="211">
        <v>4</v>
      </c>
      <c r="I89" s="300">
        <f t="shared" si="3"/>
        <v>0.23166</v>
      </c>
      <c r="J89" s="230">
        <v>6</v>
      </c>
      <c r="K89" s="301">
        <v>454.87</v>
      </c>
      <c r="L89" s="302">
        <f t="shared" si="4"/>
        <v>421.50073680000003</v>
      </c>
      <c r="M89" s="303"/>
      <c r="N89" s="216"/>
      <c r="O89" s="216"/>
      <c r="P89" s="216"/>
    </row>
    <row r="90" spans="1:16" ht="31.5" x14ac:dyDescent="0.25">
      <c r="A90" s="565"/>
      <c r="B90" s="523"/>
      <c r="C90" s="31" t="s">
        <v>74</v>
      </c>
      <c r="D90" s="215">
        <v>80</v>
      </c>
      <c r="E90" s="211" t="s">
        <v>43</v>
      </c>
      <c r="F90" s="216"/>
      <c r="G90" s="211">
        <v>1E-3</v>
      </c>
      <c r="H90" s="211">
        <v>2</v>
      </c>
      <c r="I90" s="300">
        <f t="shared" si="3"/>
        <v>30.888000000000005</v>
      </c>
      <c r="J90" s="230">
        <v>6</v>
      </c>
      <c r="K90" s="301">
        <v>454.87</v>
      </c>
      <c r="L90" s="302">
        <f t="shared" si="4"/>
        <v>28100.049120000003</v>
      </c>
      <c r="M90" s="303"/>
      <c r="N90" s="216"/>
      <c r="O90" s="216"/>
      <c r="P90" s="216"/>
    </row>
    <row r="91" spans="1:16" ht="31.5" x14ac:dyDescent="0.25">
      <c r="A91" s="565"/>
      <c r="B91" s="523"/>
      <c r="C91" s="31" t="s">
        <v>74</v>
      </c>
      <c r="D91" s="215">
        <v>80</v>
      </c>
      <c r="E91" s="211" t="s">
        <v>44</v>
      </c>
      <c r="F91" s="216"/>
      <c r="G91" s="211">
        <v>1E-4</v>
      </c>
      <c r="H91" s="211">
        <v>4</v>
      </c>
      <c r="I91" s="300">
        <f t="shared" si="3"/>
        <v>3.0888000000000004</v>
      </c>
      <c r="J91" s="230">
        <v>6</v>
      </c>
      <c r="K91" s="301">
        <v>454.87</v>
      </c>
      <c r="L91" s="302">
        <f t="shared" si="4"/>
        <v>5620.0098240000007</v>
      </c>
      <c r="M91" s="303"/>
      <c r="N91" s="216"/>
      <c r="O91" s="216"/>
      <c r="P91" s="216"/>
    </row>
    <row r="92" spans="1:16" x14ac:dyDescent="0.25">
      <c r="A92" s="565"/>
      <c r="B92" s="523"/>
      <c r="C92" s="31" t="s">
        <v>75</v>
      </c>
      <c r="D92" s="215">
        <v>1</v>
      </c>
      <c r="E92" s="211" t="s">
        <v>43</v>
      </c>
      <c r="F92" s="216"/>
      <c r="G92" s="211">
        <v>1E-3</v>
      </c>
      <c r="H92" s="211">
        <v>2</v>
      </c>
      <c r="I92" s="300">
        <f t="shared" si="3"/>
        <v>0.38610000000000005</v>
      </c>
      <c r="J92" s="230">
        <v>6</v>
      </c>
      <c r="K92" s="301">
        <v>454.87</v>
      </c>
      <c r="L92" s="302">
        <f t="shared" si="4"/>
        <v>351.25061400000004</v>
      </c>
      <c r="M92" s="303"/>
      <c r="N92" s="216"/>
      <c r="O92" s="216"/>
      <c r="P92" s="216"/>
    </row>
    <row r="93" spans="1:16" x14ac:dyDescent="0.25">
      <c r="A93" s="565"/>
      <c r="B93" s="523"/>
      <c r="C93" s="31" t="s">
        <v>75</v>
      </c>
      <c r="D93" s="215">
        <v>1</v>
      </c>
      <c r="E93" s="211" t="s">
        <v>44</v>
      </c>
      <c r="F93" s="216"/>
      <c r="G93" s="211">
        <v>1E-4</v>
      </c>
      <c r="H93" s="211">
        <v>4</v>
      </c>
      <c r="I93" s="300">
        <f t="shared" si="3"/>
        <v>3.8610000000000005E-2</v>
      </c>
      <c r="J93" s="230">
        <v>6</v>
      </c>
      <c r="K93" s="301">
        <v>454.87</v>
      </c>
      <c r="L93" s="302">
        <f t="shared" si="4"/>
        <v>70.250122800000014</v>
      </c>
      <c r="M93" s="303"/>
      <c r="N93" s="216"/>
      <c r="O93" s="216"/>
      <c r="P93" s="216"/>
    </row>
    <row r="94" spans="1:16" x14ac:dyDescent="0.25">
      <c r="A94" s="565"/>
      <c r="B94" s="523"/>
      <c r="C94" s="31" t="s">
        <v>76</v>
      </c>
      <c r="D94" s="215">
        <v>2</v>
      </c>
      <c r="E94" s="211" t="s">
        <v>43</v>
      </c>
      <c r="F94" s="216"/>
      <c r="G94" s="211">
        <v>1E-3</v>
      </c>
      <c r="H94" s="211">
        <v>2</v>
      </c>
      <c r="I94" s="300">
        <f t="shared" si="3"/>
        <v>0.77220000000000011</v>
      </c>
      <c r="J94" s="230">
        <v>6</v>
      </c>
      <c r="K94" s="301">
        <v>454.87</v>
      </c>
      <c r="L94" s="302">
        <f t="shared" si="4"/>
        <v>702.50122800000008</v>
      </c>
      <c r="M94" s="303"/>
      <c r="N94" s="216"/>
      <c r="O94" s="216"/>
      <c r="P94" s="216"/>
    </row>
    <row r="95" spans="1:16" x14ac:dyDescent="0.25">
      <c r="A95" s="565"/>
      <c r="B95" s="523"/>
      <c r="C95" s="31" t="s">
        <v>76</v>
      </c>
      <c r="D95" s="215">
        <v>2</v>
      </c>
      <c r="E95" s="211" t="s">
        <v>44</v>
      </c>
      <c r="F95" s="216"/>
      <c r="G95" s="211">
        <v>1E-4</v>
      </c>
      <c r="H95" s="211">
        <v>4</v>
      </c>
      <c r="I95" s="300">
        <f t="shared" si="3"/>
        <v>7.7220000000000011E-2</v>
      </c>
      <c r="J95" s="230">
        <v>6</v>
      </c>
      <c r="K95" s="301">
        <v>454.87</v>
      </c>
      <c r="L95" s="302">
        <f t="shared" si="4"/>
        <v>140.50024560000003</v>
      </c>
      <c r="M95" s="303"/>
      <c r="N95" s="216"/>
      <c r="O95" s="216"/>
      <c r="P95" s="216"/>
    </row>
    <row r="96" spans="1:16" x14ac:dyDescent="0.25">
      <c r="A96" s="565"/>
      <c r="B96" s="523"/>
      <c r="C96" s="31" t="s">
        <v>77</v>
      </c>
      <c r="D96" s="215">
        <v>2</v>
      </c>
      <c r="E96" s="211" t="s">
        <v>43</v>
      </c>
      <c r="F96" s="216"/>
      <c r="G96" s="211">
        <v>1E-3</v>
      </c>
      <c r="H96" s="211">
        <v>2</v>
      </c>
      <c r="I96" s="300">
        <f t="shared" si="3"/>
        <v>0.77220000000000011</v>
      </c>
      <c r="J96" s="230">
        <v>6</v>
      </c>
      <c r="K96" s="301">
        <v>454.87</v>
      </c>
      <c r="L96" s="302">
        <f t="shared" si="4"/>
        <v>702.50122800000008</v>
      </c>
      <c r="M96" s="303"/>
      <c r="N96" s="216"/>
      <c r="O96" s="216"/>
      <c r="P96" s="216"/>
    </row>
    <row r="97" spans="1:16" x14ac:dyDescent="0.25">
      <c r="A97" s="565"/>
      <c r="B97" s="523"/>
      <c r="C97" s="31" t="s">
        <v>77</v>
      </c>
      <c r="D97" s="215">
        <v>2</v>
      </c>
      <c r="E97" s="211" t="s">
        <v>44</v>
      </c>
      <c r="F97" s="216"/>
      <c r="G97" s="211">
        <v>1E-4</v>
      </c>
      <c r="H97" s="211">
        <v>4</v>
      </c>
      <c r="I97" s="300">
        <f t="shared" si="3"/>
        <v>7.7220000000000011E-2</v>
      </c>
      <c r="J97" s="230">
        <v>6</v>
      </c>
      <c r="K97" s="301">
        <v>454.87</v>
      </c>
      <c r="L97" s="302">
        <f t="shared" si="4"/>
        <v>140.50024560000003</v>
      </c>
      <c r="M97" s="303"/>
      <c r="N97" s="216"/>
      <c r="O97" s="216"/>
      <c r="P97" s="216"/>
    </row>
    <row r="98" spans="1:16" x14ac:dyDescent="0.25">
      <c r="A98" s="565"/>
      <c r="B98" s="523"/>
      <c r="C98" s="31" t="s">
        <v>78</v>
      </c>
      <c r="D98" s="215">
        <v>1</v>
      </c>
      <c r="E98" s="211" t="s">
        <v>43</v>
      </c>
      <c r="F98" s="216"/>
      <c r="G98" s="211">
        <v>1E-3</v>
      </c>
      <c r="H98" s="211">
        <v>2</v>
      </c>
      <c r="I98" s="300">
        <f t="shared" si="3"/>
        <v>0.38610000000000005</v>
      </c>
      <c r="J98" s="230">
        <v>6</v>
      </c>
      <c r="K98" s="301">
        <v>454.87</v>
      </c>
      <c r="L98" s="302">
        <f t="shared" si="4"/>
        <v>351.25061400000004</v>
      </c>
      <c r="M98" s="303"/>
      <c r="N98" s="216"/>
      <c r="O98" s="216"/>
      <c r="P98" s="216"/>
    </row>
    <row r="99" spans="1:16" x14ac:dyDescent="0.25">
      <c r="A99" s="565"/>
      <c r="B99" s="523"/>
      <c r="C99" s="31" t="s">
        <v>78</v>
      </c>
      <c r="D99" s="215">
        <v>1</v>
      </c>
      <c r="E99" s="211" t="s">
        <v>44</v>
      </c>
      <c r="F99" s="216"/>
      <c r="G99" s="211">
        <v>1E-4</v>
      </c>
      <c r="H99" s="211">
        <v>4</v>
      </c>
      <c r="I99" s="300">
        <f t="shared" si="3"/>
        <v>3.8610000000000005E-2</v>
      </c>
      <c r="J99" s="230">
        <v>6</v>
      </c>
      <c r="K99" s="301">
        <v>454.87</v>
      </c>
      <c r="L99" s="302">
        <f t="shared" si="4"/>
        <v>70.250122800000014</v>
      </c>
      <c r="M99" s="303"/>
      <c r="N99" s="216"/>
      <c r="O99" s="216"/>
      <c r="P99" s="216"/>
    </row>
    <row r="100" spans="1:16" x14ac:dyDescent="0.25">
      <c r="A100" s="565"/>
      <c r="B100" s="523"/>
      <c r="C100" s="31" t="s">
        <v>79</v>
      </c>
      <c r="D100" s="215">
        <v>1</v>
      </c>
      <c r="E100" s="211" t="s">
        <v>43</v>
      </c>
      <c r="F100" s="216"/>
      <c r="G100" s="211">
        <v>1E-3</v>
      </c>
      <c r="H100" s="211">
        <v>2</v>
      </c>
      <c r="I100" s="300">
        <f t="shared" si="3"/>
        <v>0.38610000000000005</v>
      </c>
      <c r="J100" s="230">
        <v>6</v>
      </c>
      <c r="K100" s="301">
        <v>454.87</v>
      </c>
      <c r="L100" s="302">
        <f t="shared" si="4"/>
        <v>351.25061400000004</v>
      </c>
      <c r="M100" s="303"/>
      <c r="N100" s="216"/>
      <c r="O100" s="216"/>
      <c r="P100" s="216"/>
    </row>
    <row r="101" spans="1:16" x14ac:dyDescent="0.25">
      <c r="A101" s="565"/>
      <c r="B101" s="523"/>
      <c r="C101" s="31" t="s">
        <v>79</v>
      </c>
      <c r="D101" s="215">
        <v>1</v>
      </c>
      <c r="E101" s="211" t="s">
        <v>44</v>
      </c>
      <c r="F101" s="216"/>
      <c r="G101" s="211">
        <v>1E-4</v>
      </c>
      <c r="H101" s="211">
        <v>4</v>
      </c>
      <c r="I101" s="300">
        <f t="shared" si="3"/>
        <v>3.8610000000000005E-2</v>
      </c>
      <c r="J101" s="230">
        <v>6</v>
      </c>
      <c r="K101" s="301">
        <v>454.87</v>
      </c>
      <c r="L101" s="302">
        <f t="shared" si="4"/>
        <v>70.250122800000014</v>
      </c>
      <c r="M101" s="303"/>
      <c r="N101" s="216"/>
      <c r="O101" s="216"/>
      <c r="P101" s="216"/>
    </row>
    <row r="102" spans="1:16" x14ac:dyDescent="0.25">
      <c r="A102" s="565"/>
      <c r="B102" s="523"/>
      <c r="C102" s="31" t="s">
        <v>88</v>
      </c>
      <c r="D102" s="215">
        <v>1</v>
      </c>
      <c r="E102" s="211" t="s">
        <v>43</v>
      </c>
      <c r="F102" s="216"/>
      <c r="G102" s="211">
        <v>1E-3</v>
      </c>
      <c r="H102" s="211">
        <v>2</v>
      </c>
      <c r="I102" s="300">
        <f t="shared" si="3"/>
        <v>0.38610000000000005</v>
      </c>
      <c r="J102" s="230">
        <v>6</v>
      </c>
      <c r="K102" s="301">
        <v>454.87</v>
      </c>
      <c r="L102" s="302">
        <f t="shared" si="4"/>
        <v>351.25061400000004</v>
      </c>
      <c r="M102" s="303"/>
      <c r="N102" s="216"/>
      <c r="O102" s="216"/>
      <c r="P102" s="216"/>
    </row>
    <row r="103" spans="1:16" x14ac:dyDescent="0.25">
      <c r="A103" s="565"/>
      <c r="B103" s="523"/>
      <c r="C103" s="31" t="s">
        <v>88</v>
      </c>
      <c r="D103" s="215">
        <v>1</v>
      </c>
      <c r="E103" s="211" t="s">
        <v>44</v>
      </c>
      <c r="F103" s="216"/>
      <c r="G103" s="211">
        <v>1E-4</v>
      </c>
      <c r="H103" s="211">
        <v>4</v>
      </c>
      <c r="I103" s="300">
        <f t="shared" si="3"/>
        <v>3.8610000000000005E-2</v>
      </c>
      <c r="J103" s="230">
        <v>6</v>
      </c>
      <c r="K103" s="301">
        <v>454.87</v>
      </c>
      <c r="L103" s="302">
        <f t="shared" si="4"/>
        <v>70.250122800000014</v>
      </c>
      <c r="M103" s="303"/>
      <c r="N103" s="216"/>
      <c r="O103" s="216"/>
      <c r="P103" s="216"/>
    </row>
    <row r="104" spans="1:16" x14ac:dyDescent="0.25">
      <c r="A104" s="565"/>
      <c r="B104" s="523"/>
      <c r="C104" s="31" t="s">
        <v>81</v>
      </c>
      <c r="D104" s="215">
        <v>1</v>
      </c>
      <c r="E104" s="211" t="s">
        <v>43</v>
      </c>
      <c r="F104" s="216"/>
      <c r="G104" s="211">
        <v>1E-3</v>
      </c>
      <c r="H104" s="211">
        <v>2</v>
      </c>
      <c r="I104" s="300">
        <f t="shared" si="3"/>
        <v>0.38610000000000005</v>
      </c>
      <c r="J104" s="230">
        <v>6</v>
      </c>
      <c r="K104" s="301">
        <v>454.87</v>
      </c>
      <c r="L104" s="302">
        <f t="shared" si="4"/>
        <v>351.25061400000004</v>
      </c>
      <c r="M104" s="303"/>
      <c r="N104" s="216"/>
      <c r="O104" s="216"/>
      <c r="P104" s="216"/>
    </row>
    <row r="105" spans="1:16" x14ac:dyDescent="0.25">
      <c r="A105" s="565"/>
      <c r="B105" s="523"/>
      <c r="C105" s="31" t="s">
        <v>81</v>
      </c>
      <c r="D105" s="215">
        <v>1</v>
      </c>
      <c r="E105" s="211" t="s">
        <v>44</v>
      </c>
      <c r="F105" s="216"/>
      <c r="G105" s="211">
        <v>1E-4</v>
      </c>
      <c r="H105" s="211">
        <v>4</v>
      </c>
      <c r="I105" s="300">
        <f t="shared" si="3"/>
        <v>3.8610000000000005E-2</v>
      </c>
      <c r="J105" s="230">
        <v>6</v>
      </c>
      <c r="K105" s="301">
        <v>454.87</v>
      </c>
      <c r="L105" s="302">
        <f t="shared" si="4"/>
        <v>70.250122800000014</v>
      </c>
      <c r="M105" s="303"/>
      <c r="N105" s="216"/>
      <c r="O105" s="216"/>
      <c r="P105" s="216"/>
    </row>
    <row r="106" spans="1:16" x14ac:dyDescent="0.25">
      <c r="A106" s="565"/>
      <c r="B106" s="523"/>
      <c r="C106" s="31" t="s">
        <v>89</v>
      </c>
      <c r="D106" s="215">
        <v>19</v>
      </c>
      <c r="E106" s="211" t="s">
        <v>43</v>
      </c>
      <c r="F106" s="216"/>
      <c r="G106" s="211">
        <v>1E-3</v>
      </c>
      <c r="H106" s="211">
        <v>2</v>
      </c>
      <c r="I106" s="300">
        <f t="shared" si="3"/>
        <v>7.3359000000000005</v>
      </c>
      <c r="J106" s="230">
        <v>6</v>
      </c>
      <c r="K106" s="301">
        <v>454.87</v>
      </c>
      <c r="L106" s="302">
        <f t="shared" si="4"/>
        <v>6673.7616660000003</v>
      </c>
      <c r="M106" s="303"/>
      <c r="N106" s="216"/>
      <c r="O106" s="216"/>
      <c r="P106" s="216"/>
    </row>
    <row r="107" spans="1:16" x14ac:dyDescent="0.25">
      <c r="A107" s="565"/>
      <c r="B107" s="523"/>
      <c r="C107" s="31" t="s">
        <v>89</v>
      </c>
      <c r="D107" s="215">
        <v>19</v>
      </c>
      <c r="E107" s="211" t="s">
        <v>44</v>
      </c>
      <c r="F107" s="216"/>
      <c r="G107" s="211">
        <v>1E-4</v>
      </c>
      <c r="H107" s="211">
        <v>4</v>
      </c>
      <c r="I107" s="300">
        <f t="shared" si="3"/>
        <v>0.73359000000000008</v>
      </c>
      <c r="J107" s="230">
        <v>6</v>
      </c>
      <c r="K107" s="301">
        <v>454.87</v>
      </c>
      <c r="L107" s="302">
        <f t="shared" si="4"/>
        <v>1334.7523332000001</v>
      </c>
      <c r="M107" s="303"/>
      <c r="N107" s="216"/>
      <c r="O107" s="216"/>
      <c r="P107" s="216"/>
    </row>
    <row r="108" spans="1:16" x14ac:dyDescent="0.25">
      <c r="A108" s="565"/>
      <c r="B108" s="523"/>
      <c r="C108" s="31" t="s">
        <v>82</v>
      </c>
      <c r="D108" s="215">
        <v>1</v>
      </c>
      <c r="E108" s="211" t="s">
        <v>43</v>
      </c>
      <c r="F108" s="216"/>
      <c r="G108" s="211">
        <v>1E-3</v>
      </c>
      <c r="H108" s="211">
        <v>2</v>
      </c>
      <c r="I108" s="300">
        <f t="shared" si="3"/>
        <v>0.38610000000000005</v>
      </c>
      <c r="J108" s="230">
        <v>6</v>
      </c>
      <c r="K108" s="301">
        <v>454.87</v>
      </c>
      <c r="L108" s="302">
        <f t="shared" si="4"/>
        <v>351.25061400000004</v>
      </c>
      <c r="M108" s="303"/>
      <c r="N108" s="216"/>
      <c r="O108" s="216"/>
      <c r="P108" s="216"/>
    </row>
    <row r="109" spans="1:16" x14ac:dyDescent="0.25">
      <c r="A109" s="565"/>
      <c r="B109" s="523"/>
      <c r="C109" s="31" t="s">
        <v>82</v>
      </c>
      <c r="D109" s="215">
        <v>1</v>
      </c>
      <c r="E109" s="211" t="s">
        <v>44</v>
      </c>
      <c r="F109" s="216"/>
      <c r="G109" s="211">
        <v>1E-4</v>
      </c>
      <c r="H109" s="211">
        <v>4</v>
      </c>
      <c r="I109" s="300">
        <f t="shared" si="3"/>
        <v>3.8610000000000005E-2</v>
      </c>
      <c r="J109" s="230">
        <v>6</v>
      </c>
      <c r="K109" s="301">
        <v>454.87</v>
      </c>
      <c r="L109" s="302">
        <f t="shared" si="4"/>
        <v>70.250122800000014</v>
      </c>
      <c r="M109" s="303"/>
      <c r="N109" s="216"/>
      <c r="O109" s="216"/>
      <c r="P109" s="216"/>
    </row>
    <row r="110" spans="1:16" x14ac:dyDescent="0.25">
      <c r="A110" s="565"/>
      <c r="B110" s="523"/>
      <c r="C110" s="31" t="s">
        <v>90</v>
      </c>
      <c r="D110" s="215">
        <v>1</v>
      </c>
      <c r="E110" s="211" t="s">
        <v>43</v>
      </c>
      <c r="F110" s="216"/>
      <c r="G110" s="211">
        <v>1E-3</v>
      </c>
      <c r="H110" s="211">
        <v>2</v>
      </c>
      <c r="I110" s="300">
        <f t="shared" si="3"/>
        <v>0.38610000000000005</v>
      </c>
      <c r="J110" s="230">
        <v>6</v>
      </c>
      <c r="K110" s="301">
        <v>454.87</v>
      </c>
      <c r="L110" s="302">
        <f t="shared" si="4"/>
        <v>351.25061400000004</v>
      </c>
      <c r="M110" s="303"/>
      <c r="N110" s="216"/>
      <c r="O110" s="216"/>
      <c r="P110" s="216"/>
    </row>
    <row r="111" spans="1:16" x14ac:dyDescent="0.25">
      <c r="A111" s="565"/>
      <c r="B111" s="523"/>
      <c r="C111" s="31" t="s">
        <v>90</v>
      </c>
      <c r="D111" s="215">
        <v>1</v>
      </c>
      <c r="E111" s="211" t="s">
        <v>44</v>
      </c>
      <c r="F111" s="216"/>
      <c r="G111" s="211">
        <v>1E-4</v>
      </c>
      <c r="H111" s="211">
        <v>4</v>
      </c>
      <c r="I111" s="300">
        <f t="shared" si="3"/>
        <v>3.8610000000000005E-2</v>
      </c>
      <c r="J111" s="230">
        <v>6</v>
      </c>
      <c r="K111" s="301">
        <v>454.87</v>
      </c>
      <c r="L111" s="302">
        <f t="shared" si="4"/>
        <v>70.250122800000014</v>
      </c>
      <c r="M111" s="303"/>
      <c r="N111" s="216"/>
      <c r="O111" s="216"/>
      <c r="P111" s="216"/>
    </row>
    <row r="112" spans="1:16" ht="31.5" x14ac:dyDescent="0.25">
      <c r="A112" s="565"/>
      <c r="B112" s="523"/>
      <c r="C112" s="31" t="s">
        <v>83</v>
      </c>
      <c r="D112" s="215">
        <v>1</v>
      </c>
      <c r="E112" s="211" t="s">
        <v>43</v>
      </c>
      <c r="F112" s="216"/>
      <c r="G112" s="211">
        <v>1E-3</v>
      </c>
      <c r="H112" s="211">
        <v>2</v>
      </c>
      <c r="I112" s="300">
        <f t="shared" si="3"/>
        <v>0.38610000000000005</v>
      </c>
      <c r="J112" s="230">
        <v>6</v>
      </c>
      <c r="K112" s="301">
        <v>454.87</v>
      </c>
      <c r="L112" s="302">
        <f t="shared" si="4"/>
        <v>351.25061400000004</v>
      </c>
      <c r="M112" s="303"/>
      <c r="N112" s="216"/>
      <c r="O112" s="216"/>
      <c r="P112" s="216"/>
    </row>
    <row r="113" spans="1:16" ht="31.5" x14ac:dyDescent="0.25">
      <c r="A113" s="565"/>
      <c r="B113" s="523"/>
      <c r="C113" s="31" t="s">
        <v>83</v>
      </c>
      <c r="D113" s="215">
        <v>1</v>
      </c>
      <c r="E113" s="211" t="s">
        <v>44</v>
      </c>
      <c r="F113" s="216"/>
      <c r="G113" s="211">
        <v>1E-4</v>
      </c>
      <c r="H113" s="211">
        <v>4</v>
      </c>
      <c r="I113" s="300">
        <f t="shared" si="3"/>
        <v>3.8610000000000005E-2</v>
      </c>
      <c r="J113" s="230">
        <v>6</v>
      </c>
      <c r="K113" s="301">
        <v>454.87</v>
      </c>
      <c r="L113" s="302">
        <f t="shared" si="4"/>
        <v>70.250122800000014</v>
      </c>
      <c r="M113" s="303"/>
      <c r="N113" s="216"/>
      <c r="O113" s="216"/>
      <c r="P113" s="216"/>
    </row>
    <row r="114" spans="1:16" x14ac:dyDescent="0.25">
      <c r="A114" s="565"/>
      <c r="B114" s="523"/>
      <c r="C114" s="31" t="s">
        <v>91</v>
      </c>
      <c r="D114" s="215">
        <v>1</v>
      </c>
      <c r="E114" s="211" t="s">
        <v>43</v>
      </c>
      <c r="F114" s="216"/>
      <c r="G114" s="211">
        <v>2E-3</v>
      </c>
      <c r="H114" s="211">
        <v>2</v>
      </c>
      <c r="I114" s="300">
        <f t="shared" si="3"/>
        <v>0.77220000000000011</v>
      </c>
      <c r="J114" s="230">
        <v>6</v>
      </c>
      <c r="K114" s="301">
        <v>454.87</v>
      </c>
      <c r="L114" s="302">
        <f t="shared" si="4"/>
        <v>702.50122800000008</v>
      </c>
      <c r="M114" s="303"/>
      <c r="N114" s="216"/>
      <c r="O114" s="216"/>
      <c r="P114" s="216"/>
    </row>
    <row r="115" spans="1:16" x14ac:dyDescent="0.25">
      <c r="A115" s="565"/>
      <c r="B115" s="523"/>
      <c r="C115" s="31" t="s">
        <v>91</v>
      </c>
      <c r="D115" s="215">
        <v>1</v>
      </c>
      <c r="E115" s="211" t="s">
        <v>44</v>
      </c>
      <c r="F115" s="216"/>
      <c r="G115" s="211">
        <v>2.0000000000000001E-4</v>
      </c>
      <c r="H115" s="211">
        <v>4</v>
      </c>
      <c r="I115" s="300">
        <f t="shared" si="3"/>
        <v>7.7220000000000011E-2</v>
      </c>
      <c r="J115" s="230">
        <v>6</v>
      </c>
      <c r="K115" s="301">
        <v>454.87</v>
      </c>
      <c r="L115" s="302">
        <f t="shared" si="4"/>
        <v>140.50024560000003</v>
      </c>
      <c r="M115" s="303"/>
      <c r="N115" s="216"/>
      <c r="O115" s="216"/>
      <c r="P115" s="216"/>
    </row>
    <row r="116" spans="1:16" x14ac:dyDescent="0.25">
      <c r="A116" s="565"/>
      <c r="B116" s="523"/>
      <c r="C116" s="31" t="s">
        <v>92</v>
      </c>
      <c r="D116" s="215">
        <v>2</v>
      </c>
      <c r="E116" s="211" t="s">
        <v>43</v>
      </c>
      <c r="F116" s="216"/>
      <c r="G116" s="211">
        <v>1E-3</v>
      </c>
      <c r="H116" s="211">
        <v>2</v>
      </c>
      <c r="I116" s="300">
        <f t="shared" si="3"/>
        <v>0.77220000000000011</v>
      </c>
      <c r="J116" s="230">
        <v>6</v>
      </c>
      <c r="K116" s="301">
        <v>454.87</v>
      </c>
      <c r="L116" s="302">
        <f t="shared" si="4"/>
        <v>702.50122800000008</v>
      </c>
      <c r="M116" s="303"/>
      <c r="N116" s="216"/>
      <c r="O116" s="216"/>
      <c r="P116" s="216"/>
    </row>
    <row r="117" spans="1:16" x14ac:dyDescent="0.25">
      <c r="A117" s="565"/>
      <c r="B117" s="523"/>
      <c r="C117" s="31" t="s">
        <v>92</v>
      </c>
      <c r="D117" s="215">
        <v>2</v>
      </c>
      <c r="E117" s="211" t="s">
        <v>44</v>
      </c>
      <c r="F117" s="216"/>
      <c r="G117" s="211">
        <v>1E-4</v>
      </c>
      <c r="H117" s="211">
        <v>4</v>
      </c>
      <c r="I117" s="300">
        <f t="shared" si="3"/>
        <v>7.7220000000000011E-2</v>
      </c>
      <c r="J117" s="230">
        <v>6</v>
      </c>
      <c r="K117" s="301">
        <v>454.87</v>
      </c>
      <c r="L117" s="302">
        <f t="shared" si="4"/>
        <v>140.50024560000003</v>
      </c>
      <c r="M117" s="303"/>
      <c r="N117" s="216"/>
      <c r="O117" s="216"/>
      <c r="P117" s="216"/>
    </row>
    <row r="118" spans="1:16" x14ac:dyDescent="0.25">
      <c r="A118" s="565"/>
      <c r="B118" s="523"/>
      <c r="C118" s="31" t="s">
        <v>93</v>
      </c>
      <c r="D118" s="215">
        <v>1</v>
      </c>
      <c r="E118" s="211" t="s">
        <v>43</v>
      </c>
      <c r="F118" s="216"/>
      <c r="G118" s="211">
        <v>3.0000000000000001E-3</v>
      </c>
      <c r="H118" s="211">
        <v>2</v>
      </c>
      <c r="I118" s="300">
        <f t="shared" si="3"/>
        <v>1.1583000000000001</v>
      </c>
      <c r="J118" s="230">
        <v>6</v>
      </c>
      <c r="K118" s="301">
        <v>454.87</v>
      </c>
      <c r="L118" s="302">
        <f t="shared" si="4"/>
        <v>1053.7518420000001</v>
      </c>
      <c r="M118" s="303"/>
      <c r="N118" s="216"/>
      <c r="O118" s="216"/>
      <c r="P118" s="216"/>
    </row>
    <row r="119" spans="1:16" x14ac:dyDescent="0.25">
      <c r="A119" s="565"/>
      <c r="B119" s="523"/>
      <c r="C119" s="31" t="s">
        <v>93</v>
      </c>
      <c r="D119" s="215">
        <v>1</v>
      </c>
      <c r="E119" s="211" t="s">
        <v>44</v>
      </c>
      <c r="F119" s="216"/>
      <c r="G119" s="211">
        <v>2.9999999999999997E-4</v>
      </c>
      <c r="H119" s="211">
        <v>4</v>
      </c>
      <c r="I119" s="300">
        <f t="shared" si="3"/>
        <v>0.11583</v>
      </c>
      <c r="J119" s="230">
        <v>6</v>
      </c>
      <c r="K119" s="301">
        <v>454.87</v>
      </c>
      <c r="L119" s="302">
        <f t="shared" si="4"/>
        <v>210.75036840000001</v>
      </c>
      <c r="M119" s="303"/>
      <c r="N119" s="216"/>
      <c r="O119" s="216"/>
      <c r="P119" s="216"/>
    </row>
    <row r="120" spans="1:16" x14ac:dyDescent="0.25">
      <c r="A120" s="565"/>
      <c r="B120" s="523"/>
      <c r="C120" s="31" t="s">
        <v>94</v>
      </c>
      <c r="D120" s="215">
        <v>2</v>
      </c>
      <c r="E120" s="211" t="s">
        <v>44</v>
      </c>
      <c r="F120" s="216"/>
      <c r="G120" s="211">
        <v>5.0000000000000001E-4</v>
      </c>
      <c r="H120" s="211">
        <v>2</v>
      </c>
      <c r="I120" s="300">
        <f t="shared" si="3"/>
        <v>0.38610000000000005</v>
      </c>
      <c r="J120" s="230">
        <v>6</v>
      </c>
      <c r="K120" s="301">
        <v>454.87</v>
      </c>
      <c r="L120" s="302">
        <f t="shared" si="4"/>
        <v>351.25061400000004</v>
      </c>
      <c r="M120" s="303"/>
      <c r="N120" s="216"/>
      <c r="O120" s="216"/>
      <c r="P120" s="216"/>
    </row>
    <row r="121" spans="1:16" ht="14.45" customHeight="1" x14ac:dyDescent="0.25">
      <c r="A121" s="565"/>
      <c r="B121" s="523"/>
      <c r="C121" s="532" t="s">
        <v>94</v>
      </c>
      <c r="D121" s="526">
        <v>2</v>
      </c>
      <c r="E121" s="566" t="s">
        <v>43</v>
      </c>
      <c r="F121" s="216"/>
      <c r="G121" s="566">
        <v>5.0000000000000001E-3</v>
      </c>
      <c r="H121" s="566">
        <v>4</v>
      </c>
      <c r="I121" s="563">
        <f>D121*G121*351*1.1</f>
        <v>3.8610000000000007</v>
      </c>
      <c r="J121" s="565">
        <v>6</v>
      </c>
      <c r="K121" s="564">
        <v>454.87</v>
      </c>
      <c r="L121" s="583">
        <f>H121*I121*K121</f>
        <v>7025.0122800000008</v>
      </c>
      <c r="M121" s="304" t="s">
        <v>95</v>
      </c>
      <c r="N121" s="211">
        <v>2</v>
      </c>
      <c r="O121" s="211">
        <v>14</v>
      </c>
      <c r="P121" s="211">
        <f t="shared" ref="P121:P130" si="5">N121*O121</f>
        <v>28</v>
      </c>
    </row>
    <row r="122" spans="1:16" x14ac:dyDescent="0.25">
      <c r="A122" s="565"/>
      <c r="B122" s="523"/>
      <c r="C122" s="532"/>
      <c r="D122" s="526"/>
      <c r="E122" s="566"/>
      <c r="F122" s="216"/>
      <c r="G122" s="566"/>
      <c r="H122" s="566"/>
      <c r="I122" s="563"/>
      <c r="J122" s="565"/>
      <c r="K122" s="564"/>
      <c r="L122" s="585"/>
      <c r="M122" s="304" t="s">
        <v>96</v>
      </c>
      <c r="N122" s="211">
        <f t="shared" ref="N122:N130" si="6">N121</f>
        <v>2</v>
      </c>
      <c r="O122" s="211">
        <v>12</v>
      </c>
      <c r="P122" s="211">
        <f t="shared" si="5"/>
        <v>24</v>
      </c>
    </row>
    <row r="123" spans="1:16" ht="31.5" x14ac:dyDescent="0.25">
      <c r="A123" s="565"/>
      <c r="B123" s="523"/>
      <c r="C123" s="532"/>
      <c r="D123" s="526"/>
      <c r="E123" s="566"/>
      <c r="F123" s="216"/>
      <c r="G123" s="566"/>
      <c r="H123" s="566"/>
      <c r="I123" s="563"/>
      <c r="J123" s="565"/>
      <c r="K123" s="564"/>
      <c r="L123" s="585"/>
      <c r="M123" s="304" t="s">
        <v>97</v>
      </c>
      <c r="N123" s="211">
        <f t="shared" si="6"/>
        <v>2</v>
      </c>
      <c r="O123" s="211">
        <v>148</v>
      </c>
      <c r="P123" s="211">
        <f t="shared" si="5"/>
        <v>296</v>
      </c>
    </row>
    <row r="124" spans="1:16" x14ac:dyDescent="0.25">
      <c r="A124" s="565"/>
      <c r="B124" s="523"/>
      <c r="C124" s="532"/>
      <c r="D124" s="526"/>
      <c r="E124" s="566"/>
      <c r="F124" s="216"/>
      <c r="G124" s="566"/>
      <c r="H124" s="566"/>
      <c r="I124" s="563"/>
      <c r="J124" s="565"/>
      <c r="K124" s="564"/>
      <c r="L124" s="585"/>
      <c r="M124" s="304" t="s">
        <v>98</v>
      </c>
      <c r="N124" s="211">
        <f t="shared" si="6"/>
        <v>2</v>
      </c>
      <c r="O124" s="211">
        <v>14</v>
      </c>
      <c r="P124" s="211">
        <f t="shared" si="5"/>
        <v>28</v>
      </c>
    </row>
    <row r="125" spans="1:16" x14ac:dyDescent="0.25">
      <c r="A125" s="565"/>
      <c r="B125" s="523"/>
      <c r="C125" s="532"/>
      <c r="D125" s="526"/>
      <c r="E125" s="566"/>
      <c r="F125" s="216"/>
      <c r="G125" s="566"/>
      <c r="H125" s="566"/>
      <c r="I125" s="563"/>
      <c r="J125" s="565"/>
      <c r="K125" s="564"/>
      <c r="L125" s="585"/>
      <c r="M125" s="304" t="s">
        <v>99</v>
      </c>
      <c r="N125" s="211">
        <f t="shared" si="6"/>
        <v>2</v>
      </c>
      <c r="O125" s="211">
        <v>400</v>
      </c>
      <c r="P125" s="211">
        <f t="shared" si="5"/>
        <v>800</v>
      </c>
    </row>
    <row r="126" spans="1:16" x14ac:dyDescent="0.25">
      <c r="A126" s="565"/>
      <c r="B126" s="523"/>
      <c r="C126" s="532"/>
      <c r="D126" s="526"/>
      <c r="E126" s="566"/>
      <c r="F126" s="216"/>
      <c r="G126" s="566"/>
      <c r="H126" s="566"/>
      <c r="I126" s="563"/>
      <c r="J126" s="565"/>
      <c r="K126" s="564"/>
      <c r="L126" s="585"/>
      <c r="M126" s="304" t="s">
        <v>100</v>
      </c>
      <c r="N126" s="211">
        <f t="shared" si="6"/>
        <v>2</v>
      </c>
      <c r="O126" s="211">
        <v>1670</v>
      </c>
      <c r="P126" s="211">
        <f t="shared" si="5"/>
        <v>3340</v>
      </c>
    </row>
    <row r="127" spans="1:16" x14ac:dyDescent="0.25">
      <c r="A127" s="565"/>
      <c r="B127" s="523"/>
      <c r="C127" s="532"/>
      <c r="D127" s="526"/>
      <c r="E127" s="566"/>
      <c r="F127" s="216"/>
      <c r="G127" s="566"/>
      <c r="H127" s="566"/>
      <c r="I127" s="563"/>
      <c r="J127" s="565"/>
      <c r="K127" s="564"/>
      <c r="L127" s="585"/>
      <c r="M127" s="304" t="s">
        <v>101</v>
      </c>
      <c r="N127" s="211">
        <f t="shared" si="6"/>
        <v>2</v>
      </c>
      <c r="O127" s="211">
        <v>167</v>
      </c>
      <c r="P127" s="211">
        <f t="shared" si="5"/>
        <v>334</v>
      </c>
    </row>
    <row r="128" spans="1:16" x14ac:dyDescent="0.25">
      <c r="A128" s="565"/>
      <c r="B128" s="523"/>
      <c r="C128" s="532"/>
      <c r="D128" s="526"/>
      <c r="E128" s="566"/>
      <c r="F128" s="216"/>
      <c r="G128" s="566"/>
      <c r="H128" s="566"/>
      <c r="I128" s="563"/>
      <c r="J128" s="565"/>
      <c r="K128" s="564"/>
      <c r="L128" s="585"/>
      <c r="M128" s="304" t="s">
        <v>102</v>
      </c>
      <c r="N128" s="211">
        <f t="shared" si="6"/>
        <v>2</v>
      </c>
      <c r="O128" s="211">
        <v>72</v>
      </c>
      <c r="P128" s="211">
        <f t="shared" si="5"/>
        <v>144</v>
      </c>
    </row>
    <row r="129" spans="1:16" x14ac:dyDescent="0.25">
      <c r="A129" s="565"/>
      <c r="B129" s="523"/>
      <c r="C129" s="532"/>
      <c r="D129" s="526"/>
      <c r="E129" s="566"/>
      <c r="F129" s="216"/>
      <c r="G129" s="566"/>
      <c r="H129" s="566"/>
      <c r="I129" s="563"/>
      <c r="J129" s="565"/>
      <c r="K129" s="564"/>
      <c r="L129" s="585"/>
      <c r="M129" s="304" t="s">
        <v>103</v>
      </c>
      <c r="N129" s="211">
        <f t="shared" si="6"/>
        <v>2</v>
      </c>
      <c r="O129" s="211">
        <v>5.3</v>
      </c>
      <c r="P129" s="211">
        <f t="shared" si="5"/>
        <v>10.6</v>
      </c>
    </row>
    <row r="130" spans="1:16" x14ac:dyDescent="0.25">
      <c r="A130" s="565"/>
      <c r="B130" s="523"/>
      <c r="C130" s="532"/>
      <c r="D130" s="526"/>
      <c r="E130" s="566"/>
      <c r="F130" s="216"/>
      <c r="G130" s="566"/>
      <c r="H130" s="566"/>
      <c r="I130" s="563"/>
      <c r="J130" s="565"/>
      <c r="K130" s="564"/>
      <c r="L130" s="584"/>
      <c r="M130" s="304" t="s">
        <v>104</v>
      </c>
      <c r="N130" s="211">
        <f t="shared" si="6"/>
        <v>2</v>
      </c>
      <c r="O130" s="211">
        <v>190</v>
      </c>
      <c r="P130" s="211">
        <f t="shared" si="5"/>
        <v>380</v>
      </c>
    </row>
    <row r="131" spans="1:16" x14ac:dyDescent="0.25">
      <c r="A131" s="565"/>
      <c r="B131" s="523"/>
      <c r="C131" s="31" t="s">
        <v>105</v>
      </c>
      <c r="D131" s="215">
        <v>1</v>
      </c>
      <c r="E131" s="211" t="s">
        <v>44</v>
      </c>
      <c r="F131" s="216"/>
      <c r="G131" s="211">
        <v>5.0000000000000001E-4</v>
      </c>
      <c r="H131" s="211">
        <v>2</v>
      </c>
      <c r="I131" s="300">
        <f t="shared" si="3"/>
        <v>0.19305000000000003</v>
      </c>
      <c r="J131" s="230">
        <v>6</v>
      </c>
      <c r="K131" s="388">
        <v>454.87</v>
      </c>
      <c r="L131" s="302">
        <f t="shared" si="4"/>
        <v>175.62530700000002</v>
      </c>
      <c r="M131" s="303"/>
      <c r="N131" s="216"/>
      <c r="O131" s="216"/>
      <c r="P131" s="216"/>
    </row>
    <row r="132" spans="1:16" ht="31.5" x14ac:dyDescent="0.25">
      <c r="A132" s="565"/>
      <c r="B132" s="523"/>
      <c r="C132" s="532" t="s">
        <v>105</v>
      </c>
      <c r="D132" s="526">
        <v>1</v>
      </c>
      <c r="E132" s="211"/>
      <c r="F132" s="216"/>
      <c r="G132" s="566">
        <v>5.0000000000000001E-3</v>
      </c>
      <c r="H132" s="566">
        <v>4</v>
      </c>
      <c r="I132" s="563">
        <f>D132*G132*351*1.1</f>
        <v>1.9305000000000003</v>
      </c>
      <c r="J132" s="565">
        <v>6</v>
      </c>
      <c r="K132" s="564">
        <v>454.87</v>
      </c>
      <c r="L132" s="583">
        <f t="shared" si="4"/>
        <v>3512.5061400000004</v>
      </c>
      <c r="M132" s="304" t="s">
        <v>95</v>
      </c>
      <c r="N132" s="211">
        <v>2</v>
      </c>
      <c r="O132" s="211">
        <v>14</v>
      </c>
      <c r="P132" s="211">
        <f t="shared" ref="P132:P141" si="7">N132*O132</f>
        <v>28</v>
      </c>
    </row>
    <row r="133" spans="1:16" x14ac:dyDescent="0.25">
      <c r="A133" s="565"/>
      <c r="B133" s="523"/>
      <c r="C133" s="532"/>
      <c r="D133" s="526"/>
      <c r="E133" s="211"/>
      <c r="F133" s="216"/>
      <c r="G133" s="566"/>
      <c r="H133" s="566"/>
      <c r="I133" s="563"/>
      <c r="J133" s="565"/>
      <c r="K133" s="564"/>
      <c r="L133" s="585"/>
      <c r="M133" s="304" t="s">
        <v>106</v>
      </c>
      <c r="N133" s="211">
        <f t="shared" ref="N133:N141" si="8">N132</f>
        <v>2</v>
      </c>
      <c r="O133" s="211">
        <v>12</v>
      </c>
      <c r="P133" s="211">
        <f t="shared" si="7"/>
        <v>24</v>
      </c>
    </row>
    <row r="134" spans="1:16" ht="31.5" x14ac:dyDescent="0.25">
      <c r="A134" s="565"/>
      <c r="B134" s="523"/>
      <c r="C134" s="532"/>
      <c r="D134" s="526"/>
      <c r="E134" s="211"/>
      <c r="F134" s="216"/>
      <c r="G134" s="566"/>
      <c r="H134" s="566"/>
      <c r="I134" s="563"/>
      <c r="J134" s="565"/>
      <c r="K134" s="564"/>
      <c r="L134" s="585"/>
      <c r="M134" s="304" t="s">
        <v>97</v>
      </c>
      <c r="N134" s="211">
        <f t="shared" si="8"/>
        <v>2</v>
      </c>
      <c r="O134" s="211">
        <v>148</v>
      </c>
      <c r="P134" s="211">
        <f t="shared" si="7"/>
        <v>296</v>
      </c>
    </row>
    <row r="135" spans="1:16" x14ac:dyDescent="0.25">
      <c r="A135" s="565"/>
      <c r="B135" s="523"/>
      <c r="C135" s="532"/>
      <c r="D135" s="526"/>
      <c r="E135" s="211"/>
      <c r="F135" s="216"/>
      <c r="G135" s="566"/>
      <c r="H135" s="566"/>
      <c r="I135" s="563"/>
      <c r="J135" s="565"/>
      <c r="K135" s="564"/>
      <c r="L135" s="585"/>
      <c r="M135" s="304" t="s">
        <v>98</v>
      </c>
      <c r="N135" s="211">
        <f t="shared" si="8"/>
        <v>2</v>
      </c>
      <c r="O135" s="211">
        <v>14</v>
      </c>
      <c r="P135" s="211">
        <f t="shared" si="7"/>
        <v>28</v>
      </c>
    </row>
    <row r="136" spans="1:16" x14ac:dyDescent="0.25">
      <c r="A136" s="565"/>
      <c r="B136" s="523"/>
      <c r="C136" s="532"/>
      <c r="D136" s="526"/>
      <c r="E136" s="211"/>
      <c r="F136" s="216"/>
      <c r="G136" s="566"/>
      <c r="H136" s="566"/>
      <c r="I136" s="563"/>
      <c r="J136" s="565"/>
      <c r="K136" s="564"/>
      <c r="L136" s="585"/>
      <c r="M136" s="304" t="s">
        <v>99</v>
      </c>
      <c r="N136" s="211">
        <f t="shared" si="8"/>
        <v>2</v>
      </c>
      <c r="O136" s="211">
        <v>400</v>
      </c>
      <c r="P136" s="211">
        <f t="shared" si="7"/>
        <v>800</v>
      </c>
    </row>
    <row r="137" spans="1:16" x14ac:dyDescent="0.25">
      <c r="A137" s="565"/>
      <c r="B137" s="523"/>
      <c r="C137" s="532"/>
      <c r="D137" s="526"/>
      <c r="E137" s="211"/>
      <c r="F137" s="216"/>
      <c r="G137" s="566"/>
      <c r="H137" s="566"/>
      <c r="I137" s="563"/>
      <c r="J137" s="565"/>
      <c r="K137" s="564"/>
      <c r="L137" s="585"/>
      <c r="M137" s="304" t="s">
        <v>100</v>
      </c>
      <c r="N137" s="211">
        <f t="shared" si="8"/>
        <v>2</v>
      </c>
      <c r="O137" s="211">
        <v>1670</v>
      </c>
      <c r="P137" s="211">
        <f t="shared" si="7"/>
        <v>3340</v>
      </c>
    </row>
    <row r="138" spans="1:16" x14ac:dyDescent="0.25">
      <c r="A138" s="565"/>
      <c r="B138" s="523"/>
      <c r="C138" s="532"/>
      <c r="D138" s="526"/>
      <c r="E138" s="211"/>
      <c r="F138" s="216"/>
      <c r="G138" s="566"/>
      <c r="H138" s="566"/>
      <c r="I138" s="563"/>
      <c r="J138" s="565"/>
      <c r="K138" s="564"/>
      <c r="L138" s="585"/>
      <c r="M138" s="304" t="s">
        <v>101</v>
      </c>
      <c r="N138" s="211">
        <f t="shared" si="8"/>
        <v>2</v>
      </c>
      <c r="O138" s="211">
        <v>167</v>
      </c>
      <c r="P138" s="211">
        <f t="shared" si="7"/>
        <v>334</v>
      </c>
    </row>
    <row r="139" spans="1:16" x14ac:dyDescent="0.25">
      <c r="A139" s="565"/>
      <c r="B139" s="523"/>
      <c r="C139" s="532"/>
      <c r="D139" s="526"/>
      <c r="E139" s="211"/>
      <c r="F139" s="216"/>
      <c r="G139" s="566"/>
      <c r="H139" s="566"/>
      <c r="I139" s="563"/>
      <c r="J139" s="565"/>
      <c r="K139" s="564"/>
      <c r="L139" s="585"/>
      <c r="M139" s="304" t="s">
        <v>102</v>
      </c>
      <c r="N139" s="211">
        <f t="shared" si="8"/>
        <v>2</v>
      </c>
      <c r="O139" s="211">
        <v>72</v>
      </c>
      <c r="P139" s="211">
        <f t="shared" si="7"/>
        <v>144</v>
      </c>
    </row>
    <row r="140" spans="1:16" x14ac:dyDescent="0.25">
      <c r="A140" s="565"/>
      <c r="B140" s="523"/>
      <c r="C140" s="532"/>
      <c r="D140" s="526"/>
      <c r="E140" s="211"/>
      <c r="F140" s="216"/>
      <c r="G140" s="566"/>
      <c r="H140" s="566"/>
      <c r="I140" s="563"/>
      <c r="J140" s="565"/>
      <c r="K140" s="564"/>
      <c r="L140" s="585"/>
      <c r="M140" s="304" t="s">
        <v>103</v>
      </c>
      <c r="N140" s="211">
        <f t="shared" si="8"/>
        <v>2</v>
      </c>
      <c r="O140" s="211">
        <v>5.3</v>
      </c>
      <c r="P140" s="211">
        <f t="shared" si="7"/>
        <v>10.6</v>
      </c>
    </row>
    <row r="141" spans="1:16" x14ac:dyDescent="0.25">
      <c r="A141" s="565"/>
      <c r="B141" s="523"/>
      <c r="C141" s="532"/>
      <c r="D141" s="526"/>
      <c r="E141" s="211" t="s">
        <v>43</v>
      </c>
      <c r="F141" s="216"/>
      <c r="G141" s="566"/>
      <c r="H141" s="566"/>
      <c r="I141" s="563"/>
      <c r="J141" s="565"/>
      <c r="K141" s="564"/>
      <c r="L141" s="584"/>
      <c r="M141" s="304" t="s">
        <v>104</v>
      </c>
      <c r="N141" s="211">
        <f t="shared" si="8"/>
        <v>2</v>
      </c>
      <c r="O141" s="211">
        <v>190</v>
      </c>
      <c r="P141" s="211">
        <f t="shared" si="7"/>
        <v>380</v>
      </c>
    </row>
    <row r="142" spans="1:16" x14ac:dyDescent="0.25">
      <c r="A142" s="565"/>
      <c r="B142" s="523"/>
      <c r="C142" s="31" t="s">
        <v>107</v>
      </c>
      <c r="D142" s="215">
        <v>1</v>
      </c>
      <c r="E142" s="211" t="s">
        <v>43</v>
      </c>
      <c r="F142" s="216"/>
      <c r="G142" s="211">
        <v>1E-3</v>
      </c>
      <c r="H142" s="211">
        <v>2</v>
      </c>
      <c r="I142" s="300">
        <f t="shared" ref="I142:I175" si="9">D142*G142*351*1.1</f>
        <v>0.38610000000000005</v>
      </c>
      <c r="J142" s="230">
        <v>6</v>
      </c>
      <c r="K142" s="388">
        <v>454.87</v>
      </c>
      <c r="L142" s="302">
        <f t="shared" ref="L142:L198" si="10">H142*I142*K142</f>
        <v>351.25061400000004</v>
      </c>
      <c r="M142" s="303"/>
      <c r="N142" s="216"/>
      <c r="O142" s="216"/>
      <c r="P142" s="216"/>
    </row>
    <row r="143" spans="1:16" x14ac:dyDescent="0.25">
      <c r="A143" s="565"/>
      <c r="B143" s="523"/>
      <c r="C143" s="31" t="s">
        <v>107</v>
      </c>
      <c r="D143" s="215">
        <v>1</v>
      </c>
      <c r="E143" s="211" t="s">
        <v>44</v>
      </c>
      <c r="F143" s="216"/>
      <c r="G143" s="211">
        <v>1E-4</v>
      </c>
      <c r="H143" s="211">
        <v>4</v>
      </c>
      <c r="I143" s="300">
        <f t="shared" si="9"/>
        <v>3.8610000000000005E-2</v>
      </c>
      <c r="J143" s="230">
        <v>6</v>
      </c>
      <c r="K143" s="388">
        <v>454.87</v>
      </c>
      <c r="L143" s="302">
        <f t="shared" si="10"/>
        <v>70.250122800000014</v>
      </c>
      <c r="M143" s="303"/>
      <c r="N143" s="216"/>
      <c r="O143" s="216"/>
      <c r="P143" s="216"/>
    </row>
    <row r="144" spans="1:16" ht="31.5" x14ac:dyDescent="0.25">
      <c r="A144" s="565"/>
      <c r="B144" s="523"/>
      <c r="C144" s="31" t="s">
        <v>59</v>
      </c>
      <c r="D144" s="215">
        <v>6</v>
      </c>
      <c r="E144" s="211" t="s">
        <v>43</v>
      </c>
      <c r="F144" s="216"/>
      <c r="G144" s="211">
        <v>1E-3</v>
      </c>
      <c r="H144" s="211">
        <v>2</v>
      </c>
      <c r="I144" s="300">
        <f t="shared" si="9"/>
        <v>2.3166000000000002</v>
      </c>
      <c r="J144" s="230">
        <v>6</v>
      </c>
      <c r="K144" s="388">
        <v>454.87</v>
      </c>
      <c r="L144" s="302">
        <f t="shared" si="10"/>
        <v>2107.5036840000002</v>
      </c>
      <c r="M144" s="303"/>
      <c r="N144" s="216"/>
      <c r="O144" s="216"/>
      <c r="P144" s="216"/>
    </row>
    <row r="145" spans="1:16" ht="31.5" x14ac:dyDescent="0.25">
      <c r="A145" s="565"/>
      <c r="B145" s="523"/>
      <c r="C145" s="31" t="s">
        <v>108</v>
      </c>
      <c r="D145" s="215">
        <v>6</v>
      </c>
      <c r="E145" s="211" t="s">
        <v>44</v>
      </c>
      <c r="F145" s="216"/>
      <c r="G145" s="211">
        <v>1E-4</v>
      </c>
      <c r="H145" s="211">
        <v>4</v>
      </c>
      <c r="I145" s="300">
        <f t="shared" si="9"/>
        <v>0.23166000000000003</v>
      </c>
      <c r="J145" s="230">
        <v>6</v>
      </c>
      <c r="K145" s="388">
        <v>454.87</v>
      </c>
      <c r="L145" s="302">
        <f t="shared" si="10"/>
        <v>421.50073680000008</v>
      </c>
      <c r="M145" s="303"/>
      <c r="N145" s="216"/>
      <c r="O145" s="216"/>
      <c r="P145" s="216"/>
    </row>
    <row r="146" spans="1:16" x14ac:dyDescent="0.25">
      <c r="A146" s="565"/>
      <c r="B146" s="523"/>
      <c r="C146" s="31" t="s">
        <v>68</v>
      </c>
      <c r="D146" s="215">
        <v>1</v>
      </c>
      <c r="E146" s="211" t="s">
        <v>43</v>
      </c>
      <c r="F146" s="216"/>
      <c r="G146" s="211">
        <v>1E-3</v>
      </c>
      <c r="H146" s="211">
        <v>2</v>
      </c>
      <c r="I146" s="300">
        <f t="shared" si="9"/>
        <v>0.38610000000000005</v>
      </c>
      <c r="J146" s="230">
        <v>6</v>
      </c>
      <c r="K146" s="388">
        <v>454.87</v>
      </c>
      <c r="L146" s="302">
        <f t="shared" si="10"/>
        <v>351.25061400000004</v>
      </c>
      <c r="M146" s="303"/>
      <c r="N146" s="216"/>
      <c r="O146" s="216"/>
      <c r="P146" s="216"/>
    </row>
    <row r="147" spans="1:16" x14ac:dyDescent="0.25">
      <c r="A147" s="565"/>
      <c r="B147" s="523"/>
      <c r="C147" s="31" t="s">
        <v>68</v>
      </c>
      <c r="D147" s="215">
        <v>1</v>
      </c>
      <c r="E147" s="211" t="s">
        <v>44</v>
      </c>
      <c r="F147" s="216"/>
      <c r="G147" s="211">
        <v>1E-4</v>
      </c>
      <c r="H147" s="211">
        <v>4</v>
      </c>
      <c r="I147" s="300">
        <f t="shared" si="9"/>
        <v>3.8610000000000005E-2</v>
      </c>
      <c r="J147" s="230">
        <v>6</v>
      </c>
      <c r="K147" s="388">
        <v>454.87</v>
      </c>
      <c r="L147" s="302">
        <f t="shared" si="10"/>
        <v>70.250122800000014</v>
      </c>
      <c r="M147" s="303"/>
      <c r="N147" s="216"/>
      <c r="O147" s="216"/>
      <c r="P147" s="216"/>
    </row>
    <row r="148" spans="1:16" x14ac:dyDescent="0.25">
      <c r="A148" s="565"/>
      <c r="B148" s="523"/>
      <c r="C148" s="31" t="s">
        <v>109</v>
      </c>
      <c r="D148" s="215">
        <v>5</v>
      </c>
      <c r="E148" s="211" t="s">
        <v>43</v>
      </c>
      <c r="F148" s="216"/>
      <c r="G148" s="211">
        <v>1E-3</v>
      </c>
      <c r="H148" s="211">
        <v>2</v>
      </c>
      <c r="I148" s="300">
        <f t="shared" si="9"/>
        <v>1.9305000000000003</v>
      </c>
      <c r="J148" s="230">
        <v>6</v>
      </c>
      <c r="K148" s="388">
        <v>454.87</v>
      </c>
      <c r="L148" s="302">
        <f t="shared" si="10"/>
        <v>1756.2530700000002</v>
      </c>
      <c r="M148" s="303"/>
      <c r="N148" s="216"/>
      <c r="O148" s="216"/>
      <c r="P148" s="216"/>
    </row>
    <row r="149" spans="1:16" x14ac:dyDescent="0.25">
      <c r="A149" s="565"/>
      <c r="B149" s="523"/>
      <c r="C149" s="31" t="s">
        <v>109</v>
      </c>
      <c r="D149" s="215">
        <v>5</v>
      </c>
      <c r="E149" s="211" t="s">
        <v>44</v>
      </c>
      <c r="F149" s="216"/>
      <c r="G149" s="211">
        <v>1E-4</v>
      </c>
      <c r="H149" s="211">
        <v>4</v>
      </c>
      <c r="I149" s="300">
        <f t="shared" si="9"/>
        <v>0.19305000000000003</v>
      </c>
      <c r="J149" s="230">
        <v>6</v>
      </c>
      <c r="K149" s="388">
        <v>454.87</v>
      </c>
      <c r="L149" s="302">
        <f t="shared" si="10"/>
        <v>351.25061400000004</v>
      </c>
      <c r="M149" s="303"/>
      <c r="N149" s="216"/>
      <c r="O149" s="216"/>
      <c r="P149" s="216"/>
    </row>
    <row r="150" spans="1:16" x14ac:dyDescent="0.25">
      <c r="A150" s="565"/>
      <c r="B150" s="523"/>
      <c r="C150" s="31" t="s">
        <v>110</v>
      </c>
      <c r="D150" s="215">
        <v>5</v>
      </c>
      <c r="E150" s="211" t="s">
        <v>43</v>
      </c>
      <c r="F150" s="216"/>
      <c r="G150" s="211">
        <v>1E-3</v>
      </c>
      <c r="H150" s="211">
        <v>2</v>
      </c>
      <c r="I150" s="300">
        <f t="shared" si="9"/>
        <v>1.9305000000000003</v>
      </c>
      <c r="J150" s="230">
        <v>6</v>
      </c>
      <c r="K150" s="388">
        <v>454.87</v>
      </c>
      <c r="L150" s="302">
        <f t="shared" si="10"/>
        <v>1756.2530700000002</v>
      </c>
      <c r="M150" s="303"/>
      <c r="N150" s="216"/>
      <c r="O150" s="216"/>
      <c r="P150" s="216"/>
    </row>
    <row r="151" spans="1:16" x14ac:dyDescent="0.25">
      <c r="A151" s="565"/>
      <c r="B151" s="523"/>
      <c r="C151" s="31" t="s">
        <v>110</v>
      </c>
      <c r="D151" s="215">
        <v>5</v>
      </c>
      <c r="E151" s="211" t="s">
        <v>44</v>
      </c>
      <c r="F151" s="216"/>
      <c r="G151" s="211">
        <v>1E-4</v>
      </c>
      <c r="H151" s="211">
        <v>4</v>
      </c>
      <c r="I151" s="300">
        <f t="shared" si="9"/>
        <v>0.19305000000000003</v>
      </c>
      <c r="J151" s="230">
        <v>6</v>
      </c>
      <c r="K151" s="388">
        <v>454.87</v>
      </c>
      <c r="L151" s="302">
        <f t="shared" si="10"/>
        <v>351.25061400000004</v>
      </c>
      <c r="M151" s="303"/>
      <c r="N151" s="216"/>
      <c r="O151" s="216"/>
      <c r="P151" s="216"/>
    </row>
    <row r="152" spans="1:16" x14ac:dyDescent="0.25">
      <c r="A152" s="565"/>
      <c r="B152" s="523"/>
      <c r="C152" s="31" t="s">
        <v>111</v>
      </c>
      <c r="D152" s="215">
        <v>5</v>
      </c>
      <c r="E152" s="211" t="s">
        <v>43</v>
      </c>
      <c r="F152" s="216"/>
      <c r="G152" s="211">
        <v>1E-3</v>
      </c>
      <c r="H152" s="211">
        <v>2</v>
      </c>
      <c r="I152" s="300">
        <f t="shared" si="9"/>
        <v>1.9305000000000003</v>
      </c>
      <c r="J152" s="230">
        <v>6</v>
      </c>
      <c r="K152" s="388">
        <v>454.87</v>
      </c>
      <c r="L152" s="302">
        <f t="shared" si="10"/>
        <v>1756.2530700000002</v>
      </c>
      <c r="M152" s="303"/>
      <c r="N152" s="216"/>
      <c r="O152" s="216"/>
      <c r="P152" s="216"/>
    </row>
    <row r="153" spans="1:16" x14ac:dyDescent="0.25">
      <c r="A153" s="565"/>
      <c r="B153" s="523"/>
      <c r="C153" s="31" t="s">
        <v>111</v>
      </c>
      <c r="D153" s="215">
        <v>5</v>
      </c>
      <c r="E153" s="211" t="s">
        <v>44</v>
      </c>
      <c r="F153" s="216"/>
      <c r="G153" s="211">
        <v>1E-4</v>
      </c>
      <c r="H153" s="211">
        <v>4</v>
      </c>
      <c r="I153" s="300">
        <f t="shared" si="9"/>
        <v>0.19305000000000003</v>
      </c>
      <c r="J153" s="230">
        <v>6</v>
      </c>
      <c r="K153" s="388">
        <v>454.87</v>
      </c>
      <c r="L153" s="302">
        <f t="shared" si="10"/>
        <v>351.25061400000004</v>
      </c>
      <c r="M153" s="303"/>
      <c r="N153" s="216"/>
      <c r="O153" s="216"/>
      <c r="P153" s="216"/>
    </row>
    <row r="154" spans="1:16" x14ac:dyDescent="0.25">
      <c r="A154" s="565"/>
      <c r="B154" s="523"/>
      <c r="C154" s="31" t="s">
        <v>112</v>
      </c>
      <c r="D154" s="215">
        <v>2</v>
      </c>
      <c r="E154" s="211" t="s">
        <v>43</v>
      </c>
      <c r="F154" s="216"/>
      <c r="G154" s="211">
        <v>1E-3</v>
      </c>
      <c r="H154" s="211">
        <v>2</v>
      </c>
      <c r="I154" s="300">
        <f t="shared" si="9"/>
        <v>0.77220000000000011</v>
      </c>
      <c r="J154" s="230">
        <v>6</v>
      </c>
      <c r="K154" s="388">
        <v>454.87</v>
      </c>
      <c r="L154" s="302">
        <f t="shared" si="10"/>
        <v>702.50122800000008</v>
      </c>
      <c r="M154" s="303"/>
      <c r="N154" s="216"/>
      <c r="O154" s="216"/>
      <c r="P154" s="216"/>
    </row>
    <row r="155" spans="1:16" x14ac:dyDescent="0.25">
      <c r="A155" s="565"/>
      <c r="B155" s="523"/>
      <c r="C155" s="31" t="s">
        <v>112</v>
      </c>
      <c r="D155" s="215">
        <v>2</v>
      </c>
      <c r="E155" s="211" t="s">
        <v>44</v>
      </c>
      <c r="F155" s="216"/>
      <c r="G155" s="211">
        <v>1E-4</v>
      </c>
      <c r="H155" s="211">
        <v>4</v>
      </c>
      <c r="I155" s="300">
        <f t="shared" si="9"/>
        <v>7.7220000000000011E-2</v>
      </c>
      <c r="J155" s="230">
        <v>6</v>
      </c>
      <c r="K155" s="388">
        <v>454.87</v>
      </c>
      <c r="L155" s="302">
        <f t="shared" si="10"/>
        <v>140.50024560000003</v>
      </c>
      <c r="M155" s="303"/>
      <c r="N155" s="216"/>
      <c r="O155" s="216"/>
      <c r="P155" s="216"/>
    </row>
    <row r="156" spans="1:16" x14ac:dyDescent="0.25">
      <c r="A156" s="565"/>
      <c r="B156" s="523"/>
      <c r="C156" s="31" t="s">
        <v>113</v>
      </c>
      <c r="D156" s="215">
        <v>5</v>
      </c>
      <c r="E156" s="211" t="s">
        <v>43</v>
      </c>
      <c r="F156" s="216"/>
      <c r="G156" s="211">
        <v>1E-3</v>
      </c>
      <c r="H156" s="211">
        <v>2</v>
      </c>
      <c r="I156" s="300">
        <f t="shared" si="9"/>
        <v>1.9305000000000003</v>
      </c>
      <c r="J156" s="230">
        <v>6</v>
      </c>
      <c r="K156" s="388">
        <v>454.87</v>
      </c>
      <c r="L156" s="302">
        <f t="shared" si="10"/>
        <v>1756.2530700000002</v>
      </c>
      <c r="M156" s="303"/>
      <c r="N156" s="216"/>
      <c r="O156" s="216"/>
      <c r="P156" s="216"/>
    </row>
    <row r="157" spans="1:16" x14ac:dyDescent="0.25">
      <c r="A157" s="565"/>
      <c r="B157" s="523"/>
      <c r="C157" s="31" t="s">
        <v>113</v>
      </c>
      <c r="D157" s="215">
        <v>5</v>
      </c>
      <c r="E157" s="211" t="s">
        <v>44</v>
      </c>
      <c r="F157" s="216"/>
      <c r="G157" s="211">
        <v>1E-4</v>
      </c>
      <c r="H157" s="211">
        <v>4</v>
      </c>
      <c r="I157" s="300">
        <f t="shared" si="9"/>
        <v>0.19305000000000003</v>
      </c>
      <c r="J157" s="230">
        <v>6</v>
      </c>
      <c r="K157" s="388">
        <v>454.87</v>
      </c>
      <c r="L157" s="302">
        <f t="shared" si="10"/>
        <v>351.25061400000004</v>
      </c>
      <c r="M157" s="303"/>
      <c r="N157" s="216"/>
      <c r="O157" s="216"/>
      <c r="P157" s="216"/>
    </row>
    <row r="158" spans="1:16" x14ac:dyDescent="0.25">
      <c r="A158" s="565"/>
      <c r="B158" s="523"/>
      <c r="C158" s="31" t="s">
        <v>114</v>
      </c>
      <c r="D158" s="215">
        <v>5</v>
      </c>
      <c r="E158" s="211" t="s">
        <v>43</v>
      </c>
      <c r="F158" s="216"/>
      <c r="G158" s="211">
        <v>6.0000000000000001E-3</v>
      </c>
      <c r="H158" s="211">
        <v>2</v>
      </c>
      <c r="I158" s="300">
        <f t="shared" si="9"/>
        <v>11.583</v>
      </c>
      <c r="J158" s="230">
        <v>6</v>
      </c>
      <c r="K158" s="388">
        <v>454.87</v>
      </c>
      <c r="L158" s="302">
        <f t="shared" si="10"/>
        <v>10537.51842</v>
      </c>
      <c r="M158" s="303"/>
      <c r="N158" s="216"/>
      <c r="O158" s="216"/>
      <c r="P158" s="216"/>
    </row>
    <row r="159" spans="1:16" x14ac:dyDescent="0.25">
      <c r="A159" s="565"/>
      <c r="B159" s="523"/>
      <c r="C159" s="31" t="s">
        <v>114</v>
      </c>
      <c r="D159" s="215">
        <v>5</v>
      </c>
      <c r="E159" s="211" t="s">
        <v>44</v>
      </c>
      <c r="F159" s="216"/>
      <c r="G159" s="211">
        <v>5.9999999999999995E-4</v>
      </c>
      <c r="H159" s="211">
        <v>4</v>
      </c>
      <c r="I159" s="300">
        <f t="shared" si="9"/>
        <v>1.1583000000000001</v>
      </c>
      <c r="J159" s="230">
        <v>6</v>
      </c>
      <c r="K159" s="388">
        <v>454.87</v>
      </c>
      <c r="L159" s="302">
        <f t="shared" si="10"/>
        <v>2107.5036840000002</v>
      </c>
      <c r="M159" s="303"/>
      <c r="N159" s="216"/>
      <c r="O159" s="216"/>
      <c r="P159" s="216"/>
    </row>
    <row r="160" spans="1:16" x14ac:dyDescent="0.25">
      <c r="A160" s="565"/>
      <c r="B160" s="523"/>
      <c r="C160" s="31" t="s">
        <v>115</v>
      </c>
      <c r="D160" s="215">
        <v>5</v>
      </c>
      <c r="E160" s="211" t="s">
        <v>43</v>
      </c>
      <c r="F160" s="216"/>
      <c r="G160" s="211">
        <v>1E-3</v>
      </c>
      <c r="H160" s="211">
        <v>2</v>
      </c>
      <c r="I160" s="300">
        <f t="shared" si="9"/>
        <v>1.9305000000000003</v>
      </c>
      <c r="J160" s="230">
        <v>6</v>
      </c>
      <c r="K160" s="388">
        <v>454.87</v>
      </c>
      <c r="L160" s="302">
        <f t="shared" si="10"/>
        <v>1756.2530700000002</v>
      </c>
      <c r="M160" s="303"/>
      <c r="N160" s="216"/>
      <c r="O160" s="216"/>
      <c r="P160" s="216"/>
    </row>
    <row r="161" spans="1:16" x14ac:dyDescent="0.25">
      <c r="A161" s="565"/>
      <c r="B161" s="523"/>
      <c r="C161" s="31" t="s">
        <v>115</v>
      </c>
      <c r="D161" s="215">
        <v>5</v>
      </c>
      <c r="E161" s="211" t="s">
        <v>44</v>
      </c>
      <c r="F161" s="216"/>
      <c r="G161" s="211">
        <v>1E-4</v>
      </c>
      <c r="H161" s="211">
        <v>4</v>
      </c>
      <c r="I161" s="300">
        <f t="shared" si="9"/>
        <v>0.19305000000000003</v>
      </c>
      <c r="J161" s="230">
        <v>6</v>
      </c>
      <c r="K161" s="388">
        <v>454.87</v>
      </c>
      <c r="L161" s="302">
        <f t="shared" si="10"/>
        <v>351.25061400000004</v>
      </c>
      <c r="M161" s="303"/>
      <c r="N161" s="216"/>
      <c r="O161" s="216"/>
      <c r="P161" s="216"/>
    </row>
    <row r="162" spans="1:16" x14ac:dyDescent="0.25">
      <c r="A162" s="565"/>
      <c r="B162" s="523"/>
      <c r="C162" s="31" t="s">
        <v>116</v>
      </c>
      <c r="D162" s="32">
        <v>0.5</v>
      </c>
      <c r="E162" s="211" t="s">
        <v>43</v>
      </c>
      <c r="F162" s="216"/>
      <c r="G162" s="211">
        <v>2.4E-2</v>
      </c>
      <c r="H162" s="211">
        <v>2</v>
      </c>
      <c r="I162" s="300">
        <f t="shared" si="9"/>
        <v>4.6332000000000004</v>
      </c>
      <c r="J162" s="230">
        <v>6</v>
      </c>
      <c r="K162" s="388">
        <v>454.87</v>
      </c>
      <c r="L162" s="302">
        <f t="shared" si="10"/>
        <v>4215.0073680000005</v>
      </c>
      <c r="M162" s="303"/>
      <c r="N162" s="216"/>
      <c r="O162" s="216"/>
      <c r="P162" s="216"/>
    </row>
    <row r="163" spans="1:16" x14ac:dyDescent="0.25">
      <c r="A163" s="565"/>
      <c r="B163" s="523"/>
      <c r="C163" s="31" t="s">
        <v>116</v>
      </c>
      <c r="D163" s="32">
        <v>0.5</v>
      </c>
      <c r="E163" s="211" t="s">
        <v>44</v>
      </c>
      <c r="F163" s="216"/>
      <c r="G163" s="211">
        <v>2.3999999999999998E-3</v>
      </c>
      <c r="H163" s="211">
        <v>4</v>
      </c>
      <c r="I163" s="300">
        <f t="shared" si="9"/>
        <v>0.46332000000000001</v>
      </c>
      <c r="J163" s="230">
        <v>6</v>
      </c>
      <c r="K163" s="388">
        <v>454.87</v>
      </c>
      <c r="L163" s="302">
        <f t="shared" si="10"/>
        <v>843.00147360000005</v>
      </c>
      <c r="M163" s="303"/>
      <c r="N163" s="216"/>
      <c r="O163" s="216"/>
      <c r="P163" s="216"/>
    </row>
    <row r="164" spans="1:16" x14ac:dyDescent="0.25">
      <c r="A164" s="565"/>
      <c r="B164" s="523"/>
      <c r="C164" s="31" t="s">
        <v>117</v>
      </c>
      <c r="D164" s="305">
        <v>0.63</v>
      </c>
      <c r="E164" s="211" t="s">
        <v>43</v>
      </c>
      <c r="F164" s="216"/>
      <c r="G164" s="211">
        <v>2.4E-2</v>
      </c>
      <c r="H164" s="211">
        <v>2</v>
      </c>
      <c r="I164" s="300">
        <f t="shared" si="9"/>
        <v>5.8378320000000006</v>
      </c>
      <c r="J164" s="230">
        <v>6</v>
      </c>
      <c r="K164" s="388">
        <v>454.87</v>
      </c>
      <c r="L164" s="302">
        <f t="shared" si="10"/>
        <v>5310.909283680001</v>
      </c>
      <c r="M164" s="303"/>
      <c r="N164" s="216"/>
      <c r="O164" s="216"/>
      <c r="P164" s="216"/>
    </row>
    <row r="165" spans="1:16" x14ac:dyDescent="0.25">
      <c r="A165" s="565"/>
      <c r="B165" s="523"/>
      <c r="C165" s="31" t="s">
        <v>117</v>
      </c>
      <c r="D165" s="305">
        <v>0.63</v>
      </c>
      <c r="E165" s="211" t="s">
        <v>44</v>
      </c>
      <c r="F165" s="216"/>
      <c r="G165" s="211">
        <v>2.3999999999999998E-3</v>
      </c>
      <c r="H165" s="211">
        <v>4</v>
      </c>
      <c r="I165" s="300">
        <f t="shared" si="9"/>
        <v>0.58378320000000006</v>
      </c>
      <c r="J165" s="230">
        <v>6</v>
      </c>
      <c r="K165" s="388">
        <v>454.87</v>
      </c>
      <c r="L165" s="302">
        <f t="shared" si="10"/>
        <v>1062.1818567360001</v>
      </c>
      <c r="M165" s="303"/>
      <c r="N165" s="216"/>
      <c r="O165" s="216"/>
      <c r="P165" s="216"/>
    </row>
    <row r="166" spans="1:16" x14ac:dyDescent="0.25">
      <c r="A166" s="565"/>
      <c r="B166" s="523"/>
      <c r="C166" s="31" t="s">
        <v>118</v>
      </c>
      <c r="D166" s="305">
        <v>0.27</v>
      </c>
      <c r="E166" s="211" t="s">
        <v>43</v>
      </c>
      <c r="F166" s="216"/>
      <c r="G166" s="211">
        <v>2.4E-2</v>
      </c>
      <c r="H166" s="211">
        <v>2</v>
      </c>
      <c r="I166" s="300">
        <f t="shared" si="9"/>
        <v>2.5019280000000004</v>
      </c>
      <c r="J166" s="230">
        <v>6</v>
      </c>
      <c r="K166" s="388">
        <v>454.87</v>
      </c>
      <c r="L166" s="302">
        <f t="shared" si="10"/>
        <v>2276.1039787200002</v>
      </c>
      <c r="M166" s="303"/>
      <c r="N166" s="216"/>
      <c r="O166" s="216"/>
      <c r="P166" s="216"/>
    </row>
    <row r="167" spans="1:16" x14ac:dyDescent="0.25">
      <c r="A167" s="565"/>
      <c r="B167" s="523"/>
      <c r="C167" s="31" t="s">
        <v>118</v>
      </c>
      <c r="D167" s="305">
        <v>0.27</v>
      </c>
      <c r="E167" s="211" t="s">
        <v>44</v>
      </c>
      <c r="F167" s="216"/>
      <c r="G167" s="211">
        <v>2.3999999999999998E-3</v>
      </c>
      <c r="H167" s="211">
        <v>4</v>
      </c>
      <c r="I167" s="300">
        <f t="shared" si="9"/>
        <v>0.25019280000000005</v>
      </c>
      <c r="J167" s="230">
        <v>6</v>
      </c>
      <c r="K167" s="388">
        <v>454.87</v>
      </c>
      <c r="L167" s="302">
        <f t="shared" si="10"/>
        <v>455.2207957440001</v>
      </c>
      <c r="M167" s="303"/>
      <c r="N167" s="216"/>
      <c r="O167" s="216"/>
      <c r="P167" s="216"/>
    </row>
    <row r="168" spans="1:16" x14ac:dyDescent="0.25">
      <c r="A168" s="565"/>
      <c r="B168" s="523"/>
      <c r="C168" s="31" t="s">
        <v>119</v>
      </c>
      <c r="D168" s="305">
        <v>0.77</v>
      </c>
      <c r="E168" s="211" t="s">
        <v>43</v>
      </c>
      <c r="F168" s="216"/>
      <c r="G168" s="211">
        <v>2.4E-2</v>
      </c>
      <c r="H168" s="211">
        <v>2</v>
      </c>
      <c r="I168" s="300">
        <f t="shared" si="9"/>
        <v>7.1351280000000008</v>
      </c>
      <c r="J168" s="230">
        <v>6</v>
      </c>
      <c r="K168" s="388">
        <v>454.87</v>
      </c>
      <c r="L168" s="302">
        <f t="shared" si="10"/>
        <v>6491.1113467200012</v>
      </c>
      <c r="M168" s="303"/>
      <c r="N168" s="216"/>
      <c r="O168" s="216"/>
      <c r="P168" s="216"/>
    </row>
    <row r="169" spans="1:16" x14ac:dyDescent="0.25">
      <c r="A169" s="565"/>
      <c r="B169" s="523"/>
      <c r="C169" s="31" t="s">
        <v>119</v>
      </c>
      <c r="D169" s="305">
        <v>0.77</v>
      </c>
      <c r="E169" s="211" t="s">
        <v>44</v>
      </c>
      <c r="F169" s="216"/>
      <c r="G169" s="211">
        <v>2.3999999999999998E-3</v>
      </c>
      <c r="H169" s="211">
        <v>4</v>
      </c>
      <c r="I169" s="300">
        <f t="shared" si="9"/>
        <v>0.71351279999999995</v>
      </c>
      <c r="J169" s="230">
        <v>6</v>
      </c>
      <c r="K169" s="388">
        <v>454.87</v>
      </c>
      <c r="L169" s="302">
        <f t="shared" si="10"/>
        <v>1298.2222693439999</v>
      </c>
      <c r="M169" s="303"/>
      <c r="N169" s="216"/>
      <c r="O169" s="216"/>
      <c r="P169" s="216"/>
    </row>
    <row r="170" spans="1:16" x14ac:dyDescent="0.25">
      <c r="A170" s="565"/>
      <c r="B170" s="523"/>
      <c r="C170" s="31" t="s">
        <v>120</v>
      </c>
      <c r="D170" s="305">
        <v>0.9</v>
      </c>
      <c r="E170" s="211" t="s">
        <v>43</v>
      </c>
      <c r="F170" s="216"/>
      <c r="G170" s="211">
        <v>2.4E-2</v>
      </c>
      <c r="H170" s="211">
        <v>2</v>
      </c>
      <c r="I170" s="300">
        <f t="shared" si="9"/>
        <v>8.3397600000000018</v>
      </c>
      <c r="J170" s="230">
        <v>6</v>
      </c>
      <c r="K170" s="388">
        <v>454.87</v>
      </c>
      <c r="L170" s="302">
        <f t="shared" si="10"/>
        <v>7587.0132624000016</v>
      </c>
      <c r="M170" s="303"/>
      <c r="N170" s="216"/>
      <c r="O170" s="216"/>
      <c r="P170" s="216"/>
    </row>
    <row r="171" spans="1:16" x14ac:dyDescent="0.25">
      <c r="A171" s="565"/>
      <c r="B171" s="523"/>
      <c r="C171" s="31" t="s">
        <v>120</v>
      </c>
      <c r="D171" s="305">
        <v>0.9</v>
      </c>
      <c r="E171" s="211" t="s">
        <v>44</v>
      </c>
      <c r="F171" s="216"/>
      <c r="G171" s="211">
        <v>2.3999999999999998E-3</v>
      </c>
      <c r="H171" s="211">
        <v>4</v>
      </c>
      <c r="I171" s="300">
        <f t="shared" si="9"/>
        <v>0.83397600000000016</v>
      </c>
      <c r="J171" s="230">
        <v>6</v>
      </c>
      <c r="K171" s="388">
        <v>454.87</v>
      </c>
      <c r="L171" s="302">
        <f t="shared" si="10"/>
        <v>1517.4026524800004</v>
      </c>
      <c r="M171" s="303"/>
      <c r="N171" s="216"/>
      <c r="O171" s="216"/>
      <c r="P171" s="216"/>
    </row>
    <row r="172" spans="1:16" x14ac:dyDescent="0.25">
      <c r="A172" s="565"/>
      <c r="B172" s="523"/>
      <c r="C172" s="31" t="s">
        <v>121</v>
      </c>
      <c r="D172" s="305">
        <v>0.27</v>
      </c>
      <c r="E172" s="211" t="s">
        <v>43</v>
      </c>
      <c r="F172" s="216"/>
      <c r="G172" s="211">
        <v>2.4E-2</v>
      </c>
      <c r="H172" s="211">
        <v>2</v>
      </c>
      <c r="I172" s="300">
        <f t="shared" si="9"/>
        <v>2.5019280000000004</v>
      </c>
      <c r="J172" s="230">
        <v>6</v>
      </c>
      <c r="K172" s="388">
        <v>454.87</v>
      </c>
      <c r="L172" s="302">
        <f t="shared" si="10"/>
        <v>2276.1039787200002</v>
      </c>
      <c r="M172" s="303"/>
      <c r="N172" s="216"/>
      <c r="O172" s="216"/>
      <c r="P172" s="216"/>
    </row>
    <row r="173" spans="1:16" x14ac:dyDescent="0.25">
      <c r="A173" s="565"/>
      <c r="B173" s="523"/>
      <c r="C173" s="31" t="s">
        <v>121</v>
      </c>
      <c r="D173" s="305">
        <v>0.27</v>
      </c>
      <c r="E173" s="211" t="s">
        <v>44</v>
      </c>
      <c r="F173" s="216"/>
      <c r="G173" s="211">
        <v>2.3999999999999998E-3</v>
      </c>
      <c r="H173" s="211">
        <v>4</v>
      </c>
      <c r="I173" s="300">
        <f t="shared" si="9"/>
        <v>0.25019280000000005</v>
      </c>
      <c r="J173" s="230">
        <v>6</v>
      </c>
      <c r="K173" s="388">
        <v>454.87</v>
      </c>
      <c r="L173" s="302">
        <f t="shared" si="10"/>
        <v>455.2207957440001</v>
      </c>
      <c r="M173" s="303"/>
      <c r="N173" s="216"/>
      <c r="O173" s="216"/>
      <c r="P173" s="216"/>
    </row>
    <row r="174" spans="1:16" x14ac:dyDescent="0.25">
      <c r="A174" s="565"/>
      <c r="B174" s="523"/>
      <c r="C174" s="31" t="s">
        <v>122</v>
      </c>
      <c r="D174" s="305">
        <v>0.9</v>
      </c>
      <c r="E174" s="211" t="s">
        <v>43</v>
      </c>
      <c r="F174" s="216"/>
      <c r="G174" s="211">
        <v>2.4E-2</v>
      </c>
      <c r="H174" s="211">
        <v>2</v>
      </c>
      <c r="I174" s="300">
        <f t="shared" si="9"/>
        <v>8.3397600000000018</v>
      </c>
      <c r="J174" s="230">
        <v>6</v>
      </c>
      <c r="K174" s="388">
        <v>454.87</v>
      </c>
      <c r="L174" s="302">
        <f t="shared" si="10"/>
        <v>7587.0132624000016</v>
      </c>
      <c r="M174" s="303"/>
      <c r="N174" s="216"/>
      <c r="O174" s="216"/>
      <c r="P174" s="216"/>
    </row>
    <row r="175" spans="1:16" x14ac:dyDescent="0.25">
      <c r="A175" s="565"/>
      <c r="B175" s="523"/>
      <c r="C175" s="31" t="s">
        <v>122</v>
      </c>
      <c r="D175" s="305">
        <v>0.9</v>
      </c>
      <c r="E175" s="211" t="s">
        <v>44</v>
      </c>
      <c r="F175" s="216"/>
      <c r="G175" s="211">
        <v>2.3999999999999998E-3</v>
      </c>
      <c r="H175" s="211">
        <v>4</v>
      </c>
      <c r="I175" s="300">
        <f t="shared" si="9"/>
        <v>0.83397600000000016</v>
      </c>
      <c r="J175" s="230">
        <v>6</v>
      </c>
      <c r="K175" s="388">
        <v>454.87</v>
      </c>
      <c r="L175" s="302">
        <f t="shared" si="10"/>
        <v>1517.4026524800004</v>
      </c>
      <c r="M175" s="303"/>
      <c r="N175" s="216"/>
      <c r="O175" s="216"/>
      <c r="P175" s="216"/>
    </row>
    <row r="176" spans="1:16" ht="31.5" x14ac:dyDescent="0.25">
      <c r="A176" s="565">
        <v>2</v>
      </c>
      <c r="B176" s="523" t="s">
        <v>1028</v>
      </c>
      <c r="C176" s="31" t="s">
        <v>123</v>
      </c>
      <c r="D176" s="215">
        <v>9</v>
      </c>
      <c r="E176" s="211" t="s">
        <v>43</v>
      </c>
      <c r="F176" s="216"/>
      <c r="G176" s="211">
        <v>1E-3</v>
      </c>
      <c r="H176" s="211">
        <v>2</v>
      </c>
      <c r="I176" s="300">
        <f t="shared" ref="I176:I239" si="11">D176*G176*351*1.1</f>
        <v>3.4749000000000008</v>
      </c>
      <c r="J176" s="230">
        <v>6</v>
      </c>
      <c r="K176" s="388">
        <v>454.87</v>
      </c>
      <c r="L176" s="302">
        <f t="shared" si="10"/>
        <v>3161.2555260000008</v>
      </c>
      <c r="M176" s="303"/>
      <c r="N176" s="216"/>
      <c r="O176" s="216"/>
      <c r="P176" s="216"/>
    </row>
    <row r="177" spans="1:16" ht="31.5" x14ac:dyDescent="0.25">
      <c r="A177" s="565"/>
      <c r="B177" s="523"/>
      <c r="C177" s="31" t="s">
        <v>123</v>
      </c>
      <c r="D177" s="215">
        <v>9</v>
      </c>
      <c r="E177" s="211" t="s">
        <v>44</v>
      </c>
      <c r="F177" s="216"/>
      <c r="G177" s="211">
        <v>1E-4</v>
      </c>
      <c r="H177" s="211">
        <v>4</v>
      </c>
      <c r="I177" s="300">
        <f t="shared" si="11"/>
        <v>0.34749000000000002</v>
      </c>
      <c r="J177" s="230">
        <v>6</v>
      </c>
      <c r="K177" s="388">
        <v>454.87</v>
      </c>
      <c r="L177" s="302">
        <f t="shared" si="10"/>
        <v>632.2511052000001</v>
      </c>
      <c r="M177" s="303"/>
      <c r="N177" s="216"/>
      <c r="O177" s="216"/>
      <c r="P177" s="216"/>
    </row>
    <row r="178" spans="1:16" x14ac:dyDescent="0.25">
      <c r="A178" s="565"/>
      <c r="B178" s="523"/>
      <c r="C178" s="31" t="s">
        <v>124</v>
      </c>
      <c r="D178" s="215">
        <v>6</v>
      </c>
      <c r="E178" s="211" t="s">
        <v>43</v>
      </c>
      <c r="F178" s="216"/>
      <c r="G178" s="211">
        <v>1E-3</v>
      </c>
      <c r="H178" s="211">
        <v>2</v>
      </c>
      <c r="I178" s="300">
        <f t="shared" si="11"/>
        <v>2.3166000000000002</v>
      </c>
      <c r="J178" s="230">
        <v>6</v>
      </c>
      <c r="K178" s="388">
        <v>454.87</v>
      </c>
      <c r="L178" s="302">
        <f t="shared" si="10"/>
        <v>2107.5036840000002</v>
      </c>
      <c r="M178" s="303"/>
      <c r="N178" s="216"/>
      <c r="O178" s="216"/>
      <c r="P178" s="216"/>
    </row>
    <row r="179" spans="1:16" x14ac:dyDescent="0.25">
      <c r="A179" s="565"/>
      <c r="B179" s="523"/>
      <c r="C179" s="31" t="s">
        <v>124</v>
      </c>
      <c r="D179" s="215">
        <v>6</v>
      </c>
      <c r="E179" s="211" t="s">
        <v>44</v>
      </c>
      <c r="F179" s="216"/>
      <c r="G179" s="211">
        <v>1E-4</v>
      </c>
      <c r="H179" s="211">
        <v>4</v>
      </c>
      <c r="I179" s="300">
        <f t="shared" si="11"/>
        <v>0.23166000000000003</v>
      </c>
      <c r="J179" s="230">
        <v>6</v>
      </c>
      <c r="K179" s="388">
        <v>454.87</v>
      </c>
      <c r="L179" s="302">
        <f t="shared" si="10"/>
        <v>421.50073680000008</v>
      </c>
      <c r="M179" s="303"/>
      <c r="N179" s="216"/>
      <c r="O179" s="216"/>
      <c r="P179" s="216"/>
    </row>
    <row r="180" spans="1:16" x14ac:dyDescent="0.25">
      <c r="A180" s="565"/>
      <c r="B180" s="523"/>
      <c r="C180" s="31" t="s">
        <v>125</v>
      </c>
      <c r="D180" s="215">
        <v>3</v>
      </c>
      <c r="E180" s="211" t="s">
        <v>43</v>
      </c>
      <c r="F180" s="216"/>
      <c r="G180" s="211">
        <v>1E-3</v>
      </c>
      <c r="H180" s="211">
        <v>2</v>
      </c>
      <c r="I180" s="300">
        <f t="shared" si="11"/>
        <v>1.1583000000000001</v>
      </c>
      <c r="J180" s="230">
        <v>6</v>
      </c>
      <c r="K180" s="388">
        <v>454.87</v>
      </c>
      <c r="L180" s="302">
        <f t="shared" si="10"/>
        <v>1053.7518420000001</v>
      </c>
      <c r="M180" s="303"/>
      <c r="N180" s="216"/>
      <c r="O180" s="216"/>
      <c r="P180" s="216"/>
    </row>
    <row r="181" spans="1:16" x14ac:dyDescent="0.25">
      <c r="A181" s="565"/>
      <c r="B181" s="523"/>
      <c r="C181" s="31" t="s">
        <v>125</v>
      </c>
      <c r="D181" s="215">
        <v>3</v>
      </c>
      <c r="E181" s="211" t="s">
        <v>44</v>
      </c>
      <c r="F181" s="216"/>
      <c r="G181" s="211">
        <v>1E-4</v>
      </c>
      <c r="H181" s="211">
        <v>4</v>
      </c>
      <c r="I181" s="300">
        <f t="shared" si="11"/>
        <v>0.11583000000000002</v>
      </c>
      <c r="J181" s="230">
        <v>6</v>
      </c>
      <c r="K181" s="388">
        <v>454.87</v>
      </c>
      <c r="L181" s="302">
        <f t="shared" si="10"/>
        <v>210.75036840000004</v>
      </c>
      <c r="M181" s="303"/>
      <c r="N181" s="216"/>
      <c r="O181" s="216"/>
      <c r="P181" s="216"/>
    </row>
    <row r="182" spans="1:16" x14ac:dyDescent="0.25">
      <c r="A182" s="565"/>
      <c r="B182" s="523"/>
      <c r="C182" s="31" t="s">
        <v>126</v>
      </c>
      <c r="D182" s="215">
        <v>3</v>
      </c>
      <c r="E182" s="211" t="s">
        <v>43</v>
      </c>
      <c r="F182" s="216"/>
      <c r="G182" s="211">
        <v>1E-3</v>
      </c>
      <c r="H182" s="211">
        <v>2</v>
      </c>
      <c r="I182" s="300">
        <f t="shared" si="11"/>
        <v>1.1583000000000001</v>
      </c>
      <c r="J182" s="230">
        <v>6</v>
      </c>
      <c r="K182" s="388">
        <v>454.87</v>
      </c>
      <c r="L182" s="302">
        <f t="shared" si="10"/>
        <v>1053.7518420000001</v>
      </c>
      <c r="M182" s="303"/>
      <c r="N182" s="216"/>
      <c r="O182" s="216"/>
      <c r="P182" s="216"/>
    </row>
    <row r="183" spans="1:16" x14ac:dyDescent="0.25">
      <c r="A183" s="565"/>
      <c r="B183" s="523"/>
      <c r="C183" s="31" t="s">
        <v>126</v>
      </c>
      <c r="D183" s="215">
        <v>3</v>
      </c>
      <c r="E183" s="211" t="s">
        <v>44</v>
      </c>
      <c r="F183" s="216"/>
      <c r="G183" s="211">
        <v>1E-4</v>
      </c>
      <c r="H183" s="211">
        <v>4</v>
      </c>
      <c r="I183" s="300">
        <f t="shared" si="11"/>
        <v>0.11583000000000002</v>
      </c>
      <c r="J183" s="230">
        <v>6</v>
      </c>
      <c r="K183" s="388">
        <v>454.87</v>
      </c>
      <c r="L183" s="302">
        <f t="shared" si="10"/>
        <v>210.75036840000004</v>
      </c>
      <c r="M183" s="303"/>
      <c r="N183" s="216"/>
      <c r="O183" s="216"/>
      <c r="P183" s="216"/>
    </row>
    <row r="184" spans="1:16" x14ac:dyDescent="0.25">
      <c r="A184" s="565"/>
      <c r="B184" s="523"/>
      <c r="C184" s="31" t="s">
        <v>127</v>
      </c>
      <c r="D184" s="215">
        <v>6</v>
      </c>
      <c r="E184" s="211" t="s">
        <v>43</v>
      </c>
      <c r="F184" s="216"/>
      <c r="G184" s="211">
        <v>1E-3</v>
      </c>
      <c r="H184" s="211">
        <v>2</v>
      </c>
      <c r="I184" s="300">
        <f t="shared" si="11"/>
        <v>2.3166000000000002</v>
      </c>
      <c r="J184" s="230">
        <v>6</v>
      </c>
      <c r="K184" s="388">
        <v>454.87</v>
      </c>
      <c r="L184" s="302">
        <f t="shared" si="10"/>
        <v>2107.5036840000002</v>
      </c>
      <c r="M184" s="303"/>
      <c r="N184" s="216"/>
      <c r="O184" s="216"/>
      <c r="P184" s="216"/>
    </row>
    <row r="185" spans="1:16" x14ac:dyDescent="0.25">
      <c r="A185" s="565"/>
      <c r="B185" s="523"/>
      <c r="C185" s="31" t="s">
        <v>127</v>
      </c>
      <c r="D185" s="215">
        <v>6</v>
      </c>
      <c r="E185" s="211" t="s">
        <v>44</v>
      </c>
      <c r="F185" s="216"/>
      <c r="G185" s="211">
        <v>1E-4</v>
      </c>
      <c r="H185" s="211">
        <v>4</v>
      </c>
      <c r="I185" s="300">
        <f t="shared" si="11"/>
        <v>0.23166000000000003</v>
      </c>
      <c r="J185" s="230">
        <v>6</v>
      </c>
      <c r="K185" s="388">
        <v>454.87</v>
      </c>
      <c r="L185" s="302">
        <f t="shared" si="10"/>
        <v>421.50073680000008</v>
      </c>
      <c r="M185" s="303"/>
      <c r="N185" s="216"/>
      <c r="O185" s="216"/>
      <c r="P185" s="216"/>
    </row>
    <row r="186" spans="1:16" x14ac:dyDescent="0.25">
      <c r="A186" s="565"/>
      <c r="B186" s="523"/>
      <c r="C186" s="31" t="s">
        <v>128</v>
      </c>
      <c r="D186" s="215">
        <v>6</v>
      </c>
      <c r="E186" s="211" t="s">
        <v>43</v>
      </c>
      <c r="F186" s="216"/>
      <c r="G186" s="211">
        <v>1E-3</v>
      </c>
      <c r="H186" s="211">
        <v>2</v>
      </c>
      <c r="I186" s="300">
        <f t="shared" si="11"/>
        <v>2.3166000000000002</v>
      </c>
      <c r="J186" s="230">
        <v>6</v>
      </c>
      <c r="K186" s="388">
        <v>454.87</v>
      </c>
      <c r="L186" s="302">
        <f t="shared" si="10"/>
        <v>2107.5036840000002</v>
      </c>
      <c r="M186" s="303"/>
      <c r="N186" s="216"/>
      <c r="O186" s="216"/>
      <c r="P186" s="216"/>
    </row>
    <row r="187" spans="1:16" x14ac:dyDescent="0.25">
      <c r="A187" s="565"/>
      <c r="B187" s="523"/>
      <c r="C187" s="31" t="s">
        <v>128</v>
      </c>
      <c r="D187" s="215">
        <v>6</v>
      </c>
      <c r="E187" s="211" t="s">
        <v>44</v>
      </c>
      <c r="F187" s="216"/>
      <c r="G187" s="211">
        <v>1E-4</v>
      </c>
      <c r="H187" s="211">
        <v>4</v>
      </c>
      <c r="I187" s="300">
        <f t="shared" si="11"/>
        <v>0.23166000000000003</v>
      </c>
      <c r="J187" s="230">
        <v>6</v>
      </c>
      <c r="K187" s="388">
        <v>454.87</v>
      </c>
      <c r="L187" s="302">
        <f t="shared" si="10"/>
        <v>421.50073680000008</v>
      </c>
      <c r="M187" s="303"/>
      <c r="N187" s="216"/>
      <c r="O187" s="216"/>
      <c r="P187" s="216"/>
    </row>
    <row r="188" spans="1:16" x14ac:dyDescent="0.25">
      <c r="A188" s="565"/>
      <c r="B188" s="523"/>
      <c r="C188" s="31" t="s">
        <v>129</v>
      </c>
      <c r="D188" s="215">
        <v>3</v>
      </c>
      <c r="E188" s="211" t="s">
        <v>43</v>
      </c>
      <c r="F188" s="216"/>
      <c r="G188" s="211">
        <v>1E-3</v>
      </c>
      <c r="H188" s="211">
        <v>2</v>
      </c>
      <c r="I188" s="300">
        <f t="shared" si="11"/>
        <v>1.1583000000000001</v>
      </c>
      <c r="J188" s="230">
        <v>6</v>
      </c>
      <c r="K188" s="388">
        <v>454.87</v>
      </c>
      <c r="L188" s="302">
        <f t="shared" si="10"/>
        <v>1053.7518420000001</v>
      </c>
      <c r="M188" s="303"/>
      <c r="N188" s="216"/>
      <c r="O188" s="216"/>
      <c r="P188" s="216"/>
    </row>
    <row r="189" spans="1:16" x14ac:dyDescent="0.25">
      <c r="A189" s="565"/>
      <c r="B189" s="523"/>
      <c r="C189" s="31" t="s">
        <v>129</v>
      </c>
      <c r="D189" s="215">
        <v>3</v>
      </c>
      <c r="E189" s="211" t="s">
        <v>44</v>
      </c>
      <c r="F189" s="216"/>
      <c r="G189" s="211">
        <v>1E-4</v>
      </c>
      <c r="H189" s="211">
        <v>4</v>
      </c>
      <c r="I189" s="300">
        <f t="shared" si="11"/>
        <v>0.11583000000000002</v>
      </c>
      <c r="J189" s="230">
        <v>6</v>
      </c>
      <c r="K189" s="388">
        <v>454.87</v>
      </c>
      <c r="L189" s="302">
        <f t="shared" si="10"/>
        <v>210.75036840000004</v>
      </c>
      <c r="M189" s="303"/>
      <c r="N189" s="216"/>
      <c r="O189" s="216"/>
      <c r="P189" s="216"/>
    </row>
    <row r="190" spans="1:16" x14ac:dyDescent="0.25">
      <c r="A190" s="565"/>
      <c r="B190" s="523"/>
      <c r="C190" s="31" t="s">
        <v>130</v>
      </c>
      <c r="D190" s="215">
        <v>1</v>
      </c>
      <c r="E190" s="211" t="s">
        <v>43</v>
      </c>
      <c r="F190" s="216"/>
      <c r="G190" s="211">
        <v>3.0000000000000001E-3</v>
      </c>
      <c r="H190" s="211">
        <v>2</v>
      </c>
      <c r="I190" s="300">
        <f t="shared" si="11"/>
        <v>1.1583000000000001</v>
      </c>
      <c r="J190" s="230">
        <v>6</v>
      </c>
      <c r="K190" s="388">
        <v>454.87</v>
      </c>
      <c r="L190" s="302">
        <f t="shared" si="10"/>
        <v>1053.7518420000001</v>
      </c>
      <c r="M190" s="303"/>
      <c r="N190" s="216"/>
      <c r="O190" s="216"/>
      <c r="P190" s="216"/>
    </row>
    <row r="191" spans="1:16" x14ac:dyDescent="0.25">
      <c r="A191" s="565"/>
      <c r="B191" s="523"/>
      <c r="C191" s="31" t="s">
        <v>130</v>
      </c>
      <c r="D191" s="215">
        <v>1</v>
      </c>
      <c r="E191" s="211" t="s">
        <v>44</v>
      </c>
      <c r="F191" s="216"/>
      <c r="G191" s="211">
        <v>2.9999999999999997E-4</v>
      </c>
      <c r="H191" s="211">
        <v>4</v>
      </c>
      <c r="I191" s="300">
        <f t="shared" si="11"/>
        <v>0.11583</v>
      </c>
      <c r="J191" s="230">
        <v>6</v>
      </c>
      <c r="K191" s="388">
        <v>454.87</v>
      </c>
      <c r="L191" s="302">
        <f t="shared" si="10"/>
        <v>210.75036840000001</v>
      </c>
      <c r="M191" s="303"/>
      <c r="N191" s="216"/>
      <c r="O191" s="216"/>
      <c r="P191" s="216"/>
    </row>
    <row r="192" spans="1:16" x14ac:dyDescent="0.25">
      <c r="A192" s="565"/>
      <c r="B192" s="523"/>
      <c r="C192" s="31" t="s">
        <v>131</v>
      </c>
      <c r="D192" s="215">
        <v>1</v>
      </c>
      <c r="E192" s="211" t="s">
        <v>43</v>
      </c>
      <c r="F192" s="216"/>
      <c r="G192" s="211">
        <v>3.0000000000000001E-3</v>
      </c>
      <c r="H192" s="211">
        <v>2</v>
      </c>
      <c r="I192" s="300">
        <f t="shared" si="11"/>
        <v>1.1583000000000001</v>
      </c>
      <c r="J192" s="230">
        <v>6</v>
      </c>
      <c r="K192" s="388">
        <v>454.87</v>
      </c>
      <c r="L192" s="302">
        <f t="shared" si="10"/>
        <v>1053.7518420000001</v>
      </c>
      <c r="M192" s="303"/>
      <c r="N192" s="216"/>
      <c r="O192" s="216"/>
      <c r="P192" s="216"/>
    </row>
    <row r="193" spans="1:16" x14ac:dyDescent="0.25">
      <c r="A193" s="565"/>
      <c r="B193" s="523"/>
      <c r="C193" s="31" t="s">
        <v>132</v>
      </c>
      <c r="D193" s="215">
        <v>1</v>
      </c>
      <c r="E193" s="211" t="s">
        <v>44</v>
      </c>
      <c r="F193" s="216"/>
      <c r="G193" s="211">
        <v>2.9999999999999997E-4</v>
      </c>
      <c r="H193" s="211">
        <v>4</v>
      </c>
      <c r="I193" s="300">
        <f t="shared" si="11"/>
        <v>0.11583</v>
      </c>
      <c r="J193" s="230">
        <v>6</v>
      </c>
      <c r="K193" s="388">
        <v>454.87</v>
      </c>
      <c r="L193" s="302">
        <f t="shared" si="10"/>
        <v>210.75036840000001</v>
      </c>
      <c r="M193" s="303"/>
      <c r="N193" s="216"/>
      <c r="O193" s="216"/>
      <c r="P193" s="216"/>
    </row>
    <row r="194" spans="1:16" x14ac:dyDescent="0.25">
      <c r="A194" s="565"/>
      <c r="B194" s="523"/>
      <c r="C194" s="31" t="s">
        <v>133</v>
      </c>
      <c r="D194" s="215">
        <v>1</v>
      </c>
      <c r="E194" s="211" t="s">
        <v>43</v>
      </c>
      <c r="F194" s="216"/>
      <c r="G194" s="211">
        <v>3.0000000000000001E-3</v>
      </c>
      <c r="H194" s="211">
        <v>2</v>
      </c>
      <c r="I194" s="300">
        <f t="shared" si="11"/>
        <v>1.1583000000000001</v>
      </c>
      <c r="J194" s="230">
        <v>6</v>
      </c>
      <c r="K194" s="388">
        <v>454.87</v>
      </c>
      <c r="L194" s="302">
        <f t="shared" si="10"/>
        <v>1053.7518420000001</v>
      </c>
      <c r="M194" s="303"/>
      <c r="N194" s="216"/>
      <c r="O194" s="216"/>
      <c r="P194" s="216"/>
    </row>
    <row r="195" spans="1:16" x14ac:dyDescent="0.25">
      <c r="A195" s="565"/>
      <c r="B195" s="523"/>
      <c r="C195" s="31" t="s">
        <v>133</v>
      </c>
      <c r="D195" s="215">
        <v>1</v>
      </c>
      <c r="E195" s="211" t="s">
        <v>44</v>
      </c>
      <c r="F195" s="216"/>
      <c r="G195" s="211">
        <v>2.9999999999999997E-4</v>
      </c>
      <c r="H195" s="211">
        <v>4</v>
      </c>
      <c r="I195" s="300">
        <f t="shared" si="11"/>
        <v>0.11583</v>
      </c>
      <c r="J195" s="230">
        <v>6</v>
      </c>
      <c r="K195" s="388">
        <v>454.87</v>
      </c>
      <c r="L195" s="302">
        <f t="shared" si="10"/>
        <v>210.75036840000001</v>
      </c>
      <c r="M195" s="303"/>
      <c r="N195" s="216"/>
      <c r="O195" s="216"/>
      <c r="P195" s="216"/>
    </row>
    <row r="196" spans="1:16" x14ac:dyDescent="0.25">
      <c r="A196" s="565"/>
      <c r="B196" s="523"/>
      <c r="C196" s="31" t="s">
        <v>134</v>
      </c>
      <c r="D196" s="215">
        <v>1</v>
      </c>
      <c r="E196" s="211" t="s">
        <v>43</v>
      </c>
      <c r="F196" s="216"/>
      <c r="G196" s="211">
        <v>2E-3</v>
      </c>
      <c r="H196" s="211">
        <v>2</v>
      </c>
      <c r="I196" s="300">
        <f t="shared" si="11"/>
        <v>0.77220000000000011</v>
      </c>
      <c r="J196" s="230">
        <v>6</v>
      </c>
      <c r="K196" s="388">
        <v>454.87</v>
      </c>
      <c r="L196" s="302">
        <f t="shared" si="10"/>
        <v>702.50122800000008</v>
      </c>
      <c r="M196" s="303"/>
      <c r="N196" s="216"/>
      <c r="O196" s="216"/>
      <c r="P196" s="216"/>
    </row>
    <row r="197" spans="1:16" ht="31.5" x14ac:dyDescent="0.25">
      <c r="A197" s="565"/>
      <c r="B197" s="523"/>
      <c r="C197" s="31" t="s">
        <v>135</v>
      </c>
      <c r="D197" s="215">
        <v>28</v>
      </c>
      <c r="E197" s="211" t="s">
        <v>43</v>
      </c>
      <c r="F197" s="216"/>
      <c r="G197" s="211">
        <v>1E-3</v>
      </c>
      <c r="H197" s="211">
        <v>2</v>
      </c>
      <c r="I197" s="300">
        <f t="shared" si="11"/>
        <v>10.8108</v>
      </c>
      <c r="J197" s="230">
        <v>6</v>
      </c>
      <c r="K197" s="388">
        <v>454.87</v>
      </c>
      <c r="L197" s="302">
        <f t="shared" si="10"/>
        <v>9835.0171920000012</v>
      </c>
      <c r="M197" s="303"/>
      <c r="N197" s="216"/>
      <c r="O197" s="216"/>
      <c r="P197" s="216"/>
    </row>
    <row r="198" spans="1:16" ht="31.5" x14ac:dyDescent="0.25">
      <c r="A198" s="565"/>
      <c r="B198" s="523"/>
      <c r="C198" s="31" t="s">
        <v>135</v>
      </c>
      <c r="D198" s="215">
        <v>28</v>
      </c>
      <c r="E198" s="211" t="s">
        <v>44</v>
      </c>
      <c r="F198" s="216"/>
      <c r="G198" s="211">
        <v>1E-4</v>
      </c>
      <c r="H198" s="211">
        <v>4</v>
      </c>
      <c r="I198" s="300">
        <f t="shared" si="11"/>
        <v>1.08108</v>
      </c>
      <c r="J198" s="230">
        <v>6</v>
      </c>
      <c r="K198" s="388">
        <v>454.87</v>
      </c>
      <c r="L198" s="302">
        <f t="shared" si="10"/>
        <v>1967.0034384000001</v>
      </c>
      <c r="M198" s="303"/>
      <c r="N198" s="216"/>
      <c r="O198" s="216"/>
      <c r="P198" s="216"/>
    </row>
    <row r="199" spans="1:16" ht="31.5" x14ac:dyDescent="0.25">
      <c r="A199" s="565"/>
      <c r="B199" s="523"/>
      <c r="C199" s="31" t="s">
        <v>59</v>
      </c>
      <c r="D199" s="215">
        <v>15</v>
      </c>
      <c r="E199" s="211" t="s">
        <v>43</v>
      </c>
      <c r="F199" s="216"/>
      <c r="G199" s="211">
        <v>1E-3</v>
      </c>
      <c r="H199" s="211">
        <v>2</v>
      </c>
      <c r="I199" s="300">
        <f t="shared" si="11"/>
        <v>5.7915000000000001</v>
      </c>
      <c r="J199" s="230">
        <v>6</v>
      </c>
      <c r="K199" s="388">
        <v>454.87</v>
      </c>
      <c r="L199" s="302">
        <f t="shared" ref="L199:L262" si="12">H199*I199*K199</f>
        <v>5268.7592100000002</v>
      </c>
      <c r="M199" s="303"/>
      <c r="N199" s="216"/>
      <c r="O199" s="216"/>
      <c r="P199" s="216"/>
    </row>
    <row r="200" spans="1:16" ht="31.5" x14ac:dyDescent="0.25">
      <c r="A200" s="565"/>
      <c r="B200" s="523"/>
      <c r="C200" s="31" t="s">
        <v>59</v>
      </c>
      <c r="D200" s="215">
        <v>15</v>
      </c>
      <c r="E200" s="211" t="s">
        <v>44</v>
      </c>
      <c r="F200" s="216"/>
      <c r="G200" s="211">
        <v>1E-4</v>
      </c>
      <c r="H200" s="211">
        <v>4</v>
      </c>
      <c r="I200" s="300">
        <f t="shared" si="11"/>
        <v>0.57915000000000005</v>
      </c>
      <c r="J200" s="230">
        <v>6</v>
      </c>
      <c r="K200" s="388">
        <v>454.87</v>
      </c>
      <c r="L200" s="302">
        <f t="shared" si="12"/>
        <v>1053.7518420000001</v>
      </c>
      <c r="M200" s="303"/>
      <c r="N200" s="216"/>
      <c r="O200" s="216"/>
      <c r="P200" s="216"/>
    </row>
    <row r="201" spans="1:16" x14ac:dyDescent="0.25">
      <c r="A201" s="565"/>
      <c r="B201" s="523"/>
      <c r="C201" s="31" t="s">
        <v>136</v>
      </c>
      <c r="D201" s="215">
        <v>7</v>
      </c>
      <c r="E201" s="211" t="s">
        <v>43</v>
      </c>
      <c r="F201" s="216"/>
      <c r="G201" s="211">
        <v>1E-3</v>
      </c>
      <c r="H201" s="211">
        <v>2</v>
      </c>
      <c r="I201" s="300">
        <f t="shared" si="11"/>
        <v>2.7027000000000001</v>
      </c>
      <c r="J201" s="230">
        <v>6</v>
      </c>
      <c r="K201" s="388">
        <v>454.87</v>
      </c>
      <c r="L201" s="302">
        <f t="shared" si="12"/>
        <v>2458.7542980000003</v>
      </c>
      <c r="M201" s="303"/>
      <c r="N201" s="216"/>
      <c r="O201" s="216"/>
      <c r="P201" s="216"/>
    </row>
    <row r="202" spans="1:16" x14ac:dyDescent="0.25">
      <c r="A202" s="565"/>
      <c r="B202" s="523"/>
      <c r="C202" s="31" t="s">
        <v>136</v>
      </c>
      <c r="D202" s="215">
        <v>7</v>
      </c>
      <c r="E202" s="211" t="s">
        <v>44</v>
      </c>
      <c r="F202" s="216"/>
      <c r="G202" s="211">
        <v>1E-4</v>
      </c>
      <c r="H202" s="211">
        <v>4</v>
      </c>
      <c r="I202" s="300">
        <f t="shared" si="11"/>
        <v>0.27027000000000001</v>
      </c>
      <c r="J202" s="230">
        <v>6</v>
      </c>
      <c r="K202" s="388">
        <v>454.87</v>
      </c>
      <c r="L202" s="302">
        <f t="shared" si="12"/>
        <v>491.75085960000001</v>
      </c>
      <c r="M202" s="303"/>
      <c r="N202" s="216"/>
      <c r="O202" s="216"/>
      <c r="P202" s="216"/>
    </row>
    <row r="203" spans="1:16" x14ac:dyDescent="0.25">
      <c r="A203" s="565"/>
      <c r="B203" s="523"/>
      <c r="C203" s="31" t="s">
        <v>137</v>
      </c>
      <c r="D203" s="215">
        <v>6</v>
      </c>
      <c r="E203" s="211" t="s">
        <v>43</v>
      </c>
      <c r="F203" s="216"/>
      <c r="G203" s="211">
        <v>1E-3</v>
      </c>
      <c r="H203" s="211">
        <v>2</v>
      </c>
      <c r="I203" s="300">
        <f t="shared" si="11"/>
        <v>2.3166000000000002</v>
      </c>
      <c r="J203" s="230">
        <v>6</v>
      </c>
      <c r="K203" s="388">
        <v>454.87</v>
      </c>
      <c r="L203" s="302">
        <f t="shared" si="12"/>
        <v>2107.5036840000002</v>
      </c>
      <c r="M203" s="303"/>
      <c r="N203" s="216"/>
      <c r="O203" s="216"/>
      <c r="P203" s="216"/>
    </row>
    <row r="204" spans="1:16" x14ac:dyDescent="0.25">
      <c r="A204" s="565"/>
      <c r="B204" s="523"/>
      <c r="C204" s="31" t="s">
        <v>137</v>
      </c>
      <c r="D204" s="215">
        <v>6</v>
      </c>
      <c r="E204" s="211" t="s">
        <v>44</v>
      </c>
      <c r="F204" s="216"/>
      <c r="G204" s="211">
        <v>1E-4</v>
      </c>
      <c r="H204" s="211">
        <v>4</v>
      </c>
      <c r="I204" s="300">
        <f t="shared" si="11"/>
        <v>0.23166000000000003</v>
      </c>
      <c r="J204" s="230">
        <v>6</v>
      </c>
      <c r="K204" s="388">
        <v>454.87</v>
      </c>
      <c r="L204" s="302">
        <f t="shared" si="12"/>
        <v>421.50073680000008</v>
      </c>
      <c r="M204" s="303"/>
      <c r="N204" s="216"/>
      <c r="O204" s="216"/>
      <c r="P204" s="216"/>
    </row>
    <row r="205" spans="1:16" x14ac:dyDescent="0.25">
      <c r="A205" s="565"/>
      <c r="B205" s="523"/>
      <c r="C205" s="31" t="s">
        <v>138</v>
      </c>
      <c r="D205" s="215">
        <v>5</v>
      </c>
      <c r="E205" s="211" t="s">
        <v>43</v>
      </c>
      <c r="F205" s="216"/>
      <c r="G205" s="211">
        <v>1E-3</v>
      </c>
      <c r="H205" s="211">
        <v>2</v>
      </c>
      <c r="I205" s="300">
        <f t="shared" si="11"/>
        <v>1.9305000000000003</v>
      </c>
      <c r="J205" s="230">
        <v>6</v>
      </c>
      <c r="K205" s="388">
        <v>454.87</v>
      </c>
      <c r="L205" s="302">
        <f t="shared" si="12"/>
        <v>1756.2530700000002</v>
      </c>
      <c r="M205" s="303"/>
      <c r="N205" s="216"/>
      <c r="O205" s="216"/>
      <c r="P205" s="216"/>
    </row>
    <row r="206" spans="1:16" x14ac:dyDescent="0.25">
      <c r="A206" s="565"/>
      <c r="B206" s="523"/>
      <c r="C206" s="31" t="s">
        <v>138</v>
      </c>
      <c r="D206" s="215">
        <v>5</v>
      </c>
      <c r="E206" s="211" t="s">
        <v>44</v>
      </c>
      <c r="F206" s="216"/>
      <c r="G206" s="211">
        <v>1E-4</v>
      </c>
      <c r="H206" s="211">
        <v>4</v>
      </c>
      <c r="I206" s="300">
        <f t="shared" si="11"/>
        <v>0.19305000000000003</v>
      </c>
      <c r="J206" s="230">
        <v>6</v>
      </c>
      <c r="K206" s="388">
        <v>454.87</v>
      </c>
      <c r="L206" s="302">
        <f t="shared" si="12"/>
        <v>351.25061400000004</v>
      </c>
      <c r="M206" s="303"/>
      <c r="N206" s="216"/>
      <c r="O206" s="216"/>
      <c r="P206" s="216"/>
    </row>
    <row r="207" spans="1:16" x14ac:dyDescent="0.25">
      <c r="A207" s="565"/>
      <c r="B207" s="523"/>
      <c r="C207" s="31" t="s">
        <v>139</v>
      </c>
      <c r="D207" s="215">
        <v>4</v>
      </c>
      <c r="E207" s="211" t="s">
        <v>43</v>
      </c>
      <c r="F207" s="216"/>
      <c r="G207" s="211">
        <v>1E-3</v>
      </c>
      <c r="H207" s="211">
        <v>2</v>
      </c>
      <c r="I207" s="300">
        <f t="shared" si="11"/>
        <v>1.5444000000000002</v>
      </c>
      <c r="J207" s="230">
        <v>6</v>
      </c>
      <c r="K207" s="388">
        <v>454.87</v>
      </c>
      <c r="L207" s="302">
        <f t="shared" si="12"/>
        <v>1405.0024560000002</v>
      </c>
      <c r="M207" s="303"/>
      <c r="N207" s="216"/>
      <c r="O207" s="216"/>
      <c r="P207" s="216"/>
    </row>
    <row r="208" spans="1:16" x14ac:dyDescent="0.25">
      <c r="A208" s="565"/>
      <c r="B208" s="523"/>
      <c r="C208" s="31" t="s">
        <v>139</v>
      </c>
      <c r="D208" s="215">
        <v>4</v>
      </c>
      <c r="E208" s="211" t="s">
        <v>44</v>
      </c>
      <c r="F208" s="216"/>
      <c r="G208" s="211">
        <v>1E-4</v>
      </c>
      <c r="H208" s="211">
        <v>4</v>
      </c>
      <c r="I208" s="300">
        <f t="shared" si="11"/>
        <v>0.15444000000000002</v>
      </c>
      <c r="J208" s="230">
        <v>6</v>
      </c>
      <c r="K208" s="388">
        <v>454.87</v>
      </c>
      <c r="L208" s="302">
        <f t="shared" si="12"/>
        <v>281.00049120000006</v>
      </c>
      <c r="M208" s="303"/>
      <c r="N208" s="216"/>
      <c r="O208" s="216"/>
      <c r="P208" s="216"/>
    </row>
    <row r="209" spans="1:16" x14ac:dyDescent="0.25">
      <c r="A209" s="565"/>
      <c r="B209" s="523"/>
      <c r="C209" s="31" t="s">
        <v>140</v>
      </c>
      <c r="D209" s="215">
        <v>3</v>
      </c>
      <c r="E209" s="211" t="s">
        <v>43</v>
      </c>
      <c r="F209" s="216"/>
      <c r="G209" s="211">
        <v>1E-3</v>
      </c>
      <c r="H209" s="211">
        <v>2</v>
      </c>
      <c r="I209" s="300">
        <f t="shared" si="11"/>
        <v>1.1583000000000001</v>
      </c>
      <c r="J209" s="230">
        <v>6</v>
      </c>
      <c r="K209" s="388">
        <v>454.87</v>
      </c>
      <c r="L209" s="302">
        <f t="shared" si="12"/>
        <v>1053.7518420000001</v>
      </c>
      <c r="M209" s="303"/>
      <c r="N209" s="216"/>
      <c r="O209" s="216"/>
      <c r="P209" s="216"/>
    </row>
    <row r="210" spans="1:16" x14ac:dyDescent="0.25">
      <c r="A210" s="565"/>
      <c r="B210" s="523"/>
      <c r="C210" s="31" t="s">
        <v>140</v>
      </c>
      <c r="D210" s="215">
        <v>3</v>
      </c>
      <c r="E210" s="211" t="s">
        <v>44</v>
      </c>
      <c r="F210" s="216"/>
      <c r="G210" s="211">
        <v>1E-4</v>
      </c>
      <c r="H210" s="211">
        <v>4</v>
      </c>
      <c r="I210" s="300">
        <f t="shared" si="11"/>
        <v>0.11583000000000002</v>
      </c>
      <c r="J210" s="230">
        <v>6</v>
      </c>
      <c r="K210" s="388">
        <v>454.87</v>
      </c>
      <c r="L210" s="302">
        <f t="shared" si="12"/>
        <v>210.75036840000004</v>
      </c>
      <c r="M210" s="303"/>
      <c r="N210" s="216"/>
      <c r="O210" s="216"/>
      <c r="P210" s="216"/>
    </row>
    <row r="211" spans="1:16" ht="31.5" x14ac:dyDescent="0.25">
      <c r="A211" s="565"/>
      <c r="B211" s="523"/>
      <c r="C211" s="31" t="s">
        <v>141</v>
      </c>
      <c r="D211" s="215">
        <v>12</v>
      </c>
      <c r="E211" s="211" t="s">
        <v>43</v>
      </c>
      <c r="F211" s="216"/>
      <c r="G211" s="211">
        <v>1E-3</v>
      </c>
      <c r="H211" s="211">
        <v>2</v>
      </c>
      <c r="I211" s="300">
        <f t="shared" si="11"/>
        <v>4.6332000000000004</v>
      </c>
      <c r="J211" s="230">
        <v>6</v>
      </c>
      <c r="K211" s="388">
        <v>454.87</v>
      </c>
      <c r="L211" s="302">
        <f t="shared" si="12"/>
        <v>4215.0073680000005</v>
      </c>
      <c r="M211" s="303"/>
      <c r="N211" s="216"/>
      <c r="O211" s="216"/>
      <c r="P211" s="216"/>
    </row>
    <row r="212" spans="1:16" ht="31.5" x14ac:dyDescent="0.25">
      <c r="A212" s="565"/>
      <c r="B212" s="523"/>
      <c r="C212" s="31" t="s">
        <v>141</v>
      </c>
      <c r="D212" s="215">
        <v>12</v>
      </c>
      <c r="E212" s="211" t="s">
        <v>44</v>
      </c>
      <c r="F212" s="216"/>
      <c r="G212" s="211">
        <v>1E-4</v>
      </c>
      <c r="H212" s="211">
        <v>4</v>
      </c>
      <c r="I212" s="300">
        <f t="shared" si="11"/>
        <v>0.46332000000000007</v>
      </c>
      <c r="J212" s="230">
        <v>6</v>
      </c>
      <c r="K212" s="388">
        <v>454.87</v>
      </c>
      <c r="L212" s="302">
        <f t="shared" si="12"/>
        <v>843.00147360000017</v>
      </c>
      <c r="M212" s="303"/>
      <c r="N212" s="216"/>
      <c r="O212" s="216"/>
      <c r="P212" s="216"/>
    </row>
    <row r="213" spans="1:16" x14ac:dyDescent="0.25">
      <c r="A213" s="565"/>
      <c r="B213" s="523"/>
      <c r="C213" s="31" t="s">
        <v>142</v>
      </c>
      <c r="D213" s="215">
        <v>4</v>
      </c>
      <c r="E213" s="211" t="s">
        <v>43</v>
      </c>
      <c r="F213" s="216"/>
      <c r="G213" s="211">
        <v>1E-3</v>
      </c>
      <c r="H213" s="211">
        <v>2</v>
      </c>
      <c r="I213" s="300">
        <f t="shared" si="11"/>
        <v>1.5444000000000002</v>
      </c>
      <c r="J213" s="230">
        <v>6</v>
      </c>
      <c r="K213" s="388">
        <v>454.87</v>
      </c>
      <c r="L213" s="302">
        <f t="shared" si="12"/>
        <v>1405.0024560000002</v>
      </c>
      <c r="M213" s="303"/>
      <c r="N213" s="216"/>
      <c r="O213" s="216"/>
      <c r="P213" s="216"/>
    </row>
    <row r="214" spans="1:16" x14ac:dyDescent="0.25">
      <c r="A214" s="565"/>
      <c r="B214" s="523"/>
      <c r="C214" s="31" t="s">
        <v>142</v>
      </c>
      <c r="D214" s="215">
        <v>4</v>
      </c>
      <c r="E214" s="211" t="s">
        <v>44</v>
      </c>
      <c r="F214" s="216"/>
      <c r="G214" s="211">
        <v>1E-4</v>
      </c>
      <c r="H214" s="211">
        <v>4</v>
      </c>
      <c r="I214" s="300">
        <f t="shared" si="11"/>
        <v>0.15444000000000002</v>
      </c>
      <c r="J214" s="230">
        <v>6</v>
      </c>
      <c r="K214" s="388">
        <v>454.87</v>
      </c>
      <c r="L214" s="302">
        <f t="shared" si="12"/>
        <v>281.00049120000006</v>
      </c>
      <c r="M214" s="303"/>
      <c r="N214" s="216"/>
      <c r="O214" s="216"/>
      <c r="P214" s="216"/>
    </row>
    <row r="215" spans="1:16" x14ac:dyDescent="0.25">
      <c r="A215" s="565"/>
      <c r="B215" s="523"/>
      <c r="C215" s="31" t="s">
        <v>143</v>
      </c>
      <c r="D215" s="215">
        <v>1</v>
      </c>
      <c r="E215" s="211" t="s">
        <v>43</v>
      </c>
      <c r="F215" s="216"/>
      <c r="G215" s="211">
        <v>3.0000000000000001E-3</v>
      </c>
      <c r="H215" s="211">
        <v>2</v>
      </c>
      <c r="I215" s="300">
        <f t="shared" si="11"/>
        <v>1.1583000000000001</v>
      </c>
      <c r="J215" s="230">
        <v>6</v>
      </c>
      <c r="K215" s="388">
        <v>454.87</v>
      </c>
      <c r="L215" s="302">
        <f t="shared" si="12"/>
        <v>1053.7518420000001</v>
      </c>
      <c r="M215" s="303"/>
      <c r="N215" s="216"/>
      <c r="O215" s="216"/>
      <c r="P215" s="216"/>
    </row>
    <row r="216" spans="1:16" x14ac:dyDescent="0.25">
      <c r="A216" s="565"/>
      <c r="B216" s="523"/>
      <c r="C216" s="31" t="s">
        <v>143</v>
      </c>
      <c r="D216" s="215">
        <v>1</v>
      </c>
      <c r="E216" s="211" t="s">
        <v>44</v>
      </c>
      <c r="F216" s="216"/>
      <c r="G216" s="211">
        <v>2.9999999999999997E-4</v>
      </c>
      <c r="H216" s="211">
        <v>4</v>
      </c>
      <c r="I216" s="300">
        <f t="shared" si="11"/>
        <v>0.11583</v>
      </c>
      <c r="J216" s="230">
        <v>6</v>
      </c>
      <c r="K216" s="388">
        <v>454.87</v>
      </c>
      <c r="L216" s="302">
        <f t="shared" si="12"/>
        <v>210.75036840000001</v>
      </c>
      <c r="M216" s="303"/>
      <c r="N216" s="216"/>
      <c r="O216" s="216"/>
      <c r="P216" s="216"/>
    </row>
    <row r="217" spans="1:16" x14ac:dyDescent="0.25">
      <c r="A217" s="565"/>
      <c r="B217" s="523"/>
      <c r="C217" s="532" t="s">
        <v>144</v>
      </c>
      <c r="D217" s="526">
        <v>4</v>
      </c>
      <c r="E217" s="566" t="s">
        <v>43</v>
      </c>
      <c r="F217" s="216"/>
      <c r="G217" s="566">
        <v>3.0000000000000001E-3</v>
      </c>
      <c r="H217" s="566">
        <v>2</v>
      </c>
      <c r="I217" s="563">
        <f>D217*G217*351*1.1</f>
        <v>4.6332000000000004</v>
      </c>
      <c r="J217" s="565">
        <v>6</v>
      </c>
      <c r="K217" s="564">
        <v>454.87</v>
      </c>
      <c r="L217" s="583">
        <f t="shared" si="12"/>
        <v>4215.0073680000005</v>
      </c>
      <c r="M217" s="211" t="s">
        <v>145</v>
      </c>
      <c r="N217" s="211">
        <v>2</v>
      </c>
      <c r="O217" s="211">
        <v>405</v>
      </c>
      <c r="P217" s="211">
        <f t="shared" ref="P217:P222" si="13">N217*O217</f>
        <v>810</v>
      </c>
    </row>
    <row r="218" spans="1:16" x14ac:dyDescent="0.25">
      <c r="A218" s="565"/>
      <c r="B218" s="523"/>
      <c r="C218" s="532"/>
      <c r="D218" s="526"/>
      <c r="E218" s="566"/>
      <c r="F218" s="216"/>
      <c r="G218" s="566"/>
      <c r="H218" s="566"/>
      <c r="I218" s="563"/>
      <c r="J218" s="565"/>
      <c r="K218" s="564"/>
      <c r="L218" s="585"/>
      <c r="M218" s="211" t="s">
        <v>146</v>
      </c>
      <c r="N218" s="211">
        <f>N217</f>
        <v>2</v>
      </c>
      <c r="O218" s="211">
        <v>175</v>
      </c>
      <c r="P218" s="211">
        <f t="shared" si="13"/>
        <v>350</v>
      </c>
    </row>
    <row r="219" spans="1:16" x14ac:dyDescent="0.25">
      <c r="A219" s="565"/>
      <c r="B219" s="523"/>
      <c r="C219" s="532"/>
      <c r="D219" s="526"/>
      <c r="E219" s="566"/>
      <c r="F219" s="216"/>
      <c r="G219" s="566"/>
      <c r="H219" s="566"/>
      <c r="I219" s="563"/>
      <c r="J219" s="565"/>
      <c r="K219" s="564"/>
      <c r="L219" s="585"/>
      <c r="M219" s="211" t="s">
        <v>147</v>
      </c>
      <c r="N219" s="211">
        <f>N218</f>
        <v>2</v>
      </c>
      <c r="O219" s="211">
        <v>560</v>
      </c>
      <c r="P219" s="211">
        <f t="shared" si="13"/>
        <v>1120</v>
      </c>
    </row>
    <row r="220" spans="1:16" x14ac:dyDescent="0.25">
      <c r="A220" s="565"/>
      <c r="B220" s="523"/>
      <c r="C220" s="532"/>
      <c r="D220" s="526"/>
      <c r="E220" s="566"/>
      <c r="F220" s="216"/>
      <c r="G220" s="566"/>
      <c r="H220" s="566"/>
      <c r="I220" s="563"/>
      <c r="J220" s="565"/>
      <c r="K220" s="564"/>
      <c r="L220" s="585"/>
      <c r="M220" s="211" t="s">
        <v>148</v>
      </c>
      <c r="N220" s="211">
        <f>N219</f>
        <v>2</v>
      </c>
      <c r="O220" s="211">
        <v>310</v>
      </c>
      <c r="P220" s="211">
        <f t="shared" si="13"/>
        <v>620</v>
      </c>
    </row>
    <row r="221" spans="1:16" x14ac:dyDescent="0.25">
      <c r="A221" s="565"/>
      <c r="B221" s="523"/>
      <c r="C221" s="532"/>
      <c r="D221" s="526"/>
      <c r="E221" s="566"/>
      <c r="F221" s="216"/>
      <c r="G221" s="566"/>
      <c r="H221" s="566"/>
      <c r="I221" s="563"/>
      <c r="J221" s="565"/>
      <c r="K221" s="564"/>
      <c r="L221" s="585"/>
      <c r="M221" s="211" t="s">
        <v>149</v>
      </c>
      <c r="N221" s="211">
        <f>N220</f>
        <v>2</v>
      </c>
      <c r="O221" s="211">
        <v>28</v>
      </c>
      <c r="P221" s="211">
        <f t="shared" si="13"/>
        <v>56</v>
      </c>
    </row>
    <row r="222" spans="1:16" x14ac:dyDescent="0.25">
      <c r="A222" s="565"/>
      <c r="B222" s="523"/>
      <c r="C222" s="532"/>
      <c r="D222" s="526"/>
      <c r="E222" s="566"/>
      <c r="F222" s="216"/>
      <c r="G222" s="566"/>
      <c r="H222" s="566"/>
      <c r="I222" s="563"/>
      <c r="J222" s="565"/>
      <c r="K222" s="564"/>
      <c r="L222" s="584"/>
      <c r="M222" s="211" t="s">
        <v>150</v>
      </c>
      <c r="N222" s="211">
        <f>N221</f>
        <v>2</v>
      </c>
      <c r="O222" s="211">
        <v>200</v>
      </c>
      <c r="P222" s="211">
        <f t="shared" si="13"/>
        <v>400</v>
      </c>
    </row>
    <row r="223" spans="1:16" x14ac:dyDescent="0.25">
      <c r="A223" s="565"/>
      <c r="B223" s="523"/>
      <c r="C223" s="31" t="s">
        <v>144</v>
      </c>
      <c r="D223" s="215">
        <v>4</v>
      </c>
      <c r="E223" s="211" t="s">
        <v>44</v>
      </c>
      <c r="F223" s="216"/>
      <c r="G223" s="211">
        <v>2.9999999999999997E-4</v>
      </c>
      <c r="H223" s="211">
        <v>4</v>
      </c>
      <c r="I223" s="300">
        <f t="shared" si="11"/>
        <v>0.46332000000000001</v>
      </c>
      <c r="J223" s="230">
        <v>6</v>
      </c>
      <c r="K223" s="388">
        <v>454.87</v>
      </c>
      <c r="L223" s="302">
        <f t="shared" si="12"/>
        <v>843.00147360000005</v>
      </c>
      <c r="M223" s="303"/>
      <c r="N223" s="216"/>
      <c r="O223" s="216"/>
      <c r="P223" s="216"/>
    </row>
    <row r="224" spans="1:16" ht="31.5" x14ac:dyDescent="0.25">
      <c r="A224" s="565"/>
      <c r="B224" s="523"/>
      <c r="C224" s="532" t="s">
        <v>151</v>
      </c>
      <c r="D224" s="526">
        <v>1</v>
      </c>
      <c r="E224" s="566" t="s">
        <v>43</v>
      </c>
      <c r="F224" s="216"/>
      <c r="G224" s="566">
        <v>5.0000000000000001E-3</v>
      </c>
      <c r="H224" s="566">
        <v>2</v>
      </c>
      <c r="I224" s="563">
        <f>D224*G224*351*1.1</f>
        <v>1.9305000000000003</v>
      </c>
      <c r="J224" s="565">
        <v>6</v>
      </c>
      <c r="K224" s="564">
        <v>454.87</v>
      </c>
      <c r="L224" s="583">
        <f t="shared" si="12"/>
        <v>1756.2530700000002</v>
      </c>
      <c r="M224" s="304" t="s">
        <v>95</v>
      </c>
      <c r="N224" s="211">
        <v>2</v>
      </c>
      <c r="O224" s="211">
        <v>14</v>
      </c>
      <c r="P224" s="211">
        <f t="shared" ref="P224:P233" si="14">N224*O224</f>
        <v>28</v>
      </c>
    </row>
    <row r="225" spans="1:16" x14ac:dyDescent="0.25">
      <c r="A225" s="565"/>
      <c r="B225" s="523"/>
      <c r="C225" s="532"/>
      <c r="D225" s="526"/>
      <c r="E225" s="566"/>
      <c r="F225" s="216"/>
      <c r="G225" s="566"/>
      <c r="H225" s="566"/>
      <c r="I225" s="563"/>
      <c r="J225" s="565"/>
      <c r="K225" s="564"/>
      <c r="L225" s="585"/>
      <c r="M225" s="304" t="s">
        <v>106</v>
      </c>
      <c r="N225" s="211">
        <f t="shared" ref="N225:N233" si="15">N224</f>
        <v>2</v>
      </c>
      <c r="O225" s="211">
        <v>12</v>
      </c>
      <c r="P225" s="211">
        <f t="shared" si="14"/>
        <v>24</v>
      </c>
    </row>
    <row r="226" spans="1:16" ht="31.5" x14ac:dyDescent="0.25">
      <c r="A226" s="565"/>
      <c r="B226" s="523"/>
      <c r="C226" s="532"/>
      <c r="D226" s="526"/>
      <c r="E226" s="566"/>
      <c r="F226" s="216"/>
      <c r="G226" s="566"/>
      <c r="H226" s="566"/>
      <c r="I226" s="563"/>
      <c r="J226" s="565"/>
      <c r="K226" s="564"/>
      <c r="L226" s="585"/>
      <c r="M226" s="304" t="s">
        <v>97</v>
      </c>
      <c r="N226" s="211">
        <f t="shared" si="15"/>
        <v>2</v>
      </c>
      <c r="O226" s="211">
        <v>148</v>
      </c>
      <c r="P226" s="211">
        <f t="shared" si="14"/>
        <v>296</v>
      </c>
    </row>
    <row r="227" spans="1:16" x14ac:dyDescent="0.25">
      <c r="A227" s="565"/>
      <c r="B227" s="523"/>
      <c r="C227" s="532"/>
      <c r="D227" s="526"/>
      <c r="E227" s="566"/>
      <c r="F227" s="216"/>
      <c r="G227" s="566"/>
      <c r="H227" s="566"/>
      <c r="I227" s="563"/>
      <c r="J227" s="565"/>
      <c r="K227" s="564"/>
      <c r="L227" s="585"/>
      <c r="M227" s="304" t="s">
        <v>98</v>
      </c>
      <c r="N227" s="211">
        <f t="shared" si="15"/>
        <v>2</v>
      </c>
      <c r="O227" s="211">
        <v>14</v>
      </c>
      <c r="P227" s="211">
        <f t="shared" si="14"/>
        <v>28</v>
      </c>
    </row>
    <row r="228" spans="1:16" x14ac:dyDescent="0.25">
      <c r="A228" s="565"/>
      <c r="B228" s="523"/>
      <c r="C228" s="532"/>
      <c r="D228" s="526"/>
      <c r="E228" s="566"/>
      <c r="F228" s="216"/>
      <c r="G228" s="566"/>
      <c r="H228" s="566"/>
      <c r="I228" s="563"/>
      <c r="J228" s="565"/>
      <c r="K228" s="564"/>
      <c r="L228" s="585"/>
      <c r="M228" s="304" t="s">
        <v>99</v>
      </c>
      <c r="N228" s="211">
        <f t="shared" si="15"/>
        <v>2</v>
      </c>
      <c r="O228" s="211">
        <v>400</v>
      </c>
      <c r="P228" s="211">
        <f t="shared" si="14"/>
        <v>800</v>
      </c>
    </row>
    <row r="229" spans="1:16" x14ac:dyDescent="0.25">
      <c r="A229" s="565"/>
      <c r="B229" s="523"/>
      <c r="C229" s="532"/>
      <c r="D229" s="526"/>
      <c r="E229" s="566"/>
      <c r="F229" s="216"/>
      <c r="G229" s="566"/>
      <c r="H229" s="566"/>
      <c r="I229" s="563"/>
      <c r="J229" s="565"/>
      <c r="K229" s="564"/>
      <c r="L229" s="585"/>
      <c r="M229" s="304" t="s">
        <v>100</v>
      </c>
      <c r="N229" s="211">
        <f t="shared" si="15"/>
        <v>2</v>
      </c>
      <c r="O229" s="211">
        <v>1670</v>
      </c>
      <c r="P229" s="211">
        <f t="shared" si="14"/>
        <v>3340</v>
      </c>
    </row>
    <row r="230" spans="1:16" x14ac:dyDescent="0.25">
      <c r="A230" s="565"/>
      <c r="B230" s="523"/>
      <c r="C230" s="532"/>
      <c r="D230" s="526"/>
      <c r="E230" s="566"/>
      <c r="F230" s="216"/>
      <c r="G230" s="566"/>
      <c r="H230" s="566"/>
      <c r="I230" s="563"/>
      <c r="J230" s="565"/>
      <c r="K230" s="564"/>
      <c r="L230" s="585"/>
      <c r="M230" s="304" t="s">
        <v>101</v>
      </c>
      <c r="N230" s="211">
        <f t="shared" si="15"/>
        <v>2</v>
      </c>
      <c r="O230" s="211">
        <v>167</v>
      </c>
      <c r="P230" s="211">
        <f t="shared" si="14"/>
        <v>334</v>
      </c>
    </row>
    <row r="231" spans="1:16" x14ac:dyDescent="0.25">
      <c r="A231" s="565"/>
      <c r="B231" s="523"/>
      <c r="C231" s="532"/>
      <c r="D231" s="526"/>
      <c r="E231" s="566"/>
      <c r="F231" s="216"/>
      <c r="G231" s="566"/>
      <c r="H231" s="566"/>
      <c r="I231" s="563"/>
      <c r="J231" s="565"/>
      <c r="K231" s="564"/>
      <c r="L231" s="585"/>
      <c r="M231" s="304" t="s">
        <v>102</v>
      </c>
      <c r="N231" s="211">
        <f t="shared" si="15"/>
        <v>2</v>
      </c>
      <c r="O231" s="211">
        <v>72</v>
      </c>
      <c r="P231" s="211">
        <f t="shared" si="14"/>
        <v>144</v>
      </c>
    </row>
    <row r="232" spans="1:16" x14ac:dyDescent="0.25">
      <c r="A232" s="565"/>
      <c r="B232" s="523"/>
      <c r="C232" s="532"/>
      <c r="D232" s="526"/>
      <c r="E232" s="566"/>
      <c r="F232" s="216"/>
      <c r="G232" s="566"/>
      <c r="H232" s="566"/>
      <c r="I232" s="563"/>
      <c r="J232" s="565"/>
      <c r="K232" s="564"/>
      <c r="L232" s="585"/>
      <c r="M232" s="304" t="s">
        <v>103</v>
      </c>
      <c r="N232" s="211">
        <f t="shared" si="15"/>
        <v>2</v>
      </c>
      <c r="O232" s="211">
        <v>5.3</v>
      </c>
      <c r="P232" s="211">
        <f t="shared" si="14"/>
        <v>10.6</v>
      </c>
    </row>
    <row r="233" spans="1:16" x14ac:dyDescent="0.25">
      <c r="A233" s="565"/>
      <c r="B233" s="523"/>
      <c r="C233" s="532"/>
      <c r="D233" s="526"/>
      <c r="E233" s="566"/>
      <c r="F233" s="216"/>
      <c r="G233" s="566"/>
      <c r="H233" s="566"/>
      <c r="I233" s="563"/>
      <c r="J233" s="565"/>
      <c r="K233" s="564"/>
      <c r="L233" s="584"/>
      <c r="M233" s="304" t="s">
        <v>104</v>
      </c>
      <c r="N233" s="211">
        <f t="shared" si="15"/>
        <v>2</v>
      </c>
      <c r="O233" s="211">
        <v>190</v>
      </c>
      <c r="P233" s="211">
        <f t="shared" si="14"/>
        <v>380</v>
      </c>
    </row>
    <row r="234" spans="1:16" x14ac:dyDescent="0.25">
      <c r="A234" s="565"/>
      <c r="B234" s="523"/>
      <c r="C234" s="31" t="s">
        <v>151</v>
      </c>
      <c r="D234" s="215">
        <v>1</v>
      </c>
      <c r="E234" s="211" t="s">
        <v>44</v>
      </c>
      <c r="F234" s="216"/>
      <c r="G234" s="211">
        <v>5.0000000000000001E-4</v>
      </c>
      <c r="H234" s="211">
        <v>4</v>
      </c>
      <c r="I234" s="300">
        <f t="shared" si="11"/>
        <v>0.19305000000000003</v>
      </c>
      <c r="J234" s="230">
        <v>6</v>
      </c>
      <c r="K234" s="388">
        <v>454.87</v>
      </c>
      <c r="L234" s="302">
        <f t="shared" si="12"/>
        <v>351.25061400000004</v>
      </c>
      <c r="M234" s="303"/>
      <c r="N234" s="216"/>
      <c r="O234" s="216"/>
      <c r="P234" s="216"/>
    </row>
    <row r="235" spans="1:16" x14ac:dyDescent="0.25">
      <c r="A235" s="565"/>
      <c r="B235" s="523"/>
      <c r="C235" s="31" t="s">
        <v>152</v>
      </c>
      <c r="D235" s="215">
        <v>1</v>
      </c>
      <c r="E235" s="211" t="s">
        <v>43</v>
      </c>
      <c r="F235" s="216"/>
      <c r="G235" s="211">
        <v>3.0000000000000001E-3</v>
      </c>
      <c r="H235" s="211">
        <v>2</v>
      </c>
      <c r="I235" s="300">
        <f t="shared" si="11"/>
        <v>1.1583000000000001</v>
      </c>
      <c r="J235" s="230">
        <v>6</v>
      </c>
      <c r="K235" s="388">
        <v>454.87</v>
      </c>
      <c r="L235" s="302">
        <f t="shared" si="12"/>
        <v>1053.7518420000001</v>
      </c>
      <c r="M235" s="303"/>
      <c r="N235" s="216"/>
      <c r="O235" s="216"/>
      <c r="P235" s="216"/>
    </row>
    <row r="236" spans="1:16" x14ac:dyDescent="0.25">
      <c r="A236" s="565"/>
      <c r="B236" s="523"/>
      <c r="C236" s="31" t="s">
        <v>152</v>
      </c>
      <c r="D236" s="215">
        <v>1</v>
      </c>
      <c r="E236" s="211" t="s">
        <v>44</v>
      </c>
      <c r="F236" s="216"/>
      <c r="G236" s="211">
        <v>2.9999999999999997E-4</v>
      </c>
      <c r="H236" s="211">
        <v>4</v>
      </c>
      <c r="I236" s="300">
        <f t="shared" si="11"/>
        <v>0.11583</v>
      </c>
      <c r="J236" s="230">
        <v>6</v>
      </c>
      <c r="K236" s="388">
        <v>454.87</v>
      </c>
      <c r="L236" s="302">
        <f t="shared" si="12"/>
        <v>210.75036840000001</v>
      </c>
      <c r="M236" s="303"/>
      <c r="N236" s="216"/>
      <c r="O236" s="216"/>
      <c r="P236" s="216"/>
    </row>
    <row r="237" spans="1:16" x14ac:dyDescent="0.25">
      <c r="A237" s="565"/>
      <c r="B237" s="523"/>
      <c r="C237" s="31" t="s">
        <v>153</v>
      </c>
      <c r="D237" s="305">
        <v>0.57499999999999996</v>
      </c>
      <c r="E237" s="211" t="s">
        <v>43</v>
      </c>
      <c r="F237" s="216"/>
      <c r="G237" s="211">
        <v>2.4E-2</v>
      </c>
      <c r="H237" s="211">
        <v>2</v>
      </c>
      <c r="I237" s="300">
        <f t="shared" si="11"/>
        <v>5.3281800000000006</v>
      </c>
      <c r="J237" s="230">
        <v>6</v>
      </c>
      <c r="K237" s="388">
        <v>454.87</v>
      </c>
      <c r="L237" s="302">
        <f t="shared" si="12"/>
        <v>4847.2584732000005</v>
      </c>
      <c r="M237" s="303"/>
      <c r="N237" s="216"/>
      <c r="O237" s="216"/>
      <c r="P237" s="216"/>
    </row>
    <row r="238" spans="1:16" x14ac:dyDescent="0.25">
      <c r="A238" s="565"/>
      <c r="B238" s="523"/>
      <c r="C238" s="31" t="s">
        <v>153</v>
      </c>
      <c r="D238" s="305">
        <v>0.57499999999999996</v>
      </c>
      <c r="E238" s="211" t="s">
        <v>44</v>
      </c>
      <c r="F238" s="216"/>
      <c r="G238" s="211">
        <v>2.3999999999999998E-3</v>
      </c>
      <c r="H238" s="211">
        <v>4</v>
      </c>
      <c r="I238" s="300">
        <f t="shared" si="11"/>
        <v>0.5328179999999999</v>
      </c>
      <c r="J238" s="230">
        <v>6</v>
      </c>
      <c r="K238" s="388">
        <v>454.87</v>
      </c>
      <c r="L238" s="302">
        <f t="shared" si="12"/>
        <v>969.4516946399998</v>
      </c>
      <c r="M238" s="303"/>
      <c r="N238" s="216"/>
      <c r="O238" s="216"/>
      <c r="P238" s="216"/>
    </row>
    <row r="239" spans="1:16" x14ac:dyDescent="0.25">
      <c r="A239" s="565"/>
      <c r="B239" s="523"/>
      <c r="C239" s="31" t="s">
        <v>154</v>
      </c>
      <c r="D239" s="305">
        <v>0.79900000000000004</v>
      </c>
      <c r="E239" s="211" t="s">
        <v>43</v>
      </c>
      <c r="F239" s="216"/>
      <c r="G239" s="211">
        <v>2.4E-2</v>
      </c>
      <c r="H239" s="211">
        <v>2</v>
      </c>
      <c r="I239" s="300">
        <f t="shared" si="11"/>
        <v>7.4038536000000015</v>
      </c>
      <c r="J239" s="230">
        <v>6</v>
      </c>
      <c r="K239" s="388">
        <v>454.87</v>
      </c>
      <c r="L239" s="302">
        <f t="shared" si="12"/>
        <v>6735.5817740640014</v>
      </c>
      <c r="M239" s="303"/>
      <c r="N239" s="216"/>
      <c r="O239" s="216"/>
      <c r="P239" s="216"/>
    </row>
    <row r="240" spans="1:16" x14ac:dyDescent="0.25">
      <c r="A240" s="565"/>
      <c r="B240" s="523"/>
      <c r="C240" s="31" t="s">
        <v>154</v>
      </c>
      <c r="D240" s="305">
        <v>0.79900000000000004</v>
      </c>
      <c r="E240" s="211" t="s">
        <v>44</v>
      </c>
      <c r="F240" s="216"/>
      <c r="G240" s="211">
        <v>2.3999999999999998E-3</v>
      </c>
      <c r="H240" s="211">
        <v>4</v>
      </c>
      <c r="I240" s="300">
        <f t="shared" ref="I240:I256" si="16">D240*G240*351*1.1</f>
        <v>0.74038535999999999</v>
      </c>
      <c r="J240" s="230">
        <v>6</v>
      </c>
      <c r="K240" s="388">
        <v>454.87</v>
      </c>
      <c r="L240" s="302">
        <f t="shared" si="12"/>
        <v>1347.1163548128</v>
      </c>
      <c r="M240" s="303"/>
      <c r="N240" s="216"/>
      <c r="O240" s="216"/>
      <c r="P240" s="216"/>
    </row>
    <row r="241" spans="1:16" x14ac:dyDescent="0.25">
      <c r="A241" s="565"/>
      <c r="B241" s="523"/>
      <c r="C241" s="31" t="s">
        <v>155</v>
      </c>
      <c r="D241" s="32">
        <v>0.96</v>
      </c>
      <c r="E241" s="211" t="s">
        <v>43</v>
      </c>
      <c r="F241" s="216"/>
      <c r="G241" s="211">
        <v>2.4E-2</v>
      </c>
      <c r="H241" s="211">
        <v>2</v>
      </c>
      <c r="I241" s="300">
        <f t="shared" si="16"/>
        <v>8.8957440000000005</v>
      </c>
      <c r="J241" s="230">
        <v>6</v>
      </c>
      <c r="K241" s="388">
        <v>454.87</v>
      </c>
      <c r="L241" s="302">
        <f t="shared" si="12"/>
        <v>8092.8141465600002</v>
      </c>
      <c r="M241" s="303"/>
      <c r="N241" s="216"/>
      <c r="O241" s="216"/>
      <c r="P241" s="216"/>
    </row>
    <row r="242" spans="1:16" x14ac:dyDescent="0.25">
      <c r="A242" s="565"/>
      <c r="B242" s="523"/>
      <c r="C242" s="31" t="s">
        <v>155</v>
      </c>
      <c r="D242" s="32">
        <v>0.96</v>
      </c>
      <c r="E242" s="211" t="s">
        <v>44</v>
      </c>
      <c r="F242" s="216"/>
      <c r="G242" s="211">
        <v>2.3999999999999998E-3</v>
      </c>
      <c r="H242" s="211">
        <v>4</v>
      </c>
      <c r="I242" s="300">
        <f t="shared" si="16"/>
        <v>0.88957439999999988</v>
      </c>
      <c r="J242" s="230">
        <v>6</v>
      </c>
      <c r="K242" s="388">
        <v>454.87</v>
      </c>
      <c r="L242" s="302">
        <f t="shared" si="12"/>
        <v>1618.5628293119998</v>
      </c>
      <c r="M242" s="303"/>
      <c r="N242" s="216"/>
      <c r="O242" s="216"/>
      <c r="P242" s="216"/>
    </row>
    <row r="243" spans="1:16" x14ac:dyDescent="0.25">
      <c r="A243" s="565"/>
      <c r="B243" s="523"/>
      <c r="C243" s="31" t="s">
        <v>156</v>
      </c>
      <c r="D243" s="32">
        <v>0.35</v>
      </c>
      <c r="E243" s="211" t="s">
        <v>43</v>
      </c>
      <c r="F243" s="216"/>
      <c r="G243" s="211">
        <v>2.4E-2</v>
      </c>
      <c r="H243" s="211">
        <v>2</v>
      </c>
      <c r="I243" s="300">
        <f t="shared" si="16"/>
        <v>3.2432400000000001</v>
      </c>
      <c r="J243" s="230">
        <v>6</v>
      </c>
      <c r="K243" s="388">
        <v>454.87</v>
      </c>
      <c r="L243" s="302">
        <f t="shared" si="12"/>
        <v>2950.5051576000001</v>
      </c>
      <c r="M243" s="303"/>
      <c r="N243" s="216"/>
      <c r="O243" s="216"/>
      <c r="P243" s="216"/>
    </row>
    <row r="244" spans="1:16" x14ac:dyDescent="0.25">
      <c r="A244" s="565"/>
      <c r="B244" s="523"/>
      <c r="C244" s="31" t="s">
        <v>156</v>
      </c>
      <c r="D244" s="32">
        <v>0.35</v>
      </c>
      <c r="E244" s="211" t="s">
        <v>44</v>
      </c>
      <c r="F244" s="216"/>
      <c r="G244" s="211">
        <v>2.3999999999999998E-3</v>
      </c>
      <c r="H244" s="211">
        <v>4</v>
      </c>
      <c r="I244" s="300">
        <f t="shared" si="16"/>
        <v>0.324324</v>
      </c>
      <c r="J244" s="230">
        <v>6</v>
      </c>
      <c r="K244" s="388">
        <v>454.87</v>
      </c>
      <c r="L244" s="302">
        <f t="shared" si="12"/>
        <v>590.10103151999999</v>
      </c>
      <c r="M244" s="303"/>
      <c r="N244" s="216"/>
      <c r="O244" s="216"/>
      <c r="P244" s="216"/>
    </row>
    <row r="245" spans="1:16" x14ac:dyDescent="0.25">
      <c r="A245" s="565"/>
      <c r="B245" s="523"/>
      <c r="C245" s="31" t="s">
        <v>157</v>
      </c>
      <c r="D245" s="305">
        <v>0.16700000000000001</v>
      </c>
      <c r="E245" s="211" t="s">
        <v>43</v>
      </c>
      <c r="F245" s="216"/>
      <c r="G245" s="211">
        <v>2.4E-2</v>
      </c>
      <c r="H245" s="211">
        <v>2</v>
      </c>
      <c r="I245" s="300">
        <f t="shared" si="16"/>
        <v>1.5474888000000002</v>
      </c>
      <c r="J245" s="230">
        <v>6</v>
      </c>
      <c r="K245" s="388">
        <v>454.87</v>
      </c>
      <c r="L245" s="302">
        <f t="shared" si="12"/>
        <v>1407.8124609120002</v>
      </c>
      <c r="M245" s="303"/>
      <c r="N245" s="216"/>
      <c r="O245" s="216"/>
      <c r="P245" s="216"/>
    </row>
    <row r="246" spans="1:16" x14ac:dyDescent="0.25">
      <c r="A246" s="565"/>
      <c r="B246" s="523"/>
      <c r="C246" s="31" t="s">
        <v>157</v>
      </c>
      <c r="D246" s="305">
        <v>0.16700000000000001</v>
      </c>
      <c r="E246" s="211" t="s">
        <v>44</v>
      </c>
      <c r="F246" s="216"/>
      <c r="G246" s="211">
        <v>2.3999999999999998E-3</v>
      </c>
      <c r="H246" s="211">
        <v>4</v>
      </c>
      <c r="I246" s="300">
        <f t="shared" si="16"/>
        <v>0.15474888000000001</v>
      </c>
      <c r="J246" s="230">
        <v>6</v>
      </c>
      <c r="K246" s="388">
        <v>454.87</v>
      </c>
      <c r="L246" s="302">
        <f t="shared" si="12"/>
        <v>281.56249218240004</v>
      </c>
      <c r="M246" s="303"/>
      <c r="N246" s="216"/>
      <c r="O246" s="216"/>
      <c r="P246" s="216"/>
    </row>
    <row r="247" spans="1:16" x14ac:dyDescent="0.25">
      <c r="A247" s="565"/>
      <c r="B247" s="523"/>
      <c r="C247" s="31" t="s">
        <v>158</v>
      </c>
      <c r="D247" s="306">
        <v>0.3</v>
      </c>
      <c r="E247" s="211" t="s">
        <v>43</v>
      </c>
      <c r="F247" s="216"/>
      <c r="G247" s="211">
        <v>2.4E-2</v>
      </c>
      <c r="H247" s="211">
        <v>2</v>
      </c>
      <c r="I247" s="300">
        <f t="shared" si="16"/>
        <v>2.7799200000000002</v>
      </c>
      <c r="J247" s="230">
        <v>6</v>
      </c>
      <c r="K247" s="388">
        <v>454.87</v>
      </c>
      <c r="L247" s="302">
        <f t="shared" si="12"/>
        <v>2529.0044208000004</v>
      </c>
      <c r="M247" s="303"/>
      <c r="N247" s="216"/>
      <c r="O247" s="216"/>
      <c r="P247" s="216"/>
    </row>
    <row r="248" spans="1:16" x14ac:dyDescent="0.25">
      <c r="A248" s="565"/>
      <c r="B248" s="523"/>
      <c r="C248" s="31" t="s">
        <v>158</v>
      </c>
      <c r="D248" s="306">
        <v>0.3</v>
      </c>
      <c r="E248" s="211" t="s">
        <v>44</v>
      </c>
      <c r="F248" s="216"/>
      <c r="G248" s="211">
        <v>2.3999999999999998E-3</v>
      </c>
      <c r="H248" s="211">
        <v>4</v>
      </c>
      <c r="I248" s="300">
        <f t="shared" si="16"/>
        <v>0.27799200000000002</v>
      </c>
      <c r="J248" s="230">
        <v>6</v>
      </c>
      <c r="K248" s="388">
        <v>454.87</v>
      </c>
      <c r="L248" s="302">
        <f t="shared" si="12"/>
        <v>505.80088416000001</v>
      </c>
      <c r="M248" s="303"/>
      <c r="N248" s="216"/>
      <c r="O248" s="216"/>
      <c r="P248" s="216"/>
    </row>
    <row r="249" spans="1:16" x14ac:dyDescent="0.25">
      <c r="A249" s="565"/>
      <c r="B249" s="523"/>
      <c r="C249" s="31" t="s">
        <v>159</v>
      </c>
      <c r="D249" s="306">
        <v>0.25</v>
      </c>
      <c r="E249" s="211" t="s">
        <v>43</v>
      </c>
      <c r="F249" s="216"/>
      <c r="G249" s="211">
        <v>2.4E-2</v>
      </c>
      <c r="H249" s="211">
        <v>2</v>
      </c>
      <c r="I249" s="300">
        <f t="shared" si="16"/>
        <v>2.3166000000000002</v>
      </c>
      <c r="J249" s="230">
        <v>6</v>
      </c>
      <c r="K249" s="388">
        <v>454.87</v>
      </c>
      <c r="L249" s="302">
        <f t="shared" si="12"/>
        <v>2107.5036840000002</v>
      </c>
      <c r="M249" s="303"/>
      <c r="N249" s="216"/>
      <c r="O249" s="216"/>
      <c r="P249" s="216"/>
    </row>
    <row r="250" spans="1:16" x14ac:dyDescent="0.25">
      <c r="A250" s="565"/>
      <c r="B250" s="523"/>
      <c r="C250" s="31" t="s">
        <v>159</v>
      </c>
      <c r="D250" s="306">
        <v>0.25</v>
      </c>
      <c r="E250" s="211" t="s">
        <v>44</v>
      </c>
      <c r="F250" s="216"/>
      <c r="G250" s="211">
        <v>2.3999999999999998E-3</v>
      </c>
      <c r="H250" s="211">
        <v>4</v>
      </c>
      <c r="I250" s="300">
        <f t="shared" si="16"/>
        <v>0.23166</v>
      </c>
      <c r="J250" s="230">
        <v>6</v>
      </c>
      <c r="K250" s="388">
        <v>454.87</v>
      </c>
      <c r="L250" s="302">
        <f t="shared" si="12"/>
        <v>421.50073680000003</v>
      </c>
      <c r="M250" s="303"/>
      <c r="N250" s="216"/>
      <c r="O250" s="216"/>
      <c r="P250" s="216"/>
    </row>
    <row r="251" spans="1:16" x14ac:dyDescent="0.25">
      <c r="A251" s="565"/>
      <c r="B251" s="523"/>
      <c r="C251" s="31" t="s">
        <v>109</v>
      </c>
      <c r="D251" s="307">
        <v>2</v>
      </c>
      <c r="E251" s="211" t="s">
        <v>43</v>
      </c>
      <c r="F251" s="216"/>
      <c r="G251" s="211">
        <v>1E-3</v>
      </c>
      <c r="H251" s="211">
        <v>2</v>
      </c>
      <c r="I251" s="300">
        <f t="shared" si="16"/>
        <v>0.77220000000000011</v>
      </c>
      <c r="J251" s="230">
        <v>6</v>
      </c>
      <c r="K251" s="388">
        <v>454.87</v>
      </c>
      <c r="L251" s="302">
        <f t="shared" si="12"/>
        <v>702.50122800000008</v>
      </c>
      <c r="M251" s="303"/>
      <c r="N251" s="216"/>
      <c r="O251" s="216"/>
      <c r="P251" s="216"/>
    </row>
    <row r="252" spans="1:16" x14ac:dyDescent="0.25">
      <c r="A252" s="565"/>
      <c r="B252" s="523"/>
      <c r="C252" s="31" t="s">
        <v>109</v>
      </c>
      <c r="D252" s="307">
        <v>2</v>
      </c>
      <c r="E252" s="211" t="s">
        <v>44</v>
      </c>
      <c r="F252" s="216"/>
      <c r="G252" s="211">
        <v>1E-4</v>
      </c>
      <c r="H252" s="211">
        <v>4</v>
      </c>
      <c r="I252" s="300">
        <f t="shared" si="16"/>
        <v>7.7220000000000011E-2</v>
      </c>
      <c r="J252" s="230">
        <v>6</v>
      </c>
      <c r="K252" s="388">
        <v>454.87</v>
      </c>
      <c r="L252" s="302">
        <f t="shared" si="12"/>
        <v>140.50024560000003</v>
      </c>
      <c r="M252" s="303"/>
      <c r="N252" s="216"/>
      <c r="O252" s="216"/>
      <c r="P252" s="216"/>
    </row>
    <row r="253" spans="1:16" x14ac:dyDescent="0.25">
      <c r="A253" s="565"/>
      <c r="B253" s="523"/>
      <c r="C253" s="31" t="s">
        <v>110</v>
      </c>
      <c r="D253" s="307">
        <v>2</v>
      </c>
      <c r="E253" s="211" t="s">
        <v>43</v>
      </c>
      <c r="F253" s="216"/>
      <c r="G253" s="211">
        <v>1E-3</v>
      </c>
      <c r="H253" s="211">
        <v>2</v>
      </c>
      <c r="I253" s="300">
        <f t="shared" si="16"/>
        <v>0.77220000000000011</v>
      </c>
      <c r="J253" s="230">
        <v>6</v>
      </c>
      <c r="K253" s="388">
        <v>454.87</v>
      </c>
      <c r="L253" s="302">
        <f t="shared" si="12"/>
        <v>702.50122800000008</v>
      </c>
      <c r="M253" s="303"/>
      <c r="N253" s="216"/>
      <c r="O253" s="216"/>
      <c r="P253" s="216"/>
    </row>
    <row r="254" spans="1:16" x14ac:dyDescent="0.25">
      <c r="A254" s="565"/>
      <c r="B254" s="523"/>
      <c r="C254" s="31" t="s">
        <v>110</v>
      </c>
      <c r="D254" s="307">
        <v>2</v>
      </c>
      <c r="E254" s="211" t="s">
        <v>44</v>
      </c>
      <c r="F254" s="216"/>
      <c r="G254" s="211">
        <v>1E-4</v>
      </c>
      <c r="H254" s="211">
        <v>4</v>
      </c>
      <c r="I254" s="300">
        <f t="shared" si="16"/>
        <v>7.7220000000000011E-2</v>
      </c>
      <c r="J254" s="230">
        <v>6</v>
      </c>
      <c r="K254" s="388">
        <v>454.87</v>
      </c>
      <c r="L254" s="302">
        <f t="shared" si="12"/>
        <v>140.50024560000003</v>
      </c>
      <c r="M254" s="303"/>
      <c r="N254" s="216"/>
      <c r="O254" s="216"/>
      <c r="P254" s="216"/>
    </row>
    <row r="255" spans="1:16" x14ac:dyDescent="0.25">
      <c r="A255" s="565"/>
      <c r="B255" s="523"/>
      <c r="C255" s="31" t="s">
        <v>111</v>
      </c>
      <c r="D255" s="307">
        <v>2</v>
      </c>
      <c r="E255" s="211" t="s">
        <v>43</v>
      </c>
      <c r="F255" s="216"/>
      <c r="G255" s="211">
        <v>1E-3</v>
      </c>
      <c r="H255" s="211">
        <v>2</v>
      </c>
      <c r="I255" s="300">
        <f t="shared" si="16"/>
        <v>0.77220000000000011</v>
      </c>
      <c r="J255" s="230">
        <v>6</v>
      </c>
      <c r="K255" s="388">
        <v>454.87</v>
      </c>
      <c r="L255" s="302">
        <f t="shared" si="12"/>
        <v>702.50122800000008</v>
      </c>
      <c r="M255" s="303"/>
      <c r="N255" s="216"/>
      <c r="O255" s="216"/>
      <c r="P255" s="216"/>
    </row>
    <row r="256" spans="1:16" x14ac:dyDescent="0.25">
      <c r="A256" s="565"/>
      <c r="B256" s="523"/>
      <c r="C256" s="31" t="s">
        <v>111</v>
      </c>
      <c r="D256" s="307">
        <v>2</v>
      </c>
      <c r="E256" s="211" t="s">
        <v>44</v>
      </c>
      <c r="F256" s="216"/>
      <c r="G256" s="211">
        <v>1E-4</v>
      </c>
      <c r="H256" s="211">
        <v>4</v>
      </c>
      <c r="I256" s="300">
        <f t="shared" si="16"/>
        <v>7.7220000000000011E-2</v>
      </c>
      <c r="J256" s="230">
        <v>6</v>
      </c>
      <c r="K256" s="388">
        <v>454.87</v>
      </c>
      <c r="L256" s="302">
        <f t="shared" si="12"/>
        <v>140.50024560000003</v>
      </c>
      <c r="M256" s="303"/>
      <c r="N256" s="216"/>
      <c r="O256" s="216"/>
      <c r="P256" s="216"/>
    </row>
    <row r="257" spans="1:16" x14ac:dyDescent="0.25">
      <c r="A257" s="565">
        <v>3</v>
      </c>
      <c r="B257" s="523" t="s">
        <v>1029</v>
      </c>
      <c r="C257" s="31" t="s">
        <v>160</v>
      </c>
      <c r="D257" s="215">
        <v>3</v>
      </c>
      <c r="E257" s="211" t="s">
        <v>43</v>
      </c>
      <c r="F257" s="216"/>
      <c r="G257" s="211">
        <v>1E-3</v>
      </c>
      <c r="H257" s="211">
        <v>2</v>
      </c>
      <c r="I257" s="300">
        <f t="shared" ref="I257:I325" si="17">D257*G257*351*1.1</f>
        <v>1.1583000000000001</v>
      </c>
      <c r="J257" s="230">
        <v>6</v>
      </c>
      <c r="K257" s="388">
        <v>454.87</v>
      </c>
      <c r="L257" s="302">
        <f t="shared" si="12"/>
        <v>1053.7518420000001</v>
      </c>
      <c r="M257" s="303"/>
      <c r="N257" s="216"/>
      <c r="O257" s="216"/>
      <c r="P257" s="216"/>
    </row>
    <row r="258" spans="1:16" x14ac:dyDescent="0.25">
      <c r="A258" s="565"/>
      <c r="B258" s="523"/>
      <c r="C258" s="31" t="s">
        <v>160</v>
      </c>
      <c r="D258" s="215">
        <v>3</v>
      </c>
      <c r="E258" s="211" t="s">
        <v>44</v>
      </c>
      <c r="F258" s="216"/>
      <c r="G258" s="211">
        <v>1E-4</v>
      </c>
      <c r="H258" s="211">
        <v>4</v>
      </c>
      <c r="I258" s="300">
        <f t="shared" si="17"/>
        <v>0.11583000000000002</v>
      </c>
      <c r="J258" s="230">
        <v>6</v>
      </c>
      <c r="K258" s="388">
        <v>454.87</v>
      </c>
      <c r="L258" s="302">
        <f t="shared" si="12"/>
        <v>210.75036840000004</v>
      </c>
      <c r="M258" s="303"/>
      <c r="N258" s="216"/>
      <c r="O258" s="216"/>
      <c r="P258" s="216"/>
    </row>
    <row r="259" spans="1:16" x14ac:dyDescent="0.25">
      <c r="A259" s="565"/>
      <c r="B259" s="523"/>
      <c r="C259" s="31" t="s">
        <v>113</v>
      </c>
      <c r="D259" s="215">
        <v>3</v>
      </c>
      <c r="E259" s="211" t="s">
        <v>43</v>
      </c>
      <c r="F259" s="216"/>
      <c r="G259" s="211">
        <v>1E-3</v>
      </c>
      <c r="H259" s="211">
        <v>2</v>
      </c>
      <c r="I259" s="300">
        <f t="shared" si="17"/>
        <v>1.1583000000000001</v>
      </c>
      <c r="J259" s="230">
        <v>6</v>
      </c>
      <c r="K259" s="388">
        <v>454.87</v>
      </c>
      <c r="L259" s="302">
        <f t="shared" si="12"/>
        <v>1053.7518420000001</v>
      </c>
      <c r="M259" s="303"/>
      <c r="N259" s="216"/>
      <c r="O259" s="216"/>
      <c r="P259" s="216"/>
    </row>
    <row r="260" spans="1:16" x14ac:dyDescent="0.25">
      <c r="A260" s="565"/>
      <c r="B260" s="523"/>
      <c r="C260" s="31" t="s">
        <v>113</v>
      </c>
      <c r="D260" s="215">
        <v>3</v>
      </c>
      <c r="E260" s="211" t="s">
        <v>44</v>
      </c>
      <c r="F260" s="216"/>
      <c r="G260" s="211">
        <v>1E-4</v>
      </c>
      <c r="H260" s="211">
        <v>4</v>
      </c>
      <c r="I260" s="300">
        <f t="shared" si="17"/>
        <v>0.11583000000000002</v>
      </c>
      <c r="J260" s="230">
        <v>6</v>
      </c>
      <c r="K260" s="388">
        <v>454.87</v>
      </c>
      <c r="L260" s="302">
        <f t="shared" si="12"/>
        <v>210.75036840000004</v>
      </c>
      <c r="M260" s="303"/>
      <c r="N260" s="216"/>
      <c r="O260" s="216"/>
      <c r="P260" s="216"/>
    </row>
    <row r="261" spans="1:16" x14ac:dyDescent="0.25">
      <c r="A261" s="565"/>
      <c r="B261" s="523"/>
      <c r="C261" s="31" t="s">
        <v>114</v>
      </c>
      <c r="D261" s="215">
        <v>3</v>
      </c>
      <c r="E261" s="211" t="s">
        <v>43</v>
      </c>
      <c r="F261" s="216"/>
      <c r="G261" s="211">
        <v>6.0000000000000001E-3</v>
      </c>
      <c r="H261" s="211">
        <v>2</v>
      </c>
      <c r="I261" s="300">
        <f t="shared" si="17"/>
        <v>6.9498000000000015</v>
      </c>
      <c r="J261" s="230">
        <v>6</v>
      </c>
      <c r="K261" s="388">
        <v>454.87</v>
      </c>
      <c r="L261" s="302">
        <f t="shared" si="12"/>
        <v>6322.5110520000017</v>
      </c>
      <c r="M261" s="303"/>
      <c r="N261" s="216"/>
      <c r="O261" s="216"/>
      <c r="P261" s="216"/>
    </row>
    <row r="262" spans="1:16" x14ac:dyDescent="0.25">
      <c r="A262" s="565"/>
      <c r="B262" s="523"/>
      <c r="C262" s="31" t="s">
        <v>114</v>
      </c>
      <c r="D262" s="215">
        <v>3</v>
      </c>
      <c r="E262" s="211" t="s">
        <v>44</v>
      </c>
      <c r="F262" s="216"/>
      <c r="G262" s="211">
        <v>5.9999999999999995E-4</v>
      </c>
      <c r="H262" s="211">
        <v>4</v>
      </c>
      <c r="I262" s="300">
        <f t="shared" si="17"/>
        <v>0.69498000000000004</v>
      </c>
      <c r="J262" s="230">
        <v>6</v>
      </c>
      <c r="K262" s="388">
        <v>454.87</v>
      </c>
      <c r="L262" s="302">
        <f t="shared" si="12"/>
        <v>1264.5022104000002</v>
      </c>
      <c r="M262" s="303"/>
      <c r="N262" s="216"/>
      <c r="O262" s="216"/>
      <c r="P262" s="216"/>
    </row>
    <row r="263" spans="1:16" x14ac:dyDescent="0.25">
      <c r="A263" s="565"/>
      <c r="B263" s="523"/>
      <c r="C263" s="31" t="s">
        <v>115</v>
      </c>
      <c r="D263" s="215">
        <v>3</v>
      </c>
      <c r="E263" s="211" t="s">
        <v>43</v>
      </c>
      <c r="F263" s="216"/>
      <c r="G263" s="211">
        <v>1E-3</v>
      </c>
      <c r="H263" s="211">
        <v>2</v>
      </c>
      <c r="I263" s="300">
        <f t="shared" si="17"/>
        <v>1.1583000000000001</v>
      </c>
      <c r="J263" s="230">
        <v>6</v>
      </c>
      <c r="K263" s="388">
        <v>454.87</v>
      </c>
      <c r="L263" s="302">
        <f t="shared" ref="L263:L326" si="18">H263*I263*K263</f>
        <v>1053.7518420000001</v>
      </c>
      <c r="M263" s="303"/>
      <c r="N263" s="216"/>
      <c r="O263" s="216"/>
      <c r="P263" s="216"/>
    </row>
    <row r="264" spans="1:16" x14ac:dyDescent="0.25">
      <c r="A264" s="565"/>
      <c r="B264" s="523"/>
      <c r="C264" s="31" t="s">
        <v>115</v>
      </c>
      <c r="D264" s="215">
        <v>3</v>
      </c>
      <c r="E264" s="211" t="s">
        <v>44</v>
      </c>
      <c r="F264" s="216"/>
      <c r="G264" s="211">
        <v>1E-4</v>
      </c>
      <c r="H264" s="211">
        <v>4</v>
      </c>
      <c r="I264" s="300">
        <f t="shared" si="17"/>
        <v>0.11583000000000002</v>
      </c>
      <c r="J264" s="230">
        <v>6</v>
      </c>
      <c r="K264" s="388">
        <v>454.87</v>
      </c>
      <c r="L264" s="302">
        <f t="shared" si="18"/>
        <v>210.75036840000004</v>
      </c>
      <c r="M264" s="303"/>
      <c r="N264" s="216"/>
      <c r="O264" s="216"/>
      <c r="P264" s="216"/>
    </row>
    <row r="265" spans="1:16" x14ac:dyDescent="0.25">
      <c r="A265" s="565"/>
      <c r="B265" s="523"/>
      <c r="C265" s="31" t="s">
        <v>161</v>
      </c>
      <c r="D265" s="215">
        <v>3</v>
      </c>
      <c r="E265" s="211" t="s">
        <v>43</v>
      </c>
      <c r="F265" s="216"/>
      <c r="G265" s="211">
        <v>1E-3</v>
      </c>
      <c r="H265" s="211">
        <v>2</v>
      </c>
      <c r="I265" s="300">
        <f t="shared" si="17"/>
        <v>1.1583000000000001</v>
      </c>
      <c r="J265" s="230">
        <v>6</v>
      </c>
      <c r="K265" s="388">
        <v>454.87</v>
      </c>
      <c r="L265" s="302">
        <f t="shared" si="18"/>
        <v>1053.7518420000001</v>
      </c>
      <c r="M265" s="303"/>
      <c r="N265" s="216"/>
      <c r="O265" s="216"/>
      <c r="P265" s="216"/>
    </row>
    <row r="266" spans="1:16" x14ac:dyDescent="0.25">
      <c r="A266" s="565"/>
      <c r="B266" s="523"/>
      <c r="C266" s="31" t="s">
        <v>161</v>
      </c>
      <c r="D266" s="215">
        <v>3</v>
      </c>
      <c r="E266" s="211" t="s">
        <v>44</v>
      </c>
      <c r="F266" s="216"/>
      <c r="G266" s="211">
        <v>1E-4</v>
      </c>
      <c r="H266" s="211">
        <v>4</v>
      </c>
      <c r="I266" s="300">
        <f t="shared" si="17"/>
        <v>0.11583000000000002</v>
      </c>
      <c r="J266" s="230">
        <v>6</v>
      </c>
      <c r="K266" s="388">
        <v>454.87</v>
      </c>
      <c r="L266" s="302">
        <f t="shared" si="18"/>
        <v>210.75036840000004</v>
      </c>
      <c r="M266" s="303"/>
      <c r="N266" s="216"/>
      <c r="O266" s="216"/>
      <c r="P266" s="216"/>
    </row>
    <row r="267" spans="1:16" x14ac:dyDescent="0.25">
      <c r="A267" s="565"/>
      <c r="B267" s="523"/>
      <c r="C267" s="31" t="s">
        <v>162</v>
      </c>
      <c r="D267" s="215">
        <v>3</v>
      </c>
      <c r="E267" s="211" t="s">
        <v>43</v>
      </c>
      <c r="F267" s="216"/>
      <c r="G267" s="211">
        <v>1E-3</v>
      </c>
      <c r="H267" s="211">
        <v>2</v>
      </c>
      <c r="I267" s="300">
        <f t="shared" si="17"/>
        <v>1.1583000000000001</v>
      </c>
      <c r="J267" s="230">
        <v>6</v>
      </c>
      <c r="K267" s="388">
        <v>454.87</v>
      </c>
      <c r="L267" s="302">
        <f t="shared" si="18"/>
        <v>1053.7518420000001</v>
      </c>
      <c r="M267" s="303"/>
      <c r="N267" s="216"/>
      <c r="O267" s="216"/>
      <c r="P267" s="216"/>
    </row>
    <row r="268" spans="1:16" x14ac:dyDescent="0.25">
      <c r="A268" s="565"/>
      <c r="B268" s="523"/>
      <c r="C268" s="31" t="s">
        <v>162</v>
      </c>
      <c r="D268" s="215">
        <v>3</v>
      </c>
      <c r="E268" s="211" t="s">
        <v>44</v>
      </c>
      <c r="F268" s="216"/>
      <c r="G268" s="211">
        <v>1E-4</v>
      </c>
      <c r="H268" s="211">
        <v>4</v>
      </c>
      <c r="I268" s="300">
        <f t="shared" si="17"/>
        <v>0.11583000000000002</v>
      </c>
      <c r="J268" s="230">
        <v>6</v>
      </c>
      <c r="K268" s="388">
        <v>454.87</v>
      </c>
      <c r="L268" s="302">
        <f t="shared" si="18"/>
        <v>210.75036840000004</v>
      </c>
      <c r="M268" s="303"/>
      <c r="N268" s="216"/>
      <c r="O268" s="216"/>
      <c r="P268" s="216"/>
    </row>
    <row r="269" spans="1:16" x14ac:dyDescent="0.25">
      <c r="A269" s="565"/>
      <c r="B269" s="523"/>
      <c r="C269" s="31" t="s">
        <v>163</v>
      </c>
      <c r="D269" s="215">
        <v>6</v>
      </c>
      <c r="E269" s="211" t="s">
        <v>43</v>
      </c>
      <c r="F269" s="216"/>
      <c r="G269" s="211">
        <v>1E-3</v>
      </c>
      <c r="H269" s="211">
        <v>2</v>
      </c>
      <c r="I269" s="300">
        <f t="shared" si="17"/>
        <v>2.3166000000000002</v>
      </c>
      <c r="J269" s="230">
        <v>6</v>
      </c>
      <c r="K269" s="388">
        <v>454.87</v>
      </c>
      <c r="L269" s="302">
        <f t="shared" si="18"/>
        <v>2107.5036840000002</v>
      </c>
      <c r="M269" s="303"/>
      <c r="N269" s="216"/>
      <c r="O269" s="216"/>
      <c r="P269" s="216"/>
    </row>
    <row r="270" spans="1:16" x14ac:dyDescent="0.25">
      <c r="A270" s="565"/>
      <c r="B270" s="523"/>
      <c r="C270" s="31" t="s">
        <v>163</v>
      </c>
      <c r="D270" s="215">
        <v>6</v>
      </c>
      <c r="E270" s="211" t="s">
        <v>44</v>
      </c>
      <c r="F270" s="216"/>
      <c r="G270" s="211">
        <v>1E-4</v>
      </c>
      <c r="H270" s="211">
        <v>4</v>
      </c>
      <c r="I270" s="300">
        <f t="shared" si="17"/>
        <v>0.23166000000000003</v>
      </c>
      <c r="J270" s="230">
        <v>6</v>
      </c>
      <c r="K270" s="388">
        <v>454.87</v>
      </c>
      <c r="L270" s="302">
        <f t="shared" si="18"/>
        <v>421.50073680000008</v>
      </c>
      <c r="M270" s="303"/>
      <c r="N270" s="216"/>
      <c r="O270" s="216"/>
      <c r="P270" s="216"/>
    </row>
    <row r="271" spans="1:16" x14ac:dyDescent="0.25">
      <c r="A271" s="565"/>
      <c r="B271" s="523"/>
      <c r="C271" s="31" t="s">
        <v>164</v>
      </c>
      <c r="D271" s="215">
        <v>3</v>
      </c>
      <c r="E271" s="211" t="s">
        <v>43</v>
      </c>
      <c r="F271" s="216"/>
      <c r="G271" s="211">
        <v>1E-3</v>
      </c>
      <c r="H271" s="211">
        <v>2</v>
      </c>
      <c r="I271" s="300">
        <f t="shared" si="17"/>
        <v>1.1583000000000001</v>
      </c>
      <c r="J271" s="230">
        <v>6</v>
      </c>
      <c r="K271" s="388">
        <v>454.87</v>
      </c>
      <c r="L271" s="302">
        <f t="shared" si="18"/>
        <v>1053.7518420000001</v>
      </c>
      <c r="M271" s="303"/>
      <c r="N271" s="216"/>
      <c r="O271" s="216"/>
      <c r="P271" s="216"/>
    </row>
    <row r="272" spans="1:16" x14ac:dyDescent="0.25">
      <c r="A272" s="565"/>
      <c r="B272" s="523"/>
      <c r="C272" s="31" t="s">
        <v>164</v>
      </c>
      <c r="D272" s="215">
        <v>3</v>
      </c>
      <c r="E272" s="211" t="s">
        <v>44</v>
      </c>
      <c r="F272" s="216"/>
      <c r="G272" s="211">
        <v>1E-4</v>
      </c>
      <c r="H272" s="211">
        <v>4</v>
      </c>
      <c r="I272" s="300">
        <f t="shared" si="17"/>
        <v>0.11583000000000002</v>
      </c>
      <c r="J272" s="230">
        <v>6</v>
      </c>
      <c r="K272" s="388">
        <v>454.87</v>
      </c>
      <c r="L272" s="302">
        <f t="shared" si="18"/>
        <v>210.75036840000004</v>
      </c>
      <c r="M272" s="303"/>
      <c r="N272" s="216"/>
      <c r="O272" s="216"/>
      <c r="P272" s="216"/>
    </row>
    <row r="273" spans="1:16" x14ac:dyDescent="0.25">
      <c r="A273" s="565"/>
      <c r="B273" s="523"/>
      <c r="C273" s="31" t="s">
        <v>165</v>
      </c>
      <c r="D273" s="215">
        <v>3</v>
      </c>
      <c r="E273" s="211" t="s">
        <v>43</v>
      </c>
      <c r="F273" s="216"/>
      <c r="G273" s="211">
        <v>1E-3</v>
      </c>
      <c r="H273" s="211">
        <v>2</v>
      </c>
      <c r="I273" s="300">
        <f t="shared" si="17"/>
        <v>1.1583000000000001</v>
      </c>
      <c r="J273" s="230">
        <v>6</v>
      </c>
      <c r="K273" s="388">
        <v>454.87</v>
      </c>
      <c r="L273" s="302">
        <f t="shared" si="18"/>
        <v>1053.7518420000001</v>
      </c>
      <c r="M273" s="303"/>
      <c r="N273" s="216"/>
      <c r="O273" s="216"/>
      <c r="P273" s="216"/>
    </row>
    <row r="274" spans="1:16" x14ac:dyDescent="0.25">
      <c r="A274" s="565"/>
      <c r="B274" s="523"/>
      <c r="C274" s="31" t="s">
        <v>165</v>
      </c>
      <c r="D274" s="215">
        <v>3</v>
      </c>
      <c r="E274" s="211" t="s">
        <v>44</v>
      </c>
      <c r="F274" s="216"/>
      <c r="G274" s="211">
        <v>1E-4</v>
      </c>
      <c r="H274" s="211">
        <v>4</v>
      </c>
      <c r="I274" s="300">
        <f t="shared" si="17"/>
        <v>0.11583000000000002</v>
      </c>
      <c r="J274" s="230">
        <v>6</v>
      </c>
      <c r="K274" s="388">
        <v>454.87</v>
      </c>
      <c r="L274" s="302">
        <f t="shared" si="18"/>
        <v>210.75036840000004</v>
      </c>
      <c r="M274" s="303"/>
      <c r="N274" s="216"/>
      <c r="O274" s="216"/>
      <c r="P274" s="216"/>
    </row>
    <row r="275" spans="1:16" x14ac:dyDescent="0.25">
      <c r="A275" s="565"/>
      <c r="B275" s="523"/>
      <c r="C275" s="31" t="s">
        <v>166</v>
      </c>
      <c r="D275" s="215">
        <v>3</v>
      </c>
      <c r="E275" s="211" t="s">
        <v>43</v>
      </c>
      <c r="F275" s="216"/>
      <c r="G275" s="211">
        <v>1E-3</v>
      </c>
      <c r="H275" s="211">
        <v>2</v>
      </c>
      <c r="I275" s="300">
        <f t="shared" si="17"/>
        <v>1.1583000000000001</v>
      </c>
      <c r="J275" s="230">
        <v>6</v>
      </c>
      <c r="K275" s="388">
        <v>454.87</v>
      </c>
      <c r="L275" s="302">
        <f t="shared" si="18"/>
        <v>1053.7518420000001</v>
      </c>
      <c r="M275" s="303"/>
      <c r="N275" s="216"/>
      <c r="O275" s="216"/>
      <c r="P275" s="216"/>
    </row>
    <row r="276" spans="1:16" x14ac:dyDescent="0.25">
      <c r="A276" s="565"/>
      <c r="B276" s="523"/>
      <c r="C276" s="31" t="s">
        <v>166</v>
      </c>
      <c r="D276" s="215">
        <v>3</v>
      </c>
      <c r="E276" s="211" t="s">
        <v>44</v>
      </c>
      <c r="F276" s="216"/>
      <c r="G276" s="211">
        <v>1E-4</v>
      </c>
      <c r="H276" s="211">
        <v>4</v>
      </c>
      <c r="I276" s="300">
        <f t="shared" si="17"/>
        <v>0.11583000000000002</v>
      </c>
      <c r="J276" s="230">
        <v>6</v>
      </c>
      <c r="K276" s="388">
        <v>454.87</v>
      </c>
      <c r="L276" s="302">
        <f t="shared" si="18"/>
        <v>210.75036840000004</v>
      </c>
      <c r="M276" s="303"/>
      <c r="N276" s="216"/>
      <c r="O276" s="216"/>
      <c r="P276" s="216"/>
    </row>
    <row r="277" spans="1:16" x14ac:dyDescent="0.25">
      <c r="A277" s="565"/>
      <c r="B277" s="523"/>
      <c r="C277" s="31" t="s">
        <v>167</v>
      </c>
      <c r="D277" s="215">
        <v>2</v>
      </c>
      <c r="E277" s="211" t="s">
        <v>43</v>
      </c>
      <c r="F277" s="216"/>
      <c r="G277" s="211">
        <v>2E-3</v>
      </c>
      <c r="H277" s="211">
        <v>2</v>
      </c>
      <c r="I277" s="300">
        <f t="shared" si="17"/>
        <v>1.5444000000000002</v>
      </c>
      <c r="J277" s="230">
        <v>6</v>
      </c>
      <c r="K277" s="388">
        <v>454.87</v>
      </c>
      <c r="L277" s="302">
        <f t="shared" si="18"/>
        <v>1405.0024560000002</v>
      </c>
      <c r="M277" s="211" t="s">
        <v>55</v>
      </c>
      <c r="N277" s="211">
        <f>0.04*D277</f>
        <v>0.08</v>
      </c>
      <c r="O277" s="211">
        <v>207</v>
      </c>
      <c r="P277" s="211">
        <f t="shared" ref="P277" si="19">N277*O277</f>
        <v>16.559999999999999</v>
      </c>
    </row>
    <row r="278" spans="1:16" x14ac:dyDescent="0.25">
      <c r="A278" s="565"/>
      <c r="B278" s="523"/>
      <c r="C278" s="31" t="s">
        <v>167</v>
      </c>
      <c r="D278" s="215">
        <v>2</v>
      </c>
      <c r="E278" s="211" t="s">
        <v>44</v>
      </c>
      <c r="F278" s="216"/>
      <c r="G278" s="211">
        <v>2.0000000000000001E-4</v>
      </c>
      <c r="H278" s="211">
        <v>4</v>
      </c>
      <c r="I278" s="300">
        <f t="shared" si="17"/>
        <v>0.15444000000000002</v>
      </c>
      <c r="J278" s="230">
        <v>6</v>
      </c>
      <c r="K278" s="388">
        <v>454.87</v>
      </c>
      <c r="L278" s="302">
        <f t="shared" si="18"/>
        <v>281.00049120000006</v>
      </c>
      <c r="M278" s="303"/>
      <c r="N278" s="216"/>
      <c r="O278" s="216"/>
      <c r="P278" s="216"/>
    </row>
    <row r="279" spans="1:16" x14ac:dyDescent="0.25">
      <c r="A279" s="565"/>
      <c r="B279" s="523"/>
      <c r="C279" s="31" t="s">
        <v>168</v>
      </c>
      <c r="D279" s="215">
        <v>3</v>
      </c>
      <c r="E279" s="211" t="s">
        <v>43</v>
      </c>
      <c r="F279" s="216"/>
      <c r="G279" s="211">
        <v>2E-3</v>
      </c>
      <c r="H279" s="211">
        <v>2</v>
      </c>
      <c r="I279" s="300">
        <f t="shared" si="17"/>
        <v>2.3166000000000002</v>
      </c>
      <c r="J279" s="230">
        <v>6</v>
      </c>
      <c r="K279" s="388">
        <v>454.87</v>
      </c>
      <c r="L279" s="302">
        <f t="shared" si="18"/>
        <v>2107.5036840000002</v>
      </c>
      <c r="M279" s="303"/>
      <c r="N279" s="216"/>
      <c r="O279" s="216"/>
      <c r="P279" s="216"/>
    </row>
    <row r="280" spans="1:16" x14ac:dyDescent="0.25">
      <c r="A280" s="565"/>
      <c r="B280" s="523"/>
      <c r="C280" s="31" t="s">
        <v>168</v>
      </c>
      <c r="D280" s="215">
        <v>3</v>
      </c>
      <c r="E280" s="211" t="s">
        <v>44</v>
      </c>
      <c r="F280" s="216"/>
      <c r="G280" s="211">
        <v>2.0000000000000001E-4</v>
      </c>
      <c r="H280" s="211">
        <v>4</v>
      </c>
      <c r="I280" s="300">
        <f t="shared" si="17"/>
        <v>0.23166000000000003</v>
      </c>
      <c r="J280" s="230">
        <v>6</v>
      </c>
      <c r="K280" s="388">
        <v>454.87</v>
      </c>
      <c r="L280" s="302">
        <f t="shared" si="18"/>
        <v>421.50073680000008</v>
      </c>
      <c r="M280" s="211" t="s">
        <v>55</v>
      </c>
      <c r="N280" s="211">
        <f>0.04*D280</f>
        <v>0.12</v>
      </c>
      <c r="O280" s="211">
        <v>207</v>
      </c>
      <c r="P280" s="211">
        <f t="shared" ref="P280" si="20">N280*O280</f>
        <v>24.84</v>
      </c>
    </row>
    <row r="281" spans="1:16" x14ac:dyDescent="0.25">
      <c r="A281" s="565"/>
      <c r="B281" s="523"/>
      <c r="C281" s="31" t="s">
        <v>169</v>
      </c>
      <c r="D281" s="215">
        <v>3</v>
      </c>
      <c r="E281" s="211" t="s">
        <v>43</v>
      </c>
      <c r="F281" s="216"/>
      <c r="G281" s="211">
        <v>1E-3</v>
      </c>
      <c r="H281" s="211">
        <v>2</v>
      </c>
      <c r="I281" s="300">
        <f t="shared" si="17"/>
        <v>1.1583000000000001</v>
      </c>
      <c r="J281" s="230">
        <v>6</v>
      </c>
      <c r="K281" s="388">
        <v>454.87</v>
      </c>
      <c r="L281" s="302">
        <f t="shared" si="18"/>
        <v>1053.7518420000001</v>
      </c>
      <c r="M281" s="303"/>
      <c r="N281" s="216"/>
      <c r="O281" s="216"/>
      <c r="P281" s="216"/>
    </row>
    <row r="282" spans="1:16" x14ac:dyDescent="0.25">
      <c r="A282" s="565"/>
      <c r="B282" s="523"/>
      <c r="C282" s="31" t="s">
        <v>169</v>
      </c>
      <c r="D282" s="215">
        <v>3</v>
      </c>
      <c r="E282" s="211" t="s">
        <v>44</v>
      </c>
      <c r="F282" s="216"/>
      <c r="G282" s="211">
        <v>1E-4</v>
      </c>
      <c r="H282" s="211">
        <v>4</v>
      </c>
      <c r="I282" s="300">
        <f t="shared" si="17"/>
        <v>0.11583000000000002</v>
      </c>
      <c r="J282" s="230">
        <v>6</v>
      </c>
      <c r="K282" s="388">
        <v>454.87</v>
      </c>
      <c r="L282" s="302">
        <f t="shared" si="18"/>
        <v>210.75036840000004</v>
      </c>
      <c r="M282" s="303"/>
      <c r="N282" s="216"/>
      <c r="O282" s="216"/>
      <c r="P282" s="216"/>
    </row>
    <row r="283" spans="1:16" x14ac:dyDescent="0.25">
      <c r="A283" s="565"/>
      <c r="B283" s="523"/>
      <c r="C283" s="31" t="s">
        <v>170</v>
      </c>
      <c r="D283" s="215">
        <v>3</v>
      </c>
      <c r="E283" s="211" t="s">
        <v>43</v>
      </c>
      <c r="F283" s="216"/>
      <c r="G283" s="211">
        <v>1E-3</v>
      </c>
      <c r="H283" s="211">
        <v>2</v>
      </c>
      <c r="I283" s="300">
        <f t="shared" si="17"/>
        <v>1.1583000000000001</v>
      </c>
      <c r="J283" s="230">
        <v>6</v>
      </c>
      <c r="K283" s="388">
        <v>454.87</v>
      </c>
      <c r="L283" s="302">
        <f t="shared" si="18"/>
        <v>1053.7518420000001</v>
      </c>
      <c r="M283" s="303"/>
      <c r="N283" s="216"/>
      <c r="O283" s="216"/>
      <c r="P283" s="216"/>
    </row>
    <row r="284" spans="1:16" x14ac:dyDescent="0.25">
      <c r="A284" s="565"/>
      <c r="B284" s="523"/>
      <c r="C284" s="31" t="s">
        <v>170</v>
      </c>
      <c r="D284" s="215">
        <v>3</v>
      </c>
      <c r="E284" s="211" t="s">
        <v>44</v>
      </c>
      <c r="F284" s="216"/>
      <c r="G284" s="211">
        <v>1E-4</v>
      </c>
      <c r="H284" s="211">
        <v>4</v>
      </c>
      <c r="I284" s="300">
        <f t="shared" si="17"/>
        <v>0.11583000000000002</v>
      </c>
      <c r="J284" s="230">
        <v>6</v>
      </c>
      <c r="K284" s="388">
        <v>454.87</v>
      </c>
      <c r="L284" s="302">
        <f t="shared" si="18"/>
        <v>210.75036840000004</v>
      </c>
      <c r="M284" s="303"/>
      <c r="N284" s="216"/>
      <c r="O284" s="216"/>
      <c r="P284" s="216"/>
    </row>
    <row r="285" spans="1:16" x14ac:dyDescent="0.25">
      <c r="A285" s="565"/>
      <c r="B285" s="523"/>
      <c r="C285" s="31" t="s">
        <v>171</v>
      </c>
      <c r="D285" s="215">
        <v>3</v>
      </c>
      <c r="E285" s="211" t="s">
        <v>43</v>
      </c>
      <c r="F285" s="216"/>
      <c r="G285" s="211">
        <v>1E-3</v>
      </c>
      <c r="H285" s="211">
        <v>2</v>
      </c>
      <c r="I285" s="300">
        <f t="shared" si="17"/>
        <v>1.1583000000000001</v>
      </c>
      <c r="J285" s="230">
        <v>6</v>
      </c>
      <c r="K285" s="388">
        <v>454.87</v>
      </c>
      <c r="L285" s="302">
        <f t="shared" si="18"/>
        <v>1053.7518420000001</v>
      </c>
      <c r="M285" s="303"/>
      <c r="N285" s="216"/>
      <c r="O285" s="216"/>
      <c r="P285" s="216"/>
    </row>
    <row r="286" spans="1:16" x14ac:dyDescent="0.25">
      <c r="A286" s="565"/>
      <c r="B286" s="523"/>
      <c r="C286" s="31" t="s">
        <v>171</v>
      </c>
      <c r="D286" s="215">
        <v>3</v>
      </c>
      <c r="E286" s="211" t="s">
        <v>44</v>
      </c>
      <c r="F286" s="216"/>
      <c r="G286" s="211">
        <v>1E-4</v>
      </c>
      <c r="H286" s="211">
        <v>4</v>
      </c>
      <c r="I286" s="300">
        <f t="shared" si="17"/>
        <v>0.11583000000000002</v>
      </c>
      <c r="J286" s="230">
        <v>6</v>
      </c>
      <c r="K286" s="388">
        <v>454.87</v>
      </c>
      <c r="L286" s="302">
        <f t="shared" si="18"/>
        <v>210.75036840000004</v>
      </c>
      <c r="M286" s="303"/>
      <c r="N286" s="216"/>
      <c r="O286" s="216"/>
      <c r="P286" s="216"/>
    </row>
    <row r="287" spans="1:16" x14ac:dyDescent="0.25">
      <c r="A287" s="565"/>
      <c r="B287" s="523"/>
      <c r="C287" s="31" t="s">
        <v>172</v>
      </c>
      <c r="D287" s="215">
        <v>3</v>
      </c>
      <c r="E287" s="211" t="s">
        <v>43</v>
      </c>
      <c r="F287" s="216"/>
      <c r="G287" s="211">
        <v>1E-3</v>
      </c>
      <c r="H287" s="211">
        <v>2</v>
      </c>
      <c r="I287" s="300">
        <f t="shared" si="17"/>
        <v>1.1583000000000001</v>
      </c>
      <c r="J287" s="230">
        <v>6</v>
      </c>
      <c r="K287" s="388">
        <v>454.87</v>
      </c>
      <c r="L287" s="302">
        <f t="shared" si="18"/>
        <v>1053.7518420000001</v>
      </c>
      <c r="M287" s="303"/>
      <c r="N287" s="216"/>
      <c r="O287" s="216"/>
      <c r="P287" s="216"/>
    </row>
    <row r="288" spans="1:16" x14ac:dyDescent="0.25">
      <c r="A288" s="565"/>
      <c r="B288" s="523"/>
      <c r="C288" s="31" t="s">
        <v>172</v>
      </c>
      <c r="D288" s="215">
        <v>3</v>
      </c>
      <c r="E288" s="211" t="s">
        <v>44</v>
      </c>
      <c r="F288" s="216"/>
      <c r="G288" s="211">
        <v>1E-4</v>
      </c>
      <c r="H288" s="211">
        <v>4</v>
      </c>
      <c r="I288" s="300">
        <f t="shared" si="17"/>
        <v>0.11583000000000002</v>
      </c>
      <c r="J288" s="230">
        <v>6</v>
      </c>
      <c r="K288" s="388">
        <v>454.87</v>
      </c>
      <c r="L288" s="302">
        <f t="shared" si="18"/>
        <v>210.75036840000004</v>
      </c>
      <c r="M288" s="303"/>
      <c r="N288" s="216"/>
      <c r="O288" s="216"/>
      <c r="P288" s="216"/>
    </row>
    <row r="289" spans="1:16" x14ac:dyDescent="0.25">
      <c r="A289" s="565"/>
      <c r="B289" s="523"/>
      <c r="C289" s="31" t="s">
        <v>173</v>
      </c>
      <c r="D289" s="215">
        <v>3</v>
      </c>
      <c r="E289" s="211" t="s">
        <v>43</v>
      </c>
      <c r="F289" s="216"/>
      <c r="G289" s="211">
        <v>3.0000000000000001E-3</v>
      </c>
      <c r="H289" s="211">
        <v>2</v>
      </c>
      <c r="I289" s="300">
        <f t="shared" si="17"/>
        <v>3.4749000000000008</v>
      </c>
      <c r="J289" s="230">
        <v>6</v>
      </c>
      <c r="K289" s="388">
        <v>454.87</v>
      </c>
      <c r="L289" s="302">
        <f t="shared" si="18"/>
        <v>3161.2555260000008</v>
      </c>
      <c r="M289" s="303"/>
      <c r="N289" s="216"/>
      <c r="O289" s="216"/>
      <c r="P289" s="216"/>
    </row>
    <row r="290" spans="1:16" x14ac:dyDescent="0.25">
      <c r="A290" s="565"/>
      <c r="B290" s="523"/>
      <c r="C290" s="31" t="s">
        <v>173</v>
      </c>
      <c r="D290" s="215">
        <v>3</v>
      </c>
      <c r="E290" s="211" t="s">
        <v>44</v>
      </c>
      <c r="F290" s="216"/>
      <c r="G290" s="211">
        <v>2.9999999999999997E-4</v>
      </c>
      <c r="H290" s="211">
        <v>4</v>
      </c>
      <c r="I290" s="300">
        <f t="shared" si="17"/>
        <v>0.34749000000000002</v>
      </c>
      <c r="J290" s="230">
        <v>6</v>
      </c>
      <c r="K290" s="388">
        <v>454.87</v>
      </c>
      <c r="L290" s="302">
        <f t="shared" si="18"/>
        <v>632.2511052000001</v>
      </c>
      <c r="M290" s="303"/>
      <c r="N290" s="216"/>
      <c r="O290" s="216"/>
      <c r="P290" s="216"/>
    </row>
    <row r="291" spans="1:16" x14ac:dyDescent="0.25">
      <c r="A291" s="565"/>
      <c r="B291" s="523"/>
      <c r="C291" s="31" t="s">
        <v>174</v>
      </c>
      <c r="D291" s="215">
        <v>1</v>
      </c>
      <c r="E291" s="211" t="s">
        <v>43</v>
      </c>
      <c r="F291" s="216"/>
      <c r="G291" s="211">
        <v>1E-3</v>
      </c>
      <c r="H291" s="211">
        <v>2</v>
      </c>
      <c r="I291" s="300">
        <f t="shared" si="17"/>
        <v>0.38610000000000005</v>
      </c>
      <c r="J291" s="230">
        <v>6</v>
      </c>
      <c r="K291" s="388">
        <v>454.87</v>
      </c>
      <c r="L291" s="302">
        <f t="shared" si="18"/>
        <v>351.25061400000004</v>
      </c>
      <c r="M291" s="303"/>
      <c r="N291" s="216"/>
      <c r="O291" s="216"/>
      <c r="P291" s="216"/>
    </row>
    <row r="292" spans="1:16" x14ac:dyDescent="0.25">
      <c r="A292" s="565"/>
      <c r="B292" s="523"/>
      <c r="C292" s="31" t="s">
        <v>174</v>
      </c>
      <c r="D292" s="215">
        <v>1</v>
      </c>
      <c r="E292" s="211" t="s">
        <v>44</v>
      </c>
      <c r="F292" s="216"/>
      <c r="G292" s="211">
        <v>1E-4</v>
      </c>
      <c r="H292" s="211">
        <v>4</v>
      </c>
      <c r="I292" s="300">
        <f t="shared" si="17"/>
        <v>3.8610000000000005E-2</v>
      </c>
      <c r="J292" s="230">
        <v>6</v>
      </c>
      <c r="K292" s="388">
        <v>454.87</v>
      </c>
      <c r="L292" s="302">
        <f t="shared" si="18"/>
        <v>70.250122800000014</v>
      </c>
      <c r="M292" s="303"/>
      <c r="N292" s="216"/>
      <c r="O292" s="216"/>
      <c r="P292" s="216"/>
    </row>
    <row r="293" spans="1:16" ht="31.5" x14ac:dyDescent="0.25">
      <c r="A293" s="565"/>
      <c r="B293" s="523"/>
      <c r="C293" s="31" t="s">
        <v>135</v>
      </c>
      <c r="D293" s="215">
        <v>23</v>
      </c>
      <c r="E293" s="211" t="s">
        <v>43</v>
      </c>
      <c r="F293" s="216"/>
      <c r="G293" s="211">
        <v>1E-3</v>
      </c>
      <c r="H293" s="211">
        <v>2</v>
      </c>
      <c r="I293" s="300">
        <f t="shared" si="17"/>
        <v>8.8803000000000019</v>
      </c>
      <c r="J293" s="230">
        <v>6</v>
      </c>
      <c r="K293" s="388">
        <v>454.87</v>
      </c>
      <c r="L293" s="302">
        <f t="shared" si="18"/>
        <v>8078.7641220000014</v>
      </c>
      <c r="M293" s="303"/>
      <c r="N293" s="216"/>
      <c r="O293" s="216"/>
      <c r="P293" s="216"/>
    </row>
    <row r="294" spans="1:16" ht="31.5" x14ac:dyDescent="0.25">
      <c r="A294" s="565"/>
      <c r="B294" s="523"/>
      <c r="C294" s="31" t="s">
        <v>135</v>
      </c>
      <c r="D294" s="215">
        <v>23</v>
      </c>
      <c r="E294" s="211" t="s">
        <v>44</v>
      </c>
      <c r="F294" s="216"/>
      <c r="G294" s="211">
        <v>1E-4</v>
      </c>
      <c r="H294" s="211">
        <v>4</v>
      </c>
      <c r="I294" s="300">
        <f t="shared" si="17"/>
        <v>0.8880300000000001</v>
      </c>
      <c r="J294" s="230">
        <v>6</v>
      </c>
      <c r="K294" s="388">
        <v>454.87</v>
      </c>
      <c r="L294" s="302">
        <f t="shared" si="18"/>
        <v>1615.7528244000002</v>
      </c>
      <c r="M294" s="303"/>
      <c r="N294" s="216"/>
      <c r="O294" s="216"/>
      <c r="P294" s="216"/>
    </row>
    <row r="295" spans="1:16" ht="31.5" x14ac:dyDescent="0.25">
      <c r="A295" s="565"/>
      <c r="B295" s="523"/>
      <c r="C295" s="31" t="s">
        <v>59</v>
      </c>
      <c r="D295" s="215">
        <v>14</v>
      </c>
      <c r="E295" s="211" t="s">
        <v>43</v>
      </c>
      <c r="F295" s="216"/>
      <c r="G295" s="211">
        <v>1E-3</v>
      </c>
      <c r="H295" s="211">
        <v>2</v>
      </c>
      <c r="I295" s="300">
        <f t="shared" si="17"/>
        <v>5.4054000000000002</v>
      </c>
      <c r="J295" s="230">
        <v>6</v>
      </c>
      <c r="K295" s="388">
        <v>454.87</v>
      </c>
      <c r="L295" s="302">
        <f t="shared" si="18"/>
        <v>4917.5085960000006</v>
      </c>
      <c r="M295" s="303"/>
      <c r="N295" s="216"/>
      <c r="O295" s="216"/>
      <c r="P295" s="216"/>
    </row>
    <row r="296" spans="1:16" ht="31.5" x14ac:dyDescent="0.25">
      <c r="A296" s="565"/>
      <c r="B296" s="523"/>
      <c r="C296" s="31" t="s">
        <v>59</v>
      </c>
      <c r="D296" s="215">
        <v>14</v>
      </c>
      <c r="E296" s="211" t="s">
        <v>44</v>
      </c>
      <c r="F296" s="216"/>
      <c r="G296" s="211">
        <v>1E-4</v>
      </c>
      <c r="H296" s="211">
        <v>4</v>
      </c>
      <c r="I296" s="300">
        <f t="shared" si="17"/>
        <v>0.54054000000000002</v>
      </c>
      <c r="J296" s="230">
        <v>6</v>
      </c>
      <c r="K296" s="388">
        <v>454.87</v>
      </c>
      <c r="L296" s="302">
        <f t="shared" si="18"/>
        <v>983.50171920000003</v>
      </c>
      <c r="M296" s="303"/>
      <c r="N296" s="216"/>
      <c r="O296" s="216"/>
      <c r="P296" s="216"/>
    </row>
    <row r="297" spans="1:16" x14ac:dyDescent="0.25">
      <c r="A297" s="565"/>
      <c r="B297" s="523"/>
      <c r="C297" s="31" t="s">
        <v>136</v>
      </c>
      <c r="D297" s="215">
        <v>7</v>
      </c>
      <c r="E297" s="211" t="s">
        <v>43</v>
      </c>
      <c r="F297" s="216"/>
      <c r="G297" s="211">
        <v>1E-3</v>
      </c>
      <c r="H297" s="211">
        <v>2</v>
      </c>
      <c r="I297" s="300">
        <f t="shared" si="17"/>
        <v>2.7027000000000001</v>
      </c>
      <c r="J297" s="230">
        <v>6</v>
      </c>
      <c r="K297" s="388">
        <v>454.87</v>
      </c>
      <c r="L297" s="302">
        <f t="shared" si="18"/>
        <v>2458.7542980000003</v>
      </c>
      <c r="M297" s="303"/>
      <c r="N297" s="216"/>
      <c r="O297" s="216"/>
      <c r="P297" s="216"/>
    </row>
    <row r="298" spans="1:16" x14ac:dyDescent="0.25">
      <c r="A298" s="565"/>
      <c r="B298" s="523"/>
      <c r="C298" s="31" t="s">
        <v>136</v>
      </c>
      <c r="D298" s="215">
        <v>7</v>
      </c>
      <c r="E298" s="211" t="s">
        <v>44</v>
      </c>
      <c r="F298" s="216"/>
      <c r="G298" s="211">
        <v>1E-4</v>
      </c>
      <c r="H298" s="211">
        <v>4</v>
      </c>
      <c r="I298" s="300">
        <f t="shared" si="17"/>
        <v>0.27027000000000001</v>
      </c>
      <c r="J298" s="230">
        <v>6</v>
      </c>
      <c r="K298" s="388">
        <v>454.87</v>
      </c>
      <c r="L298" s="302">
        <f t="shared" si="18"/>
        <v>491.75085960000001</v>
      </c>
      <c r="M298" s="303"/>
      <c r="N298" s="216"/>
      <c r="O298" s="216"/>
      <c r="P298" s="216"/>
    </row>
    <row r="299" spans="1:16" x14ac:dyDescent="0.25">
      <c r="A299" s="565"/>
      <c r="B299" s="523"/>
      <c r="C299" s="31" t="s">
        <v>137</v>
      </c>
      <c r="D299" s="215">
        <v>8</v>
      </c>
      <c r="E299" s="211" t="s">
        <v>43</v>
      </c>
      <c r="F299" s="216"/>
      <c r="G299" s="211">
        <v>1E-3</v>
      </c>
      <c r="H299" s="211">
        <v>2</v>
      </c>
      <c r="I299" s="300">
        <f t="shared" si="17"/>
        <v>3.0888000000000004</v>
      </c>
      <c r="J299" s="230">
        <v>6</v>
      </c>
      <c r="K299" s="388">
        <v>454.87</v>
      </c>
      <c r="L299" s="302">
        <f t="shared" si="18"/>
        <v>2810.0049120000003</v>
      </c>
      <c r="M299" s="303"/>
      <c r="N299" s="216"/>
      <c r="O299" s="216"/>
      <c r="P299" s="216"/>
    </row>
    <row r="300" spans="1:16" x14ac:dyDescent="0.25">
      <c r="A300" s="565"/>
      <c r="B300" s="523"/>
      <c r="C300" s="31" t="s">
        <v>137</v>
      </c>
      <c r="D300" s="215">
        <v>8</v>
      </c>
      <c r="E300" s="211" t="s">
        <v>44</v>
      </c>
      <c r="F300" s="216"/>
      <c r="G300" s="211">
        <v>1E-4</v>
      </c>
      <c r="H300" s="211">
        <v>4</v>
      </c>
      <c r="I300" s="300">
        <f t="shared" si="17"/>
        <v>0.30888000000000004</v>
      </c>
      <c r="J300" s="230">
        <v>6</v>
      </c>
      <c r="K300" s="388">
        <v>454.87</v>
      </c>
      <c r="L300" s="302">
        <f t="shared" si="18"/>
        <v>562.00098240000011</v>
      </c>
      <c r="M300" s="303"/>
      <c r="N300" s="216"/>
      <c r="O300" s="216"/>
      <c r="P300" s="216"/>
    </row>
    <row r="301" spans="1:16" x14ac:dyDescent="0.25">
      <c r="A301" s="565"/>
      <c r="B301" s="523"/>
      <c r="C301" s="31" t="s">
        <v>139</v>
      </c>
      <c r="D301" s="215">
        <v>11</v>
      </c>
      <c r="E301" s="211" t="s">
        <v>43</v>
      </c>
      <c r="F301" s="216"/>
      <c r="G301" s="211">
        <v>1E-3</v>
      </c>
      <c r="H301" s="211">
        <v>2</v>
      </c>
      <c r="I301" s="300">
        <f t="shared" si="17"/>
        <v>4.2470999999999997</v>
      </c>
      <c r="J301" s="230">
        <v>6</v>
      </c>
      <c r="K301" s="388">
        <v>454.87</v>
      </c>
      <c r="L301" s="302">
        <f t="shared" si="18"/>
        <v>3863.7567539999995</v>
      </c>
      <c r="M301" s="303"/>
      <c r="N301" s="216"/>
      <c r="O301" s="216"/>
      <c r="P301" s="216"/>
    </row>
    <row r="302" spans="1:16" x14ac:dyDescent="0.25">
      <c r="A302" s="565"/>
      <c r="B302" s="523"/>
      <c r="C302" s="31" t="s">
        <v>139</v>
      </c>
      <c r="D302" s="215">
        <v>11</v>
      </c>
      <c r="E302" s="211" t="s">
        <v>44</v>
      </c>
      <c r="F302" s="216"/>
      <c r="G302" s="211">
        <v>1E-4</v>
      </c>
      <c r="H302" s="211">
        <v>4</v>
      </c>
      <c r="I302" s="300">
        <f t="shared" si="17"/>
        <v>0.42471000000000003</v>
      </c>
      <c r="J302" s="230">
        <v>6</v>
      </c>
      <c r="K302" s="388">
        <v>454.87</v>
      </c>
      <c r="L302" s="302">
        <f t="shared" si="18"/>
        <v>772.75135080000007</v>
      </c>
      <c r="M302" s="303"/>
      <c r="N302" s="216"/>
      <c r="O302" s="216"/>
      <c r="P302" s="216"/>
    </row>
    <row r="303" spans="1:16" x14ac:dyDescent="0.25">
      <c r="A303" s="565"/>
      <c r="B303" s="523"/>
      <c r="C303" s="31" t="s">
        <v>140</v>
      </c>
      <c r="D303" s="215">
        <v>3</v>
      </c>
      <c r="E303" s="211" t="s">
        <v>43</v>
      </c>
      <c r="F303" s="216"/>
      <c r="G303" s="211">
        <v>1E-3</v>
      </c>
      <c r="H303" s="211">
        <v>2</v>
      </c>
      <c r="I303" s="300">
        <f t="shared" si="17"/>
        <v>1.1583000000000001</v>
      </c>
      <c r="J303" s="230">
        <v>6</v>
      </c>
      <c r="K303" s="388">
        <v>454.87</v>
      </c>
      <c r="L303" s="302">
        <f t="shared" si="18"/>
        <v>1053.7518420000001</v>
      </c>
      <c r="M303" s="303"/>
      <c r="N303" s="216"/>
      <c r="O303" s="216"/>
      <c r="P303" s="216"/>
    </row>
    <row r="304" spans="1:16" x14ac:dyDescent="0.25">
      <c r="A304" s="565"/>
      <c r="B304" s="523"/>
      <c r="C304" s="31" t="s">
        <v>140</v>
      </c>
      <c r="D304" s="215">
        <v>3</v>
      </c>
      <c r="E304" s="211" t="s">
        <v>44</v>
      </c>
      <c r="F304" s="216"/>
      <c r="G304" s="211">
        <v>1E-4</v>
      </c>
      <c r="H304" s="211">
        <v>4</v>
      </c>
      <c r="I304" s="300">
        <f t="shared" si="17"/>
        <v>0.11583000000000002</v>
      </c>
      <c r="J304" s="230">
        <v>6</v>
      </c>
      <c r="K304" s="388">
        <v>454.87</v>
      </c>
      <c r="L304" s="302">
        <f t="shared" si="18"/>
        <v>210.75036840000004</v>
      </c>
      <c r="M304" s="303"/>
      <c r="N304" s="216"/>
      <c r="O304" s="216"/>
      <c r="P304" s="216"/>
    </row>
    <row r="305" spans="1:16" ht="31.5" x14ac:dyDescent="0.25">
      <c r="A305" s="565"/>
      <c r="B305" s="523"/>
      <c r="C305" s="31" t="s">
        <v>141</v>
      </c>
      <c r="D305" s="215">
        <v>3</v>
      </c>
      <c r="E305" s="211" t="s">
        <v>43</v>
      </c>
      <c r="F305" s="216"/>
      <c r="G305" s="211">
        <v>1E-3</v>
      </c>
      <c r="H305" s="211">
        <v>2</v>
      </c>
      <c r="I305" s="300">
        <f t="shared" si="17"/>
        <v>1.1583000000000001</v>
      </c>
      <c r="J305" s="230">
        <v>6</v>
      </c>
      <c r="K305" s="388">
        <v>454.87</v>
      </c>
      <c r="L305" s="302">
        <f t="shared" si="18"/>
        <v>1053.7518420000001</v>
      </c>
      <c r="M305" s="303"/>
      <c r="N305" s="216"/>
      <c r="O305" s="216"/>
      <c r="P305" s="216"/>
    </row>
    <row r="306" spans="1:16" ht="31.5" x14ac:dyDescent="0.25">
      <c r="A306" s="565"/>
      <c r="B306" s="523"/>
      <c r="C306" s="31" t="s">
        <v>141</v>
      </c>
      <c r="D306" s="215">
        <v>3</v>
      </c>
      <c r="E306" s="211" t="s">
        <v>44</v>
      </c>
      <c r="F306" s="216"/>
      <c r="G306" s="211">
        <v>1E-4</v>
      </c>
      <c r="H306" s="211">
        <v>4</v>
      </c>
      <c r="I306" s="300">
        <f t="shared" si="17"/>
        <v>0.11583000000000002</v>
      </c>
      <c r="J306" s="230">
        <v>6</v>
      </c>
      <c r="K306" s="388">
        <v>454.87</v>
      </c>
      <c r="L306" s="302">
        <f t="shared" si="18"/>
        <v>210.75036840000004</v>
      </c>
      <c r="M306" s="303"/>
      <c r="N306" s="216"/>
      <c r="O306" s="216"/>
      <c r="P306" s="216"/>
    </row>
    <row r="307" spans="1:16" ht="31.5" x14ac:dyDescent="0.25">
      <c r="A307" s="565"/>
      <c r="B307" s="523"/>
      <c r="C307" s="31" t="s">
        <v>175</v>
      </c>
      <c r="D307" s="215">
        <v>6</v>
      </c>
      <c r="E307" s="211" t="s">
        <v>43</v>
      </c>
      <c r="F307" s="216"/>
      <c r="G307" s="211">
        <v>1E-3</v>
      </c>
      <c r="H307" s="211">
        <v>2</v>
      </c>
      <c r="I307" s="300">
        <f t="shared" si="17"/>
        <v>2.3166000000000002</v>
      </c>
      <c r="J307" s="230">
        <v>6</v>
      </c>
      <c r="K307" s="388">
        <v>454.87</v>
      </c>
      <c r="L307" s="302">
        <f t="shared" si="18"/>
        <v>2107.5036840000002</v>
      </c>
      <c r="M307" s="303"/>
      <c r="N307" s="216"/>
      <c r="O307" s="216"/>
      <c r="P307" s="216"/>
    </row>
    <row r="308" spans="1:16" ht="31.5" x14ac:dyDescent="0.25">
      <c r="A308" s="565"/>
      <c r="B308" s="523"/>
      <c r="C308" s="31" t="s">
        <v>175</v>
      </c>
      <c r="D308" s="215">
        <v>6</v>
      </c>
      <c r="E308" s="211" t="s">
        <v>44</v>
      </c>
      <c r="F308" s="216"/>
      <c r="G308" s="211">
        <v>1E-4</v>
      </c>
      <c r="H308" s="211">
        <v>4</v>
      </c>
      <c r="I308" s="300">
        <f t="shared" si="17"/>
        <v>0.23166000000000003</v>
      </c>
      <c r="J308" s="230">
        <v>6</v>
      </c>
      <c r="K308" s="388">
        <v>454.87</v>
      </c>
      <c r="L308" s="302">
        <f t="shared" si="18"/>
        <v>421.50073680000008</v>
      </c>
      <c r="M308" s="303"/>
      <c r="N308" s="216"/>
      <c r="O308" s="216"/>
      <c r="P308" s="216"/>
    </row>
    <row r="309" spans="1:16" x14ac:dyDescent="0.25">
      <c r="A309" s="565"/>
      <c r="B309" s="523"/>
      <c r="C309" s="31" t="s">
        <v>142</v>
      </c>
      <c r="D309" s="215">
        <v>6</v>
      </c>
      <c r="E309" s="211" t="s">
        <v>43</v>
      </c>
      <c r="F309" s="216"/>
      <c r="G309" s="211">
        <v>1E-3</v>
      </c>
      <c r="H309" s="211">
        <v>2</v>
      </c>
      <c r="I309" s="300">
        <f t="shared" si="17"/>
        <v>2.3166000000000002</v>
      </c>
      <c r="J309" s="230">
        <v>6</v>
      </c>
      <c r="K309" s="388">
        <v>454.87</v>
      </c>
      <c r="L309" s="302">
        <f t="shared" si="18"/>
        <v>2107.5036840000002</v>
      </c>
      <c r="M309" s="303"/>
      <c r="N309" s="216"/>
      <c r="O309" s="216"/>
      <c r="P309" s="216"/>
    </row>
    <row r="310" spans="1:16" x14ac:dyDescent="0.25">
      <c r="A310" s="565"/>
      <c r="B310" s="523"/>
      <c r="C310" s="31" t="s">
        <v>142</v>
      </c>
      <c r="D310" s="215">
        <v>6</v>
      </c>
      <c r="E310" s="211" t="s">
        <v>44</v>
      </c>
      <c r="F310" s="216"/>
      <c r="G310" s="211">
        <v>1E-4</v>
      </c>
      <c r="H310" s="211">
        <v>4</v>
      </c>
      <c r="I310" s="300">
        <f t="shared" si="17"/>
        <v>0.23166000000000003</v>
      </c>
      <c r="J310" s="230">
        <v>6</v>
      </c>
      <c r="K310" s="388">
        <v>454.87</v>
      </c>
      <c r="L310" s="302">
        <f t="shared" si="18"/>
        <v>421.50073680000008</v>
      </c>
      <c r="M310" s="303"/>
      <c r="N310" s="216"/>
      <c r="O310" s="216"/>
      <c r="P310" s="216"/>
    </row>
    <row r="311" spans="1:16" x14ac:dyDescent="0.25">
      <c r="A311" s="565"/>
      <c r="B311" s="523"/>
      <c r="C311" s="31" t="s">
        <v>176</v>
      </c>
      <c r="D311" s="215">
        <v>1</v>
      </c>
      <c r="E311" s="211" t="s">
        <v>43</v>
      </c>
      <c r="F311" s="216"/>
      <c r="G311" s="211">
        <v>1E-3</v>
      </c>
      <c r="H311" s="211">
        <v>2</v>
      </c>
      <c r="I311" s="300">
        <f t="shared" si="17"/>
        <v>0.38610000000000005</v>
      </c>
      <c r="J311" s="230">
        <v>6</v>
      </c>
      <c r="K311" s="388">
        <v>454.87</v>
      </c>
      <c r="L311" s="302">
        <f t="shared" si="18"/>
        <v>351.25061400000004</v>
      </c>
      <c r="M311" s="303"/>
      <c r="N311" s="216"/>
      <c r="O311" s="216"/>
      <c r="P311" s="216"/>
    </row>
    <row r="312" spans="1:16" x14ac:dyDescent="0.25">
      <c r="A312" s="565"/>
      <c r="B312" s="523"/>
      <c r="C312" s="31" t="s">
        <v>176</v>
      </c>
      <c r="D312" s="215">
        <v>1</v>
      </c>
      <c r="E312" s="211" t="s">
        <v>44</v>
      </c>
      <c r="F312" s="216"/>
      <c r="G312" s="211">
        <v>1E-4</v>
      </c>
      <c r="H312" s="211">
        <v>4</v>
      </c>
      <c r="I312" s="300">
        <f t="shared" si="17"/>
        <v>3.8610000000000005E-2</v>
      </c>
      <c r="J312" s="230">
        <v>6</v>
      </c>
      <c r="K312" s="388">
        <v>454.87</v>
      </c>
      <c r="L312" s="302">
        <f t="shared" si="18"/>
        <v>70.250122800000014</v>
      </c>
      <c r="M312" s="303"/>
      <c r="N312" s="216"/>
      <c r="O312" s="216"/>
      <c r="P312" s="216"/>
    </row>
    <row r="313" spans="1:16" x14ac:dyDescent="0.25">
      <c r="A313" s="565"/>
      <c r="B313" s="523"/>
      <c r="C313" s="31" t="s">
        <v>177</v>
      </c>
      <c r="D313" s="215">
        <v>3</v>
      </c>
      <c r="E313" s="211" t="s">
        <v>43</v>
      </c>
      <c r="F313" s="216"/>
      <c r="G313" s="211">
        <v>1E-3</v>
      </c>
      <c r="H313" s="211">
        <v>2</v>
      </c>
      <c r="I313" s="300">
        <f t="shared" si="17"/>
        <v>1.1583000000000001</v>
      </c>
      <c r="J313" s="230">
        <v>6</v>
      </c>
      <c r="K313" s="388">
        <v>454.87</v>
      </c>
      <c r="L313" s="302">
        <f t="shared" si="18"/>
        <v>1053.7518420000001</v>
      </c>
      <c r="M313" s="303"/>
      <c r="N313" s="216"/>
      <c r="O313" s="216"/>
      <c r="P313" s="216"/>
    </row>
    <row r="314" spans="1:16" x14ac:dyDescent="0.25">
      <c r="A314" s="565"/>
      <c r="B314" s="523"/>
      <c r="C314" s="31" t="s">
        <v>177</v>
      </c>
      <c r="D314" s="215">
        <v>3</v>
      </c>
      <c r="E314" s="211" t="s">
        <v>44</v>
      </c>
      <c r="F314" s="216"/>
      <c r="G314" s="211">
        <v>1E-4</v>
      </c>
      <c r="H314" s="211">
        <v>4</v>
      </c>
      <c r="I314" s="300">
        <f t="shared" si="17"/>
        <v>0.11583000000000002</v>
      </c>
      <c r="J314" s="230">
        <v>6</v>
      </c>
      <c r="K314" s="388">
        <v>454.87</v>
      </c>
      <c r="L314" s="302">
        <f t="shared" si="18"/>
        <v>210.75036840000004</v>
      </c>
      <c r="M314" s="303"/>
      <c r="N314" s="216"/>
      <c r="O314" s="216"/>
      <c r="P314" s="216"/>
    </row>
    <row r="315" spans="1:16" x14ac:dyDescent="0.25">
      <c r="A315" s="565"/>
      <c r="B315" s="523"/>
      <c r="C315" s="532" t="s">
        <v>144</v>
      </c>
      <c r="D315" s="526">
        <v>3</v>
      </c>
      <c r="E315" s="566" t="s">
        <v>43</v>
      </c>
      <c r="F315" s="577"/>
      <c r="G315" s="566">
        <v>3.0000000000000001E-3</v>
      </c>
      <c r="H315" s="566">
        <v>2</v>
      </c>
      <c r="I315" s="563">
        <f>D315*G315*351*1.1</f>
        <v>3.4749000000000008</v>
      </c>
      <c r="J315" s="565">
        <v>6</v>
      </c>
      <c r="K315" s="564">
        <v>454.87</v>
      </c>
      <c r="L315" s="583">
        <f t="shared" si="18"/>
        <v>3161.2555260000008</v>
      </c>
      <c r="M315" s="211" t="s">
        <v>145</v>
      </c>
      <c r="N315" s="211">
        <v>2</v>
      </c>
      <c r="O315" s="211">
        <v>405</v>
      </c>
      <c r="P315" s="211">
        <f t="shared" ref="P315:P320" si="21">N315*O315</f>
        <v>810</v>
      </c>
    </row>
    <row r="316" spans="1:16" x14ac:dyDescent="0.25">
      <c r="A316" s="565"/>
      <c r="B316" s="523"/>
      <c r="C316" s="532"/>
      <c r="D316" s="526"/>
      <c r="E316" s="566"/>
      <c r="F316" s="577"/>
      <c r="G316" s="566"/>
      <c r="H316" s="566"/>
      <c r="I316" s="563"/>
      <c r="J316" s="565"/>
      <c r="K316" s="564"/>
      <c r="L316" s="585"/>
      <c r="M316" s="211" t="s">
        <v>146</v>
      </c>
      <c r="N316" s="211">
        <f>N315</f>
        <v>2</v>
      </c>
      <c r="O316" s="211">
        <v>175</v>
      </c>
      <c r="P316" s="211">
        <f t="shared" si="21"/>
        <v>350</v>
      </c>
    </row>
    <row r="317" spans="1:16" x14ac:dyDescent="0.25">
      <c r="A317" s="565"/>
      <c r="B317" s="523"/>
      <c r="C317" s="532"/>
      <c r="D317" s="526"/>
      <c r="E317" s="566"/>
      <c r="F317" s="577"/>
      <c r="G317" s="566"/>
      <c r="H317" s="566"/>
      <c r="I317" s="563"/>
      <c r="J317" s="565"/>
      <c r="K317" s="564"/>
      <c r="L317" s="585"/>
      <c r="M317" s="211" t="s">
        <v>147</v>
      </c>
      <c r="N317" s="211">
        <f>N316</f>
        <v>2</v>
      </c>
      <c r="O317" s="211">
        <v>560</v>
      </c>
      <c r="P317" s="211">
        <f t="shared" si="21"/>
        <v>1120</v>
      </c>
    </row>
    <row r="318" spans="1:16" x14ac:dyDescent="0.25">
      <c r="A318" s="565"/>
      <c r="B318" s="523"/>
      <c r="C318" s="532"/>
      <c r="D318" s="526"/>
      <c r="E318" s="566"/>
      <c r="F318" s="577"/>
      <c r="G318" s="566"/>
      <c r="H318" s="566"/>
      <c r="I318" s="563"/>
      <c r="J318" s="565"/>
      <c r="K318" s="564"/>
      <c r="L318" s="585"/>
      <c r="M318" s="211" t="s">
        <v>148</v>
      </c>
      <c r="N318" s="211">
        <f>N317</f>
        <v>2</v>
      </c>
      <c r="O318" s="211">
        <v>310</v>
      </c>
      <c r="P318" s="211">
        <f t="shared" si="21"/>
        <v>620</v>
      </c>
    </row>
    <row r="319" spans="1:16" x14ac:dyDescent="0.25">
      <c r="A319" s="565"/>
      <c r="B319" s="523"/>
      <c r="C319" s="532"/>
      <c r="D319" s="526"/>
      <c r="E319" s="566"/>
      <c r="F319" s="577"/>
      <c r="G319" s="566"/>
      <c r="H319" s="566"/>
      <c r="I319" s="563"/>
      <c r="J319" s="565"/>
      <c r="K319" s="564"/>
      <c r="L319" s="585"/>
      <c r="M319" s="211" t="s">
        <v>149</v>
      </c>
      <c r="N319" s="211">
        <f>N318</f>
        <v>2</v>
      </c>
      <c r="O319" s="211">
        <v>28</v>
      </c>
      <c r="P319" s="211">
        <f t="shared" si="21"/>
        <v>56</v>
      </c>
    </row>
    <row r="320" spans="1:16" ht="16.149999999999999" customHeight="1" x14ac:dyDescent="0.25">
      <c r="A320" s="565"/>
      <c r="B320" s="523"/>
      <c r="C320" s="532"/>
      <c r="D320" s="526"/>
      <c r="E320" s="566"/>
      <c r="F320" s="577"/>
      <c r="G320" s="566"/>
      <c r="H320" s="566"/>
      <c r="I320" s="563"/>
      <c r="J320" s="565"/>
      <c r="K320" s="564"/>
      <c r="L320" s="584"/>
      <c r="M320" s="211" t="s">
        <v>150</v>
      </c>
      <c r="N320" s="211">
        <f>N319</f>
        <v>2</v>
      </c>
      <c r="O320" s="211">
        <v>200</v>
      </c>
      <c r="P320" s="211">
        <f t="shared" si="21"/>
        <v>400</v>
      </c>
    </row>
    <row r="321" spans="1:16" x14ac:dyDescent="0.25">
      <c r="A321" s="565"/>
      <c r="B321" s="523"/>
      <c r="C321" s="31" t="s">
        <v>144</v>
      </c>
      <c r="D321" s="215">
        <v>3</v>
      </c>
      <c r="E321" s="211" t="s">
        <v>44</v>
      </c>
      <c r="F321" s="216"/>
      <c r="G321" s="211">
        <v>2.9999999999999997E-4</v>
      </c>
      <c r="H321" s="211">
        <v>4</v>
      </c>
      <c r="I321" s="300">
        <f t="shared" si="17"/>
        <v>0.34749000000000002</v>
      </c>
      <c r="J321" s="230">
        <v>6</v>
      </c>
      <c r="K321" s="388">
        <v>454.87</v>
      </c>
      <c r="L321" s="302">
        <f t="shared" si="18"/>
        <v>632.2511052000001</v>
      </c>
      <c r="M321" s="303"/>
      <c r="N321" s="216"/>
      <c r="O321" s="216"/>
      <c r="P321" s="216"/>
    </row>
    <row r="322" spans="1:16" x14ac:dyDescent="0.25">
      <c r="A322" s="565"/>
      <c r="B322" s="523"/>
      <c r="C322" s="31" t="s">
        <v>178</v>
      </c>
      <c r="D322" s="215">
        <v>2</v>
      </c>
      <c r="E322" s="211" t="s">
        <v>43</v>
      </c>
      <c r="F322" s="216"/>
      <c r="G322" s="211">
        <v>3.0000000000000001E-3</v>
      </c>
      <c r="H322" s="211">
        <v>2</v>
      </c>
      <c r="I322" s="300">
        <f t="shared" si="17"/>
        <v>2.3166000000000002</v>
      </c>
      <c r="J322" s="230">
        <v>6</v>
      </c>
      <c r="K322" s="388">
        <v>454.87</v>
      </c>
      <c r="L322" s="302">
        <f t="shared" si="18"/>
        <v>2107.5036840000002</v>
      </c>
      <c r="M322" s="303"/>
      <c r="N322" s="216"/>
      <c r="O322" s="216"/>
      <c r="P322" s="216"/>
    </row>
    <row r="323" spans="1:16" x14ac:dyDescent="0.25">
      <c r="A323" s="565"/>
      <c r="B323" s="523"/>
      <c r="C323" s="31" t="s">
        <v>178</v>
      </c>
      <c r="D323" s="215">
        <v>2</v>
      </c>
      <c r="E323" s="211" t="s">
        <v>44</v>
      </c>
      <c r="F323" s="216"/>
      <c r="G323" s="211">
        <v>2.9999999999999997E-4</v>
      </c>
      <c r="H323" s="211">
        <v>4</v>
      </c>
      <c r="I323" s="300">
        <f t="shared" si="17"/>
        <v>0.23166</v>
      </c>
      <c r="J323" s="230">
        <v>6</v>
      </c>
      <c r="K323" s="388">
        <v>454.87</v>
      </c>
      <c r="L323" s="302">
        <f t="shared" si="18"/>
        <v>421.50073680000003</v>
      </c>
      <c r="M323" s="303"/>
      <c r="N323" s="216"/>
      <c r="O323" s="216"/>
      <c r="P323" s="216"/>
    </row>
    <row r="324" spans="1:16" x14ac:dyDescent="0.25">
      <c r="A324" s="565"/>
      <c r="B324" s="523"/>
      <c r="C324" s="31" t="s">
        <v>151</v>
      </c>
      <c r="D324" s="215">
        <v>1</v>
      </c>
      <c r="E324" s="211" t="s">
        <v>43</v>
      </c>
      <c r="F324" s="216"/>
      <c r="G324" s="211">
        <v>5.0000000000000001E-3</v>
      </c>
      <c r="H324" s="211">
        <v>2</v>
      </c>
      <c r="I324" s="300">
        <f t="shared" si="17"/>
        <v>1.9305000000000003</v>
      </c>
      <c r="J324" s="230">
        <v>6</v>
      </c>
      <c r="K324" s="388">
        <v>454.87</v>
      </c>
      <c r="L324" s="302">
        <f t="shared" si="18"/>
        <v>1756.2530700000002</v>
      </c>
      <c r="M324" s="303"/>
      <c r="N324" s="216"/>
      <c r="O324" s="216"/>
      <c r="P324" s="216"/>
    </row>
    <row r="325" spans="1:16" x14ac:dyDescent="0.25">
      <c r="A325" s="565"/>
      <c r="B325" s="523"/>
      <c r="C325" s="31" t="s">
        <v>151</v>
      </c>
      <c r="D325" s="215">
        <v>1</v>
      </c>
      <c r="E325" s="211" t="s">
        <v>44</v>
      </c>
      <c r="F325" s="216"/>
      <c r="G325" s="211">
        <v>5.0000000000000001E-4</v>
      </c>
      <c r="H325" s="211">
        <v>4</v>
      </c>
      <c r="I325" s="300">
        <f t="shared" si="17"/>
        <v>0.19305000000000003</v>
      </c>
      <c r="J325" s="230">
        <v>6</v>
      </c>
      <c r="K325" s="388">
        <v>454.87</v>
      </c>
      <c r="L325" s="302">
        <f t="shared" si="18"/>
        <v>351.25061400000004</v>
      </c>
      <c r="M325" s="303"/>
      <c r="N325" s="216"/>
      <c r="O325" s="216"/>
      <c r="P325" s="216"/>
    </row>
    <row r="326" spans="1:16" x14ac:dyDescent="0.25">
      <c r="A326" s="565"/>
      <c r="B326" s="523"/>
      <c r="C326" s="31" t="s">
        <v>152</v>
      </c>
      <c r="D326" s="215">
        <v>1</v>
      </c>
      <c r="E326" s="211" t="s">
        <v>43</v>
      </c>
      <c r="F326" s="216"/>
      <c r="G326" s="211">
        <v>3.0000000000000001E-3</v>
      </c>
      <c r="H326" s="211">
        <v>2</v>
      </c>
      <c r="I326" s="300">
        <f t="shared" ref="I326:I388" si="22">D326*G326*351*1.1</f>
        <v>1.1583000000000001</v>
      </c>
      <c r="J326" s="230">
        <v>6</v>
      </c>
      <c r="K326" s="388">
        <v>454.87</v>
      </c>
      <c r="L326" s="302">
        <f t="shared" si="18"/>
        <v>1053.7518420000001</v>
      </c>
      <c r="M326" s="303"/>
      <c r="N326" s="216"/>
      <c r="O326" s="216"/>
      <c r="P326" s="216"/>
    </row>
    <row r="327" spans="1:16" x14ac:dyDescent="0.25">
      <c r="A327" s="565"/>
      <c r="B327" s="523"/>
      <c r="C327" s="31" t="s">
        <v>152</v>
      </c>
      <c r="D327" s="215">
        <v>1</v>
      </c>
      <c r="E327" s="211" t="s">
        <v>44</v>
      </c>
      <c r="F327" s="216"/>
      <c r="G327" s="211">
        <v>2.9999999999999997E-4</v>
      </c>
      <c r="H327" s="211">
        <v>4</v>
      </c>
      <c r="I327" s="300">
        <f t="shared" si="22"/>
        <v>0.11583</v>
      </c>
      <c r="J327" s="230">
        <v>6</v>
      </c>
      <c r="K327" s="388">
        <v>454.87</v>
      </c>
      <c r="L327" s="302">
        <f t="shared" ref="L327:L390" si="23">H327*I327*K327</f>
        <v>210.75036840000001</v>
      </c>
      <c r="M327" s="303"/>
      <c r="N327" s="216"/>
      <c r="O327" s="216"/>
      <c r="P327" s="216"/>
    </row>
    <row r="328" spans="1:16" x14ac:dyDescent="0.25">
      <c r="A328" s="565"/>
      <c r="B328" s="523"/>
      <c r="C328" s="31" t="s">
        <v>153</v>
      </c>
      <c r="D328" s="305">
        <v>0.47699999999999998</v>
      </c>
      <c r="E328" s="211" t="s">
        <v>43</v>
      </c>
      <c r="F328" s="216"/>
      <c r="G328" s="211">
        <v>2.4E-2</v>
      </c>
      <c r="H328" s="211">
        <v>2</v>
      </c>
      <c r="I328" s="300">
        <f t="shared" si="22"/>
        <v>4.4200727999999998</v>
      </c>
      <c r="J328" s="230">
        <v>6</v>
      </c>
      <c r="K328" s="388">
        <v>454.87</v>
      </c>
      <c r="L328" s="302">
        <f t="shared" si="23"/>
        <v>4021.1170290719997</v>
      </c>
      <c r="M328" s="303"/>
      <c r="N328" s="216"/>
      <c r="O328" s="216"/>
      <c r="P328" s="216"/>
    </row>
    <row r="329" spans="1:16" x14ac:dyDescent="0.25">
      <c r="A329" s="565"/>
      <c r="B329" s="523"/>
      <c r="C329" s="31" t="s">
        <v>153</v>
      </c>
      <c r="D329" s="305">
        <v>0.47699999999999998</v>
      </c>
      <c r="E329" s="211" t="s">
        <v>44</v>
      </c>
      <c r="F329" s="216"/>
      <c r="G329" s="211">
        <v>2.3999999999999998E-3</v>
      </c>
      <c r="H329" s="211">
        <v>4</v>
      </c>
      <c r="I329" s="300">
        <f t="shared" si="22"/>
        <v>0.44200727999999995</v>
      </c>
      <c r="J329" s="230">
        <v>6</v>
      </c>
      <c r="K329" s="388">
        <v>454.87</v>
      </c>
      <c r="L329" s="302">
        <f t="shared" si="23"/>
        <v>804.22340581439994</v>
      </c>
      <c r="M329" s="303"/>
      <c r="N329" s="216"/>
      <c r="O329" s="216"/>
      <c r="P329" s="216"/>
    </row>
    <row r="330" spans="1:16" x14ac:dyDescent="0.25">
      <c r="A330" s="565"/>
      <c r="B330" s="523"/>
      <c r="C330" s="31" t="s">
        <v>155</v>
      </c>
      <c r="D330" s="215">
        <v>0.29299999999999998</v>
      </c>
      <c r="E330" s="211" t="s">
        <v>43</v>
      </c>
      <c r="F330" s="216"/>
      <c r="G330" s="211">
        <v>2.4E-2</v>
      </c>
      <c r="H330" s="211">
        <v>2</v>
      </c>
      <c r="I330" s="300">
        <f t="shared" si="22"/>
        <v>2.7150552000000001</v>
      </c>
      <c r="J330" s="230">
        <v>6</v>
      </c>
      <c r="K330" s="388">
        <v>454.87</v>
      </c>
      <c r="L330" s="302">
        <f t="shared" si="23"/>
        <v>2469.9943176480001</v>
      </c>
      <c r="M330" s="303"/>
      <c r="N330" s="216"/>
      <c r="O330" s="216"/>
      <c r="P330" s="216"/>
    </row>
    <row r="331" spans="1:16" x14ac:dyDescent="0.25">
      <c r="A331" s="565"/>
      <c r="B331" s="523"/>
      <c r="C331" s="31" t="s">
        <v>155</v>
      </c>
      <c r="D331" s="215">
        <v>0.29299999999999998</v>
      </c>
      <c r="E331" s="211" t="s">
        <v>44</v>
      </c>
      <c r="F331" s="216"/>
      <c r="G331" s="211">
        <v>2.3999999999999998E-3</v>
      </c>
      <c r="H331" s="211">
        <v>4</v>
      </c>
      <c r="I331" s="300">
        <f t="shared" si="22"/>
        <v>0.27150551999999994</v>
      </c>
      <c r="J331" s="230">
        <v>6</v>
      </c>
      <c r="K331" s="388">
        <v>454.87</v>
      </c>
      <c r="L331" s="302">
        <f t="shared" si="23"/>
        <v>493.99886352959993</v>
      </c>
      <c r="M331" s="303"/>
      <c r="N331" s="216"/>
      <c r="O331" s="216"/>
      <c r="P331" s="216"/>
    </row>
    <row r="332" spans="1:16" x14ac:dyDescent="0.25">
      <c r="A332" s="565"/>
      <c r="B332" s="523"/>
      <c r="C332" s="31" t="s">
        <v>156</v>
      </c>
      <c r="D332" s="215">
        <v>0.98</v>
      </c>
      <c r="E332" s="211" t="s">
        <v>43</v>
      </c>
      <c r="F332" s="216"/>
      <c r="G332" s="211">
        <v>2.4E-2</v>
      </c>
      <c r="H332" s="211">
        <v>2</v>
      </c>
      <c r="I332" s="300">
        <f t="shared" si="22"/>
        <v>9.0810719999999989</v>
      </c>
      <c r="J332" s="230">
        <v>6</v>
      </c>
      <c r="K332" s="388">
        <v>454.87</v>
      </c>
      <c r="L332" s="302">
        <f t="shared" si="23"/>
        <v>8261.4144412799997</v>
      </c>
      <c r="M332" s="303"/>
      <c r="N332" s="216"/>
      <c r="O332" s="216"/>
      <c r="P332" s="216"/>
    </row>
    <row r="333" spans="1:16" x14ac:dyDescent="0.25">
      <c r="A333" s="565"/>
      <c r="B333" s="523"/>
      <c r="C333" s="31" t="s">
        <v>156</v>
      </c>
      <c r="D333" s="215">
        <v>0.98</v>
      </c>
      <c r="E333" s="211" t="s">
        <v>44</v>
      </c>
      <c r="F333" s="216"/>
      <c r="G333" s="211">
        <v>2.3999999999999998E-3</v>
      </c>
      <c r="H333" s="211">
        <v>4</v>
      </c>
      <c r="I333" s="300">
        <f t="shared" si="22"/>
        <v>0.9081072</v>
      </c>
      <c r="J333" s="230">
        <v>6</v>
      </c>
      <c r="K333" s="388">
        <v>454.87</v>
      </c>
      <c r="L333" s="302">
        <f t="shared" si="23"/>
        <v>1652.282888256</v>
      </c>
      <c r="M333" s="303"/>
      <c r="N333" s="216"/>
      <c r="O333" s="216"/>
      <c r="P333" s="216"/>
    </row>
    <row r="334" spans="1:16" x14ac:dyDescent="0.25">
      <c r="A334" s="565"/>
      <c r="B334" s="523"/>
      <c r="C334" s="31" t="s">
        <v>158</v>
      </c>
      <c r="D334" s="306">
        <v>0.2</v>
      </c>
      <c r="E334" s="211" t="s">
        <v>43</v>
      </c>
      <c r="F334" s="216"/>
      <c r="G334" s="211">
        <v>2.4E-2</v>
      </c>
      <c r="H334" s="211">
        <v>2</v>
      </c>
      <c r="I334" s="300">
        <f t="shared" si="22"/>
        <v>1.8532800000000003</v>
      </c>
      <c r="J334" s="230">
        <v>6</v>
      </c>
      <c r="K334" s="388">
        <v>454.87</v>
      </c>
      <c r="L334" s="302">
        <f t="shared" si="23"/>
        <v>1686.0029472000003</v>
      </c>
      <c r="M334" s="303"/>
      <c r="N334" s="216"/>
      <c r="O334" s="216"/>
      <c r="P334" s="216"/>
    </row>
    <row r="335" spans="1:16" x14ac:dyDescent="0.25">
      <c r="A335" s="565"/>
      <c r="B335" s="523"/>
      <c r="C335" s="31" t="s">
        <v>158</v>
      </c>
      <c r="D335" s="306">
        <v>0.2</v>
      </c>
      <c r="E335" s="211" t="s">
        <v>44</v>
      </c>
      <c r="F335" s="216"/>
      <c r="G335" s="211">
        <v>2.3999999999999998E-3</v>
      </c>
      <c r="H335" s="211">
        <v>4</v>
      </c>
      <c r="I335" s="300">
        <f t="shared" si="22"/>
        <v>0.18532799999999999</v>
      </c>
      <c r="J335" s="230">
        <v>6</v>
      </c>
      <c r="K335" s="388">
        <v>454.87</v>
      </c>
      <c r="L335" s="302">
        <f t="shared" si="23"/>
        <v>337.20058943999999</v>
      </c>
      <c r="M335" s="303"/>
      <c r="N335" s="216"/>
      <c r="O335" s="216"/>
      <c r="P335" s="216"/>
    </row>
    <row r="336" spans="1:16" x14ac:dyDescent="0.25">
      <c r="A336" s="565"/>
      <c r="B336" s="523"/>
      <c r="C336" s="31" t="s">
        <v>159</v>
      </c>
      <c r="D336" s="306">
        <v>0.1</v>
      </c>
      <c r="E336" s="211" t="s">
        <v>43</v>
      </c>
      <c r="F336" s="216"/>
      <c r="G336" s="211">
        <v>2.4E-2</v>
      </c>
      <c r="H336" s="211">
        <v>2</v>
      </c>
      <c r="I336" s="300">
        <f t="shared" si="22"/>
        <v>0.92664000000000013</v>
      </c>
      <c r="J336" s="230">
        <v>6</v>
      </c>
      <c r="K336" s="388">
        <v>454.87</v>
      </c>
      <c r="L336" s="302">
        <f t="shared" si="23"/>
        <v>843.00147360000017</v>
      </c>
      <c r="M336" s="303"/>
      <c r="N336" s="216"/>
      <c r="O336" s="216"/>
      <c r="P336" s="216"/>
    </row>
    <row r="337" spans="1:16" x14ac:dyDescent="0.25">
      <c r="A337" s="565"/>
      <c r="B337" s="523"/>
      <c r="C337" s="31" t="s">
        <v>159</v>
      </c>
      <c r="D337" s="306">
        <v>0.1</v>
      </c>
      <c r="E337" s="211" t="s">
        <v>44</v>
      </c>
      <c r="F337" s="216"/>
      <c r="G337" s="211">
        <v>2.3999999999999998E-3</v>
      </c>
      <c r="H337" s="211">
        <v>4</v>
      </c>
      <c r="I337" s="300">
        <f t="shared" si="22"/>
        <v>9.2663999999999996E-2</v>
      </c>
      <c r="J337" s="230">
        <v>6</v>
      </c>
      <c r="K337" s="388">
        <v>454.87</v>
      </c>
      <c r="L337" s="302">
        <f t="shared" si="23"/>
        <v>168.60029471999999</v>
      </c>
      <c r="M337" s="303"/>
      <c r="N337" s="216"/>
      <c r="O337" s="216"/>
      <c r="P337" s="216"/>
    </row>
    <row r="338" spans="1:16" x14ac:dyDescent="0.25">
      <c r="A338" s="565"/>
      <c r="B338" s="523"/>
      <c r="C338" s="31" t="s">
        <v>109</v>
      </c>
      <c r="D338" s="307">
        <v>3</v>
      </c>
      <c r="E338" s="211" t="s">
        <v>43</v>
      </c>
      <c r="F338" s="216"/>
      <c r="G338" s="211">
        <v>1E-3</v>
      </c>
      <c r="H338" s="211">
        <v>2</v>
      </c>
      <c r="I338" s="300">
        <f t="shared" si="22"/>
        <v>1.1583000000000001</v>
      </c>
      <c r="J338" s="230">
        <v>6</v>
      </c>
      <c r="K338" s="388">
        <v>454.87</v>
      </c>
      <c r="L338" s="302">
        <f t="shared" si="23"/>
        <v>1053.7518420000001</v>
      </c>
      <c r="M338" s="303"/>
      <c r="N338" s="216"/>
      <c r="O338" s="216"/>
      <c r="P338" s="216"/>
    </row>
    <row r="339" spans="1:16" x14ac:dyDescent="0.25">
      <c r="A339" s="565"/>
      <c r="B339" s="523"/>
      <c r="C339" s="31" t="s">
        <v>109</v>
      </c>
      <c r="D339" s="307">
        <v>3</v>
      </c>
      <c r="E339" s="211" t="s">
        <v>44</v>
      </c>
      <c r="F339" s="216"/>
      <c r="G339" s="211">
        <v>1E-4</v>
      </c>
      <c r="H339" s="211">
        <v>4</v>
      </c>
      <c r="I339" s="300">
        <f t="shared" si="22"/>
        <v>0.11583000000000002</v>
      </c>
      <c r="J339" s="230">
        <v>6</v>
      </c>
      <c r="K339" s="388">
        <v>454.87</v>
      </c>
      <c r="L339" s="302">
        <f t="shared" si="23"/>
        <v>210.75036840000004</v>
      </c>
      <c r="M339" s="303"/>
      <c r="N339" s="216"/>
      <c r="O339" s="216"/>
      <c r="P339" s="216"/>
    </row>
    <row r="340" spans="1:16" x14ac:dyDescent="0.25">
      <c r="A340" s="565"/>
      <c r="B340" s="523"/>
      <c r="C340" s="31" t="s">
        <v>110</v>
      </c>
      <c r="D340" s="307">
        <v>3</v>
      </c>
      <c r="E340" s="211" t="s">
        <v>43</v>
      </c>
      <c r="F340" s="216"/>
      <c r="G340" s="211">
        <v>1E-3</v>
      </c>
      <c r="H340" s="211">
        <v>2</v>
      </c>
      <c r="I340" s="300">
        <f t="shared" si="22"/>
        <v>1.1583000000000001</v>
      </c>
      <c r="J340" s="230">
        <v>6</v>
      </c>
      <c r="K340" s="388">
        <v>454.87</v>
      </c>
      <c r="L340" s="302">
        <f t="shared" si="23"/>
        <v>1053.7518420000001</v>
      </c>
      <c r="M340" s="303"/>
      <c r="N340" s="216"/>
      <c r="O340" s="216"/>
      <c r="P340" s="216"/>
    </row>
    <row r="341" spans="1:16" x14ac:dyDescent="0.25">
      <c r="A341" s="565"/>
      <c r="B341" s="523"/>
      <c r="C341" s="31" t="s">
        <v>110</v>
      </c>
      <c r="D341" s="307">
        <v>3</v>
      </c>
      <c r="E341" s="211" t="s">
        <v>44</v>
      </c>
      <c r="F341" s="216"/>
      <c r="G341" s="211">
        <v>1E-4</v>
      </c>
      <c r="H341" s="211">
        <v>4</v>
      </c>
      <c r="I341" s="300">
        <f t="shared" si="22"/>
        <v>0.11583000000000002</v>
      </c>
      <c r="J341" s="230">
        <v>6</v>
      </c>
      <c r="K341" s="388">
        <v>454.87</v>
      </c>
      <c r="L341" s="302">
        <f t="shared" si="23"/>
        <v>210.75036840000004</v>
      </c>
      <c r="M341" s="303"/>
      <c r="N341" s="216"/>
      <c r="O341" s="216"/>
      <c r="P341" s="216"/>
    </row>
    <row r="342" spans="1:16" x14ac:dyDescent="0.25">
      <c r="A342" s="565"/>
      <c r="B342" s="523"/>
      <c r="C342" s="31" t="s">
        <v>111</v>
      </c>
      <c r="D342" s="307">
        <v>3</v>
      </c>
      <c r="E342" s="211" t="s">
        <v>43</v>
      </c>
      <c r="F342" s="216"/>
      <c r="G342" s="211">
        <v>1E-3</v>
      </c>
      <c r="H342" s="211">
        <v>2</v>
      </c>
      <c r="I342" s="300">
        <f t="shared" si="22"/>
        <v>1.1583000000000001</v>
      </c>
      <c r="J342" s="230">
        <v>6</v>
      </c>
      <c r="K342" s="388">
        <v>454.87</v>
      </c>
      <c r="L342" s="302">
        <f t="shared" si="23"/>
        <v>1053.7518420000001</v>
      </c>
      <c r="M342" s="303"/>
      <c r="N342" s="216"/>
      <c r="O342" s="216"/>
      <c r="P342" s="216"/>
    </row>
    <row r="343" spans="1:16" x14ac:dyDescent="0.25">
      <c r="A343" s="565"/>
      <c r="B343" s="523"/>
      <c r="C343" s="31" t="s">
        <v>111</v>
      </c>
      <c r="D343" s="307">
        <v>3</v>
      </c>
      <c r="E343" s="211" t="s">
        <v>44</v>
      </c>
      <c r="F343" s="216"/>
      <c r="G343" s="211">
        <v>1E-4</v>
      </c>
      <c r="H343" s="211">
        <v>4</v>
      </c>
      <c r="I343" s="300">
        <f t="shared" si="22"/>
        <v>0.11583000000000002</v>
      </c>
      <c r="J343" s="230">
        <v>6</v>
      </c>
      <c r="K343" s="388">
        <v>454.87</v>
      </c>
      <c r="L343" s="302">
        <f t="shared" si="23"/>
        <v>210.75036840000004</v>
      </c>
      <c r="M343" s="303"/>
      <c r="N343" s="216"/>
      <c r="O343" s="216"/>
      <c r="P343" s="216"/>
    </row>
    <row r="344" spans="1:16" x14ac:dyDescent="0.25">
      <c r="A344" s="565">
        <v>4</v>
      </c>
      <c r="B344" s="523" t="s">
        <v>1031</v>
      </c>
      <c r="C344" s="31" t="s">
        <v>164</v>
      </c>
      <c r="D344" s="215">
        <v>4</v>
      </c>
      <c r="E344" s="211" t="s">
        <v>43</v>
      </c>
      <c r="F344" s="216"/>
      <c r="G344" s="211">
        <v>1E-3</v>
      </c>
      <c r="H344" s="211">
        <v>2</v>
      </c>
      <c r="I344" s="300">
        <f t="shared" si="22"/>
        <v>1.5444000000000002</v>
      </c>
      <c r="J344" s="230">
        <v>6</v>
      </c>
      <c r="K344" s="388">
        <v>454.87</v>
      </c>
      <c r="L344" s="302">
        <f t="shared" si="23"/>
        <v>1405.0024560000002</v>
      </c>
      <c r="M344" s="303"/>
      <c r="N344" s="216"/>
      <c r="O344" s="216"/>
      <c r="P344" s="26"/>
    </row>
    <row r="345" spans="1:16" x14ac:dyDescent="0.25">
      <c r="A345" s="565"/>
      <c r="B345" s="523"/>
      <c r="C345" s="31" t="s">
        <v>164</v>
      </c>
      <c r="D345" s="215">
        <v>4</v>
      </c>
      <c r="E345" s="211" t="s">
        <v>44</v>
      </c>
      <c r="F345" s="216"/>
      <c r="G345" s="211">
        <v>1E-4</v>
      </c>
      <c r="H345" s="211">
        <v>4</v>
      </c>
      <c r="I345" s="300">
        <f t="shared" si="22"/>
        <v>0.15444000000000002</v>
      </c>
      <c r="J345" s="230">
        <v>6</v>
      </c>
      <c r="K345" s="388">
        <v>454.87</v>
      </c>
      <c r="L345" s="302">
        <f t="shared" si="23"/>
        <v>281.00049120000006</v>
      </c>
      <c r="M345" s="303"/>
      <c r="N345" s="216"/>
      <c r="O345" s="216"/>
      <c r="P345" s="26"/>
    </row>
    <row r="346" spans="1:16" ht="15" customHeight="1" x14ac:dyDescent="0.25">
      <c r="A346" s="565"/>
      <c r="B346" s="523"/>
      <c r="C346" s="31" t="s">
        <v>179</v>
      </c>
      <c r="D346" s="215">
        <v>4</v>
      </c>
      <c r="E346" s="211" t="s">
        <v>43</v>
      </c>
      <c r="F346" s="216"/>
      <c r="G346" s="211">
        <v>1E-3</v>
      </c>
      <c r="H346" s="211">
        <v>2</v>
      </c>
      <c r="I346" s="300">
        <f t="shared" si="22"/>
        <v>1.5444000000000002</v>
      </c>
      <c r="J346" s="230">
        <v>6</v>
      </c>
      <c r="K346" s="388">
        <v>454.87</v>
      </c>
      <c r="L346" s="302">
        <f t="shared" si="23"/>
        <v>1405.0024560000002</v>
      </c>
      <c r="M346" s="303"/>
      <c r="N346" s="216"/>
      <c r="O346" s="216"/>
      <c r="P346" s="26"/>
    </row>
    <row r="347" spans="1:16" ht="15" customHeight="1" x14ac:dyDescent="0.25">
      <c r="A347" s="565"/>
      <c r="B347" s="523"/>
      <c r="C347" s="31" t="s">
        <v>179</v>
      </c>
      <c r="D347" s="215">
        <v>4</v>
      </c>
      <c r="E347" s="211" t="s">
        <v>44</v>
      </c>
      <c r="F347" s="216"/>
      <c r="G347" s="211">
        <v>1E-4</v>
      </c>
      <c r="H347" s="211">
        <v>4</v>
      </c>
      <c r="I347" s="300">
        <f t="shared" si="22"/>
        <v>0.15444000000000002</v>
      </c>
      <c r="J347" s="230">
        <v>6</v>
      </c>
      <c r="K347" s="388">
        <v>454.87</v>
      </c>
      <c r="L347" s="302">
        <f t="shared" si="23"/>
        <v>281.00049120000006</v>
      </c>
      <c r="M347" s="303"/>
      <c r="N347" s="216"/>
      <c r="O347" s="216"/>
      <c r="P347" s="26"/>
    </row>
    <row r="348" spans="1:16" x14ac:dyDescent="0.25">
      <c r="A348" s="565"/>
      <c r="B348" s="523"/>
      <c r="C348" s="31" t="s">
        <v>180</v>
      </c>
      <c r="D348" s="215">
        <v>4</v>
      </c>
      <c r="E348" s="211" t="s">
        <v>43</v>
      </c>
      <c r="F348" s="216"/>
      <c r="G348" s="211">
        <v>1E-3</v>
      </c>
      <c r="H348" s="211">
        <v>2</v>
      </c>
      <c r="I348" s="300">
        <f t="shared" si="22"/>
        <v>1.5444000000000002</v>
      </c>
      <c r="J348" s="230">
        <v>6</v>
      </c>
      <c r="K348" s="388">
        <v>454.87</v>
      </c>
      <c r="L348" s="302">
        <f t="shared" si="23"/>
        <v>1405.0024560000002</v>
      </c>
      <c r="M348" s="303"/>
      <c r="N348" s="216"/>
      <c r="O348" s="216"/>
      <c r="P348" s="26"/>
    </row>
    <row r="349" spans="1:16" x14ac:dyDescent="0.25">
      <c r="A349" s="565"/>
      <c r="B349" s="523"/>
      <c r="C349" s="31" t="s">
        <v>180</v>
      </c>
      <c r="D349" s="215">
        <v>4</v>
      </c>
      <c r="E349" s="211" t="s">
        <v>44</v>
      </c>
      <c r="F349" s="216"/>
      <c r="G349" s="211">
        <v>1E-4</v>
      </c>
      <c r="H349" s="211">
        <v>4</v>
      </c>
      <c r="I349" s="300">
        <f t="shared" si="22"/>
        <v>0.15444000000000002</v>
      </c>
      <c r="J349" s="230">
        <v>6</v>
      </c>
      <c r="K349" s="388">
        <v>454.87</v>
      </c>
      <c r="L349" s="302">
        <f t="shared" si="23"/>
        <v>281.00049120000006</v>
      </c>
      <c r="M349" s="303"/>
      <c r="N349" s="216"/>
      <c r="O349" s="216"/>
      <c r="P349" s="26"/>
    </row>
    <row r="350" spans="1:16" x14ac:dyDescent="0.25">
      <c r="A350" s="565"/>
      <c r="B350" s="523"/>
      <c r="C350" s="31" t="s">
        <v>181</v>
      </c>
      <c r="D350" s="215">
        <v>4</v>
      </c>
      <c r="E350" s="211" t="s">
        <v>43</v>
      </c>
      <c r="F350" s="216"/>
      <c r="G350" s="211">
        <v>1E-3</v>
      </c>
      <c r="H350" s="211">
        <v>2</v>
      </c>
      <c r="I350" s="300">
        <f t="shared" si="22"/>
        <v>1.5444000000000002</v>
      </c>
      <c r="J350" s="230">
        <v>6</v>
      </c>
      <c r="K350" s="388">
        <v>454.87</v>
      </c>
      <c r="L350" s="302">
        <f t="shared" si="23"/>
        <v>1405.0024560000002</v>
      </c>
      <c r="M350" s="303"/>
      <c r="N350" s="216"/>
      <c r="O350" s="216"/>
      <c r="P350" s="26"/>
    </row>
    <row r="351" spans="1:16" x14ac:dyDescent="0.25">
      <c r="A351" s="565"/>
      <c r="B351" s="523"/>
      <c r="C351" s="31" t="s">
        <v>181</v>
      </c>
      <c r="D351" s="215">
        <v>4</v>
      </c>
      <c r="E351" s="211" t="s">
        <v>44</v>
      </c>
      <c r="F351" s="216"/>
      <c r="G351" s="211">
        <v>1E-4</v>
      </c>
      <c r="H351" s="211">
        <v>4</v>
      </c>
      <c r="I351" s="300">
        <f t="shared" si="22"/>
        <v>0.15444000000000002</v>
      </c>
      <c r="J351" s="230">
        <v>6</v>
      </c>
      <c r="K351" s="388">
        <v>454.87</v>
      </c>
      <c r="L351" s="302">
        <f t="shared" si="23"/>
        <v>281.00049120000006</v>
      </c>
      <c r="M351" s="303"/>
      <c r="N351" s="216"/>
      <c r="O351" s="216"/>
      <c r="P351" s="26"/>
    </row>
    <row r="352" spans="1:16" x14ac:dyDescent="0.25">
      <c r="A352" s="565"/>
      <c r="B352" s="523"/>
      <c r="C352" s="31" t="s">
        <v>182</v>
      </c>
      <c r="D352" s="215">
        <v>4</v>
      </c>
      <c r="E352" s="211" t="s">
        <v>43</v>
      </c>
      <c r="F352" s="216"/>
      <c r="G352" s="211">
        <v>1E-3</v>
      </c>
      <c r="H352" s="211">
        <v>2</v>
      </c>
      <c r="I352" s="300">
        <f t="shared" si="22"/>
        <v>1.5444000000000002</v>
      </c>
      <c r="J352" s="230">
        <v>6</v>
      </c>
      <c r="K352" s="388">
        <v>454.87</v>
      </c>
      <c r="L352" s="302">
        <f t="shared" si="23"/>
        <v>1405.0024560000002</v>
      </c>
      <c r="M352" s="303"/>
      <c r="N352" s="216"/>
      <c r="O352" s="216"/>
      <c r="P352" s="26"/>
    </row>
    <row r="353" spans="1:16" x14ac:dyDescent="0.25">
      <c r="A353" s="565"/>
      <c r="B353" s="523"/>
      <c r="C353" s="31" t="s">
        <v>182</v>
      </c>
      <c r="D353" s="215">
        <v>4</v>
      </c>
      <c r="E353" s="211" t="s">
        <v>44</v>
      </c>
      <c r="F353" s="216"/>
      <c r="G353" s="211">
        <v>1E-4</v>
      </c>
      <c r="H353" s="211">
        <v>4</v>
      </c>
      <c r="I353" s="300">
        <f t="shared" si="22"/>
        <v>0.15444000000000002</v>
      </c>
      <c r="J353" s="230">
        <v>6</v>
      </c>
      <c r="K353" s="388">
        <v>454.87</v>
      </c>
      <c r="L353" s="302">
        <f t="shared" si="23"/>
        <v>281.00049120000006</v>
      </c>
      <c r="M353" s="303"/>
      <c r="N353" s="216"/>
      <c r="O353" s="216"/>
      <c r="P353" s="26"/>
    </row>
    <row r="354" spans="1:16" x14ac:dyDescent="0.25">
      <c r="A354" s="565"/>
      <c r="B354" s="523"/>
      <c r="C354" s="31" t="s">
        <v>183</v>
      </c>
      <c r="D354" s="215">
        <v>4</v>
      </c>
      <c r="E354" s="211" t="s">
        <v>43</v>
      </c>
      <c r="F354" s="216"/>
      <c r="G354" s="211">
        <v>6.0000000000000001E-3</v>
      </c>
      <c r="H354" s="211">
        <v>2</v>
      </c>
      <c r="I354" s="300">
        <f t="shared" si="22"/>
        <v>9.2664000000000009</v>
      </c>
      <c r="J354" s="230">
        <v>6</v>
      </c>
      <c r="K354" s="388">
        <v>454.87</v>
      </c>
      <c r="L354" s="302">
        <f t="shared" si="23"/>
        <v>8430.014736000001</v>
      </c>
      <c r="M354" s="303"/>
      <c r="N354" s="216"/>
      <c r="O354" s="216"/>
      <c r="P354" s="26"/>
    </row>
    <row r="355" spans="1:16" x14ac:dyDescent="0.25">
      <c r="A355" s="565"/>
      <c r="B355" s="523"/>
      <c r="C355" s="31" t="s">
        <v>183</v>
      </c>
      <c r="D355" s="215">
        <v>4</v>
      </c>
      <c r="E355" s="211" t="s">
        <v>44</v>
      </c>
      <c r="F355" s="216"/>
      <c r="G355" s="211">
        <v>5.9999999999999995E-4</v>
      </c>
      <c r="H355" s="211">
        <v>4</v>
      </c>
      <c r="I355" s="300">
        <f t="shared" si="22"/>
        <v>0.92664000000000002</v>
      </c>
      <c r="J355" s="230">
        <v>6</v>
      </c>
      <c r="K355" s="388">
        <v>454.87</v>
      </c>
      <c r="L355" s="302">
        <f t="shared" si="23"/>
        <v>1686.0029472000001</v>
      </c>
      <c r="M355" s="303"/>
      <c r="N355" s="216"/>
      <c r="O355" s="216"/>
      <c r="P355" s="26"/>
    </row>
    <row r="356" spans="1:16" x14ac:dyDescent="0.25">
      <c r="A356" s="565"/>
      <c r="B356" s="523"/>
      <c r="C356" s="31" t="s">
        <v>184</v>
      </c>
      <c r="D356" s="215">
        <v>4</v>
      </c>
      <c r="E356" s="211" t="s">
        <v>43</v>
      </c>
      <c r="F356" s="216"/>
      <c r="G356" s="211">
        <v>3.0000000000000001E-3</v>
      </c>
      <c r="H356" s="211">
        <v>2</v>
      </c>
      <c r="I356" s="300">
        <f t="shared" si="22"/>
        <v>4.6332000000000004</v>
      </c>
      <c r="J356" s="230">
        <v>6</v>
      </c>
      <c r="K356" s="388">
        <v>454.87</v>
      </c>
      <c r="L356" s="302">
        <f t="shared" si="23"/>
        <v>4215.0073680000005</v>
      </c>
      <c r="M356" s="303"/>
      <c r="N356" s="216"/>
      <c r="O356" s="216"/>
      <c r="P356" s="26"/>
    </row>
    <row r="357" spans="1:16" x14ac:dyDescent="0.25">
      <c r="A357" s="565"/>
      <c r="B357" s="523"/>
      <c r="C357" s="31" t="s">
        <v>184</v>
      </c>
      <c r="D357" s="215">
        <v>4</v>
      </c>
      <c r="E357" s="211" t="s">
        <v>44</v>
      </c>
      <c r="F357" s="216"/>
      <c r="G357" s="211">
        <v>2.9999999999999997E-4</v>
      </c>
      <c r="H357" s="211">
        <v>4</v>
      </c>
      <c r="I357" s="300">
        <f t="shared" si="22"/>
        <v>0.46332000000000001</v>
      </c>
      <c r="J357" s="230">
        <v>6</v>
      </c>
      <c r="K357" s="388">
        <v>454.87</v>
      </c>
      <c r="L357" s="302">
        <f t="shared" si="23"/>
        <v>843.00147360000005</v>
      </c>
      <c r="M357" s="303"/>
      <c r="N357" s="216"/>
      <c r="O357" s="216"/>
      <c r="P357" s="26"/>
    </row>
    <row r="358" spans="1:16" x14ac:dyDescent="0.25">
      <c r="A358" s="565"/>
      <c r="B358" s="523"/>
      <c r="C358" s="31" t="s">
        <v>185</v>
      </c>
      <c r="D358" s="215">
        <v>4</v>
      </c>
      <c r="E358" s="211" t="s">
        <v>43</v>
      </c>
      <c r="F358" s="216"/>
      <c r="G358" s="211">
        <v>3.0000000000000001E-3</v>
      </c>
      <c r="H358" s="211">
        <v>2</v>
      </c>
      <c r="I358" s="300">
        <f t="shared" si="22"/>
        <v>4.6332000000000004</v>
      </c>
      <c r="J358" s="230">
        <v>6</v>
      </c>
      <c r="K358" s="388">
        <v>454.87</v>
      </c>
      <c r="L358" s="302">
        <f t="shared" si="23"/>
        <v>4215.0073680000005</v>
      </c>
      <c r="M358" s="303"/>
      <c r="N358" s="216"/>
      <c r="O358" s="216"/>
      <c r="P358" s="26"/>
    </row>
    <row r="359" spans="1:16" x14ac:dyDescent="0.25">
      <c r="A359" s="565"/>
      <c r="B359" s="523"/>
      <c r="C359" s="31" t="s">
        <v>185</v>
      </c>
      <c r="D359" s="215">
        <v>4</v>
      </c>
      <c r="E359" s="211" t="s">
        <v>44</v>
      </c>
      <c r="F359" s="216"/>
      <c r="G359" s="211">
        <v>2.9999999999999997E-4</v>
      </c>
      <c r="H359" s="211">
        <v>4</v>
      </c>
      <c r="I359" s="300">
        <f t="shared" si="22"/>
        <v>0.46332000000000001</v>
      </c>
      <c r="J359" s="230">
        <v>6</v>
      </c>
      <c r="K359" s="388">
        <v>454.87</v>
      </c>
      <c r="L359" s="302">
        <f t="shared" si="23"/>
        <v>843.00147360000005</v>
      </c>
      <c r="M359" s="303"/>
      <c r="N359" s="216"/>
      <c r="O359" s="216"/>
      <c r="P359" s="26"/>
    </row>
    <row r="360" spans="1:16" x14ac:dyDescent="0.25">
      <c r="A360" s="565"/>
      <c r="B360" s="523"/>
      <c r="C360" s="31" t="s">
        <v>186</v>
      </c>
      <c r="D360" s="215">
        <v>8</v>
      </c>
      <c r="E360" s="211" t="s">
        <v>43</v>
      </c>
      <c r="F360" s="216"/>
      <c r="G360" s="211">
        <v>1E-3</v>
      </c>
      <c r="H360" s="211">
        <v>2</v>
      </c>
      <c r="I360" s="300">
        <f t="shared" si="22"/>
        <v>3.0888000000000004</v>
      </c>
      <c r="J360" s="230">
        <v>6</v>
      </c>
      <c r="K360" s="388">
        <v>454.87</v>
      </c>
      <c r="L360" s="302">
        <f t="shared" si="23"/>
        <v>2810.0049120000003</v>
      </c>
      <c r="M360" s="303"/>
      <c r="N360" s="216"/>
      <c r="O360" s="216"/>
      <c r="P360" s="26"/>
    </row>
    <row r="361" spans="1:16" x14ac:dyDescent="0.25">
      <c r="A361" s="565"/>
      <c r="B361" s="523"/>
      <c r="C361" s="31" t="s">
        <v>186</v>
      </c>
      <c r="D361" s="215">
        <v>8</v>
      </c>
      <c r="E361" s="211" t="s">
        <v>44</v>
      </c>
      <c r="F361" s="216"/>
      <c r="G361" s="211">
        <v>1E-4</v>
      </c>
      <c r="H361" s="211">
        <v>4</v>
      </c>
      <c r="I361" s="300">
        <f t="shared" si="22"/>
        <v>0.30888000000000004</v>
      </c>
      <c r="J361" s="230">
        <v>6</v>
      </c>
      <c r="K361" s="388">
        <v>454.87</v>
      </c>
      <c r="L361" s="302">
        <f t="shared" si="23"/>
        <v>562.00098240000011</v>
      </c>
      <c r="M361" s="303"/>
      <c r="N361" s="216"/>
      <c r="O361" s="216"/>
      <c r="P361" s="26"/>
    </row>
    <row r="362" spans="1:16" x14ac:dyDescent="0.25">
      <c r="A362" s="565"/>
      <c r="B362" s="523"/>
      <c r="C362" s="31" t="s">
        <v>187</v>
      </c>
      <c r="D362" s="215">
        <v>4</v>
      </c>
      <c r="E362" s="211" t="s">
        <v>43</v>
      </c>
      <c r="F362" s="216"/>
      <c r="G362" s="211">
        <v>1E-3</v>
      </c>
      <c r="H362" s="211">
        <v>2</v>
      </c>
      <c r="I362" s="300">
        <f t="shared" si="22"/>
        <v>1.5444000000000002</v>
      </c>
      <c r="J362" s="230">
        <v>6</v>
      </c>
      <c r="K362" s="388">
        <v>454.87</v>
      </c>
      <c r="L362" s="302">
        <f t="shared" si="23"/>
        <v>1405.0024560000002</v>
      </c>
      <c r="M362" s="303"/>
      <c r="N362" s="216"/>
      <c r="O362" s="216"/>
      <c r="P362" s="26"/>
    </row>
    <row r="363" spans="1:16" x14ac:dyDescent="0.25">
      <c r="A363" s="565"/>
      <c r="B363" s="523"/>
      <c r="C363" s="31" t="s">
        <v>187</v>
      </c>
      <c r="D363" s="215">
        <v>4</v>
      </c>
      <c r="E363" s="211" t="s">
        <v>44</v>
      </c>
      <c r="F363" s="216"/>
      <c r="G363" s="211">
        <v>1E-4</v>
      </c>
      <c r="H363" s="211">
        <v>4</v>
      </c>
      <c r="I363" s="300">
        <f t="shared" si="22"/>
        <v>0.15444000000000002</v>
      </c>
      <c r="J363" s="230">
        <v>6</v>
      </c>
      <c r="K363" s="388">
        <v>454.87</v>
      </c>
      <c r="L363" s="302">
        <f t="shared" si="23"/>
        <v>281.00049120000006</v>
      </c>
      <c r="M363" s="303"/>
      <c r="N363" s="216"/>
      <c r="O363" s="216"/>
      <c r="P363" s="26"/>
    </row>
    <row r="364" spans="1:16" ht="31.5" x14ac:dyDescent="0.25">
      <c r="A364" s="565"/>
      <c r="B364" s="523"/>
      <c r="C364" s="31" t="s">
        <v>188</v>
      </c>
      <c r="D364" s="215">
        <v>4</v>
      </c>
      <c r="E364" s="211" t="s">
        <v>43</v>
      </c>
      <c r="F364" s="216"/>
      <c r="G364" s="211">
        <v>1E-3</v>
      </c>
      <c r="H364" s="211">
        <v>2</v>
      </c>
      <c r="I364" s="300">
        <f t="shared" si="22"/>
        <v>1.5444000000000002</v>
      </c>
      <c r="J364" s="230">
        <v>6</v>
      </c>
      <c r="K364" s="388">
        <v>454.87</v>
      </c>
      <c r="L364" s="302">
        <f t="shared" si="23"/>
        <v>1405.0024560000002</v>
      </c>
      <c r="M364" s="303"/>
      <c r="N364" s="216"/>
      <c r="O364" s="216"/>
      <c r="P364" s="26"/>
    </row>
    <row r="365" spans="1:16" ht="31.5" x14ac:dyDescent="0.25">
      <c r="A365" s="565"/>
      <c r="B365" s="523"/>
      <c r="C365" s="31" t="s">
        <v>188</v>
      </c>
      <c r="D365" s="215">
        <v>4</v>
      </c>
      <c r="E365" s="211" t="s">
        <v>44</v>
      </c>
      <c r="F365" s="216"/>
      <c r="G365" s="211">
        <v>1E-4</v>
      </c>
      <c r="H365" s="211">
        <v>4</v>
      </c>
      <c r="I365" s="300">
        <f t="shared" si="22"/>
        <v>0.15444000000000002</v>
      </c>
      <c r="J365" s="230">
        <v>6</v>
      </c>
      <c r="K365" s="388">
        <v>454.87</v>
      </c>
      <c r="L365" s="302">
        <f t="shared" si="23"/>
        <v>281.00049120000006</v>
      </c>
      <c r="M365" s="303"/>
      <c r="N365" s="216"/>
      <c r="O365" s="216"/>
      <c r="P365" s="26"/>
    </row>
    <row r="366" spans="1:16" x14ac:dyDescent="0.25">
      <c r="A366" s="565"/>
      <c r="B366" s="523"/>
      <c r="C366" s="31" t="s">
        <v>47</v>
      </c>
      <c r="D366" s="215">
        <v>4</v>
      </c>
      <c r="E366" s="211" t="s">
        <v>43</v>
      </c>
      <c r="F366" s="216"/>
      <c r="G366" s="211">
        <v>1E-3</v>
      </c>
      <c r="H366" s="211">
        <v>2</v>
      </c>
      <c r="I366" s="300">
        <f t="shared" si="22"/>
        <v>1.5444000000000002</v>
      </c>
      <c r="J366" s="230">
        <v>6</v>
      </c>
      <c r="K366" s="388">
        <v>454.87</v>
      </c>
      <c r="L366" s="302">
        <f t="shared" si="23"/>
        <v>1405.0024560000002</v>
      </c>
      <c r="M366" s="303"/>
      <c r="N366" s="216"/>
      <c r="O366" s="216"/>
      <c r="P366" s="26"/>
    </row>
    <row r="367" spans="1:16" x14ac:dyDescent="0.25">
      <c r="A367" s="565"/>
      <c r="B367" s="523"/>
      <c r="C367" s="31" t="s">
        <v>47</v>
      </c>
      <c r="D367" s="215">
        <v>4</v>
      </c>
      <c r="E367" s="211" t="s">
        <v>44</v>
      </c>
      <c r="F367" s="216"/>
      <c r="G367" s="211">
        <v>1E-4</v>
      </c>
      <c r="H367" s="211">
        <v>4</v>
      </c>
      <c r="I367" s="300">
        <f t="shared" si="22"/>
        <v>0.15444000000000002</v>
      </c>
      <c r="J367" s="230">
        <v>6</v>
      </c>
      <c r="K367" s="388">
        <v>454.87</v>
      </c>
      <c r="L367" s="302">
        <f t="shared" si="23"/>
        <v>281.00049120000006</v>
      </c>
      <c r="M367" s="303"/>
      <c r="N367" s="216"/>
      <c r="O367" s="216"/>
      <c r="P367" s="26"/>
    </row>
    <row r="368" spans="1:16" x14ac:dyDescent="0.25">
      <c r="A368" s="565"/>
      <c r="B368" s="523"/>
      <c r="C368" s="31" t="s">
        <v>48</v>
      </c>
      <c r="D368" s="215">
        <v>4</v>
      </c>
      <c r="E368" s="211" t="s">
        <v>43</v>
      </c>
      <c r="F368" s="216"/>
      <c r="G368" s="211">
        <v>1E-3</v>
      </c>
      <c r="H368" s="211">
        <v>2</v>
      </c>
      <c r="I368" s="300">
        <f t="shared" si="22"/>
        <v>1.5444000000000002</v>
      </c>
      <c r="J368" s="230">
        <v>6</v>
      </c>
      <c r="K368" s="388">
        <v>454.87</v>
      </c>
      <c r="L368" s="302">
        <f t="shared" si="23"/>
        <v>1405.0024560000002</v>
      </c>
      <c r="M368" s="303"/>
      <c r="N368" s="216"/>
      <c r="O368" s="216"/>
      <c r="P368" s="26"/>
    </row>
    <row r="369" spans="1:16" x14ac:dyDescent="0.25">
      <c r="A369" s="565"/>
      <c r="B369" s="523"/>
      <c r="C369" s="31" t="s">
        <v>48</v>
      </c>
      <c r="D369" s="215">
        <v>4</v>
      </c>
      <c r="E369" s="211" t="s">
        <v>44</v>
      </c>
      <c r="F369" s="216"/>
      <c r="G369" s="211">
        <v>1E-4</v>
      </c>
      <c r="H369" s="211">
        <v>4</v>
      </c>
      <c r="I369" s="300">
        <f t="shared" si="22"/>
        <v>0.15444000000000002</v>
      </c>
      <c r="J369" s="230">
        <v>6</v>
      </c>
      <c r="K369" s="388">
        <v>454.87</v>
      </c>
      <c r="L369" s="302">
        <f t="shared" si="23"/>
        <v>281.00049120000006</v>
      </c>
      <c r="M369" s="303"/>
      <c r="N369" s="216"/>
      <c r="O369" s="216"/>
      <c r="P369" s="26"/>
    </row>
    <row r="370" spans="1:16" x14ac:dyDescent="0.25">
      <c r="A370" s="565"/>
      <c r="B370" s="523"/>
      <c r="C370" s="31" t="s">
        <v>189</v>
      </c>
      <c r="D370" s="215">
        <v>4</v>
      </c>
      <c r="E370" s="211" t="s">
        <v>43</v>
      </c>
      <c r="F370" s="216"/>
      <c r="G370" s="211">
        <v>1E-3</v>
      </c>
      <c r="H370" s="211">
        <v>2</v>
      </c>
      <c r="I370" s="300">
        <f t="shared" si="22"/>
        <v>1.5444000000000002</v>
      </c>
      <c r="J370" s="230">
        <v>6</v>
      </c>
      <c r="K370" s="388">
        <v>454.87</v>
      </c>
      <c r="L370" s="302">
        <f t="shared" si="23"/>
        <v>1405.0024560000002</v>
      </c>
      <c r="M370" s="303"/>
      <c r="N370" s="216"/>
      <c r="O370" s="216"/>
      <c r="P370" s="26"/>
    </row>
    <row r="371" spans="1:16" x14ac:dyDescent="0.25">
      <c r="A371" s="565"/>
      <c r="B371" s="523"/>
      <c r="C371" s="31" t="s">
        <v>189</v>
      </c>
      <c r="D371" s="215">
        <v>4</v>
      </c>
      <c r="E371" s="211" t="s">
        <v>44</v>
      </c>
      <c r="F371" s="216"/>
      <c r="G371" s="211">
        <v>1E-4</v>
      </c>
      <c r="H371" s="211">
        <v>4</v>
      </c>
      <c r="I371" s="300">
        <f t="shared" si="22"/>
        <v>0.15444000000000002</v>
      </c>
      <c r="J371" s="230">
        <v>6</v>
      </c>
      <c r="K371" s="388">
        <v>454.87</v>
      </c>
      <c r="L371" s="302">
        <f t="shared" si="23"/>
        <v>281.00049120000006</v>
      </c>
      <c r="M371" s="303"/>
      <c r="N371" s="216"/>
      <c r="O371" s="216"/>
      <c r="P371" s="26"/>
    </row>
    <row r="372" spans="1:16" x14ac:dyDescent="0.25">
      <c r="A372" s="565"/>
      <c r="B372" s="523"/>
      <c r="C372" s="31" t="s">
        <v>190</v>
      </c>
      <c r="D372" s="215">
        <v>4</v>
      </c>
      <c r="E372" s="211" t="s">
        <v>43</v>
      </c>
      <c r="F372" s="216"/>
      <c r="G372" s="211">
        <v>1E-3</v>
      </c>
      <c r="H372" s="211">
        <v>2</v>
      </c>
      <c r="I372" s="300">
        <f t="shared" si="22"/>
        <v>1.5444000000000002</v>
      </c>
      <c r="J372" s="230">
        <v>6</v>
      </c>
      <c r="K372" s="388">
        <v>454.87</v>
      </c>
      <c r="L372" s="302">
        <f t="shared" si="23"/>
        <v>1405.0024560000002</v>
      </c>
      <c r="M372" s="303"/>
      <c r="N372" s="216"/>
      <c r="O372" s="216"/>
      <c r="P372" s="26"/>
    </row>
    <row r="373" spans="1:16" x14ac:dyDescent="0.25">
      <c r="A373" s="565"/>
      <c r="B373" s="523"/>
      <c r="C373" s="31" t="s">
        <v>190</v>
      </c>
      <c r="D373" s="215">
        <v>4</v>
      </c>
      <c r="E373" s="211" t="s">
        <v>44</v>
      </c>
      <c r="F373" s="216"/>
      <c r="G373" s="211">
        <v>1E-4</v>
      </c>
      <c r="H373" s="211">
        <v>4</v>
      </c>
      <c r="I373" s="300">
        <f t="shared" si="22"/>
        <v>0.15444000000000002</v>
      </c>
      <c r="J373" s="230">
        <v>6</v>
      </c>
      <c r="K373" s="388">
        <v>454.87</v>
      </c>
      <c r="L373" s="302">
        <f t="shared" si="23"/>
        <v>281.00049120000006</v>
      </c>
      <c r="M373" s="303"/>
      <c r="N373" s="216"/>
      <c r="O373" s="216"/>
      <c r="P373" s="26"/>
    </row>
    <row r="374" spans="1:16" x14ac:dyDescent="0.25">
      <c r="A374" s="565"/>
      <c r="B374" s="523"/>
      <c r="C374" s="31" t="s">
        <v>191</v>
      </c>
      <c r="D374" s="215">
        <v>4</v>
      </c>
      <c r="E374" s="211" t="s">
        <v>43</v>
      </c>
      <c r="F374" s="216"/>
      <c r="G374" s="211">
        <v>1E-3</v>
      </c>
      <c r="H374" s="211">
        <v>2</v>
      </c>
      <c r="I374" s="300">
        <f t="shared" si="22"/>
        <v>1.5444000000000002</v>
      </c>
      <c r="J374" s="230">
        <v>6</v>
      </c>
      <c r="K374" s="388">
        <v>454.87</v>
      </c>
      <c r="L374" s="302">
        <f t="shared" si="23"/>
        <v>1405.0024560000002</v>
      </c>
      <c r="M374" s="303"/>
      <c r="N374" s="216"/>
      <c r="O374" s="216"/>
      <c r="P374" s="26"/>
    </row>
    <row r="375" spans="1:16" x14ac:dyDescent="0.25">
      <c r="A375" s="565"/>
      <c r="B375" s="523"/>
      <c r="C375" s="31" t="s">
        <v>191</v>
      </c>
      <c r="D375" s="215">
        <v>4</v>
      </c>
      <c r="E375" s="211" t="s">
        <v>44</v>
      </c>
      <c r="F375" s="216"/>
      <c r="G375" s="211">
        <v>1E-4</v>
      </c>
      <c r="H375" s="211">
        <v>4</v>
      </c>
      <c r="I375" s="300">
        <f t="shared" si="22"/>
        <v>0.15444000000000002</v>
      </c>
      <c r="J375" s="230">
        <v>6</v>
      </c>
      <c r="K375" s="388">
        <v>454.87</v>
      </c>
      <c r="L375" s="302">
        <f t="shared" si="23"/>
        <v>281.00049120000006</v>
      </c>
      <c r="M375" s="303"/>
      <c r="N375" s="216"/>
      <c r="O375" s="216"/>
      <c r="P375" s="26"/>
    </row>
    <row r="376" spans="1:16" x14ac:dyDescent="0.25">
      <c r="A376" s="565"/>
      <c r="B376" s="523"/>
      <c r="C376" s="31" t="s">
        <v>192</v>
      </c>
      <c r="D376" s="215">
        <v>4</v>
      </c>
      <c r="E376" s="211" t="s">
        <v>43</v>
      </c>
      <c r="F376" s="216"/>
      <c r="G376" s="211">
        <v>1E-3</v>
      </c>
      <c r="H376" s="211">
        <v>2</v>
      </c>
      <c r="I376" s="300">
        <f t="shared" si="22"/>
        <v>1.5444000000000002</v>
      </c>
      <c r="J376" s="230">
        <v>6</v>
      </c>
      <c r="K376" s="388">
        <v>454.87</v>
      </c>
      <c r="L376" s="302">
        <f t="shared" si="23"/>
        <v>1405.0024560000002</v>
      </c>
      <c r="M376" s="303"/>
      <c r="N376" s="216"/>
      <c r="O376" s="216"/>
      <c r="P376" s="26"/>
    </row>
    <row r="377" spans="1:16" x14ac:dyDescent="0.25">
      <c r="A377" s="565"/>
      <c r="B377" s="523"/>
      <c r="C377" s="31" t="s">
        <v>192</v>
      </c>
      <c r="D377" s="215">
        <v>4</v>
      </c>
      <c r="E377" s="211" t="s">
        <v>44</v>
      </c>
      <c r="F377" s="216"/>
      <c r="G377" s="211">
        <v>1E-4</v>
      </c>
      <c r="H377" s="211">
        <v>4</v>
      </c>
      <c r="I377" s="300">
        <f t="shared" si="22"/>
        <v>0.15444000000000002</v>
      </c>
      <c r="J377" s="230">
        <v>6</v>
      </c>
      <c r="K377" s="388">
        <v>454.87</v>
      </c>
      <c r="L377" s="302">
        <f t="shared" si="23"/>
        <v>281.00049120000006</v>
      </c>
      <c r="M377" s="303"/>
      <c r="N377" s="216"/>
      <c r="O377" s="216"/>
      <c r="P377" s="26"/>
    </row>
    <row r="378" spans="1:16" x14ac:dyDescent="0.25">
      <c r="A378" s="565"/>
      <c r="B378" s="523"/>
      <c r="C378" s="31" t="s">
        <v>193</v>
      </c>
      <c r="D378" s="215">
        <v>4</v>
      </c>
      <c r="E378" s="211" t="s">
        <v>43</v>
      </c>
      <c r="F378" s="216"/>
      <c r="G378" s="211">
        <v>1E-3</v>
      </c>
      <c r="H378" s="211">
        <v>2</v>
      </c>
      <c r="I378" s="300">
        <f t="shared" si="22"/>
        <v>1.5444000000000002</v>
      </c>
      <c r="J378" s="230">
        <v>6</v>
      </c>
      <c r="K378" s="388">
        <v>454.87</v>
      </c>
      <c r="L378" s="302">
        <f t="shared" si="23"/>
        <v>1405.0024560000002</v>
      </c>
      <c r="M378" s="303"/>
      <c r="N378" s="216"/>
      <c r="O378" s="216"/>
      <c r="P378" s="26"/>
    </row>
    <row r="379" spans="1:16" x14ac:dyDescent="0.25">
      <c r="A379" s="565"/>
      <c r="B379" s="523"/>
      <c r="C379" s="31" t="s">
        <v>193</v>
      </c>
      <c r="D379" s="215">
        <v>4</v>
      </c>
      <c r="E379" s="211" t="s">
        <v>44</v>
      </c>
      <c r="F379" s="216"/>
      <c r="G379" s="211">
        <v>1E-4</v>
      </c>
      <c r="H379" s="211">
        <v>4</v>
      </c>
      <c r="I379" s="300">
        <f t="shared" si="22"/>
        <v>0.15444000000000002</v>
      </c>
      <c r="J379" s="230">
        <v>6</v>
      </c>
      <c r="K379" s="388">
        <v>454.87</v>
      </c>
      <c r="L379" s="302">
        <f t="shared" si="23"/>
        <v>281.00049120000006</v>
      </c>
      <c r="M379" s="303"/>
      <c r="N379" s="216"/>
      <c r="O379" s="216"/>
      <c r="P379" s="26"/>
    </row>
    <row r="380" spans="1:16" ht="31.5" x14ac:dyDescent="0.25">
      <c r="A380" s="565"/>
      <c r="B380" s="523"/>
      <c r="C380" s="31" t="s">
        <v>53</v>
      </c>
      <c r="D380" s="215">
        <v>20</v>
      </c>
      <c r="E380" s="211" t="s">
        <v>43</v>
      </c>
      <c r="F380" s="216"/>
      <c r="G380" s="211">
        <v>1E-3</v>
      </c>
      <c r="H380" s="211">
        <v>2</v>
      </c>
      <c r="I380" s="300">
        <f t="shared" si="22"/>
        <v>7.7220000000000013</v>
      </c>
      <c r="J380" s="230">
        <v>6</v>
      </c>
      <c r="K380" s="388">
        <v>454.87</v>
      </c>
      <c r="L380" s="302">
        <f t="shared" si="23"/>
        <v>7025.0122800000008</v>
      </c>
      <c r="M380" s="303"/>
      <c r="N380" s="216"/>
      <c r="O380" s="216"/>
      <c r="P380" s="26"/>
    </row>
    <row r="381" spans="1:16" ht="31.5" x14ac:dyDescent="0.25">
      <c r="A381" s="565"/>
      <c r="B381" s="523"/>
      <c r="C381" s="31" t="s">
        <v>53</v>
      </c>
      <c r="D381" s="215">
        <v>20</v>
      </c>
      <c r="E381" s="211" t="s">
        <v>44</v>
      </c>
      <c r="F381" s="216"/>
      <c r="G381" s="211">
        <v>1E-4</v>
      </c>
      <c r="H381" s="211">
        <v>4</v>
      </c>
      <c r="I381" s="300">
        <f t="shared" si="22"/>
        <v>0.77220000000000011</v>
      </c>
      <c r="J381" s="230">
        <v>6</v>
      </c>
      <c r="K381" s="388">
        <v>454.87</v>
      </c>
      <c r="L381" s="302">
        <f t="shared" si="23"/>
        <v>1405.0024560000002</v>
      </c>
      <c r="M381" s="303"/>
      <c r="N381" s="216"/>
      <c r="O381" s="216"/>
      <c r="P381" s="26"/>
    </row>
    <row r="382" spans="1:16" ht="31.5" x14ac:dyDescent="0.25">
      <c r="A382" s="565"/>
      <c r="B382" s="523"/>
      <c r="C382" s="31" t="s">
        <v>194</v>
      </c>
      <c r="D382" s="215">
        <v>4</v>
      </c>
      <c r="E382" s="211" t="s">
        <v>43</v>
      </c>
      <c r="F382" s="216"/>
      <c r="G382" s="211">
        <v>2E-3</v>
      </c>
      <c r="H382" s="211">
        <v>2</v>
      </c>
      <c r="I382" s="300">
        <f t="shared" si="22"/>
        <v>3.0888000000000004</v>
      </c>
      <c r="J382" s="230">
        <v>6</v>
      </c>
      <c r="K382" s="388">
        <v>454.87</v>
      </c>
      <c r="L382" s="302">
        <f t="shared" si="23"/>
        <v>2810.0049120000003</v>
      </c>
      <c r="M382" s="211" t="s">
        <v>55</v>
      </c>
      <c r="N382" s="211">
        <f>0.04*D382</f>
        <v>0.16</v>
      </c>
      <c r="O382" s="211">
        <v>207</v>
      </c>
      <c r="P382" s="211">
        <f t="shared" ref="P382" si="24">N382*O382</f>
        <v>33.119999999999997</v>
      </c>
    </row>
    <row r="383" spans="1:16" ht="31.5" x14ac:dyDescent="0.25">
      <c r="A383" s="565"/>
      <c r="B383" s="523"/>
      <c r="C383" s="31" t="s">
        <v>194</v>
      </c>
      <c r="D383" s="215">
        <v>4</v>
      </c>
      <c r="E383" s="211" t="s">
        <v>44</v>
      </c>
      <c r="F383" s="216"/>
      <c r="G383" s="211">
        <v>2.0000000000000001E-4</v>
      </c>
      <c r="H383" s="211">
        <v>4</v>
      </c>
      <c r="I383" s="300">
        <f t="shared" si="22"/>
        <v>0.30888000000000004</v>
      </c>
      <c r="J383" s="230">
        <v>6</v>
      </c>
      <c r="K383" s="388">
        <v>454.87</v>
      </c>
      <c r="L383" s="302">
        <f t="shared" si="23"/>
        <v>562.00098240000011</v>
      </c>
      <c r="M383" s="303"/>
      <c r="N383" s="216"/>
      <c r="O383" s="216"/>
      <c r="P383" s="26"/>
    </row>
    <row r="384" spans="1:16" ht="31.5" x14ac:dyDescent="0.25">
      <c r="A384" s="565"/>
      <c r="B384" s="523"/>
      <c r="C384" s="31" t="s">
        <v>53</v>
      </c>
      <c r="D384" s="215">
        <v>11</v>
      </c>
      <c r="E384" s="211" t="s">
        <v>43</v>
      </c>
      <c r="F384" s="216"/>
      <c r="G384" s="211">
        <v>1E-3</v>
      </c>
      <c r="H384" s="211">
        <v>2</v>
      </c>
      <c r="I384" s="300">
        <f t="shared" si="22"/>
        <v>4.2470999999999997</v>
      </c>
      <c r="J384" s="230">
        <v>6</v>
      </c>
      <c r="K384" s="388">
        <v>454.87</v>
      </c>
      <c r="L384" s="302">
        <f t="shared" si="23"/>
        <v>3863.7567539999995</v>
      </c>
      <c r="M384" s="303"/>
      <c r="N384" s="216"/>
      <c r="O384" s="216"/>
      <c r="P384" s="26"/>
    </row>
    <row r="385" spans="1:16" ht="31.5" x14ac:dyDescent="0.25">
      <c r="A385" s="565"/>
      <c r="B385" s="523"/>
      <c r="C385" s="31" t="s">
        <v>53</v>
      </c>
      <c r="D385" s="215">
        <v>11</v>
      </c>
      <c r="E385" s="211" t="s">
        <v>44</v>
      </c>
      <c r="F385" s="216"/>
      <c r="G385" s="211">
        <v>1E-4</v>
      </c>
      <c r="H385" s="211">
        <v>4</v>
      </c>
      <c r="I385" s="300">
        <f t="shared" si="22"/>
        <v>0.42471000000000003</v>
      </c>
      <c r="J385" s="230">
        <v>6</v>
      </c>
      <c r="K385" s="388">
        <v>454.87</v>
      </c>
      <c r="L385" s="302">
        <f t="shared" si="23"/>
        <v>772.75135080000007</v>
      </c>
      <c r="M385" s="303"/>
      <c r="N385" s="216"/>
      <c r="O385" s="216"/>
      <c r="P385" s="26"/>
    </row>
    <row r="386" spans="1:16" ht="31.5" x14ac:dyDescent="0.25">
      <c r="A386" s="565"/>
      <c r="B386" s="523"/>
      <c r="C386" s="31" t="s">
        <v>59</v>
      </c>
      <c r="D386" s="215">
        <v>11</v>
      </c>
      <c r="E386" s="211" t="s">
        <v>43</v>
      </c>
      <c r="F386" s="216"/>
      <c r="G386" s="211">
        <v>1E-3</v>
      </c>
      <c r="H386" s="211">
        <v>2</v>
      </c>
      <c r="I386" s="300">
        <f t="shared" si="22"/>
        <v>4.2470999999999997</v>
      </c>
      <c r="J386" s="230">
        <v>6</v>
      </c>
      <c r="K386" s="388">
        <v>454.87</v>
      </c>
      <c r="L386" s="302">
        <f t="shared" si="23"/>
        <v>3863.7567539999995</v>
      </c>
      <c r="M386" s="303"/>
      <c r="N386" s="216"/>
      <c r="O386" s="216"/>
      <c r="P386" s="26"/>
    </row>
    <row r="387" spans="1:16" ht="31.5" x14ac:dyDescent="0.25">
      <c r="A387" s="565"/>
      <c r="B387" s="523"/>
      <c r="C387" s="31" t="s">
        <v>59</v>
      </c>
      <c r="D387" s="215">
        <v>11</v>
      </c>
      <c r="E387" s="211" t="s">
        <v>44</v>
      </c>
      <c r="F387" s="216"/>
      <c r="G387" s="211">
        <v>1E-4</v>
      </c>
      <c r="H387" s="211">
        <v>4</v>
      </c>
      <c r="I387" s="300">
        <f t="shared" si="22"/>
        <v>0.42471000000000003</v>
      </c>
      <c r="J387" s="230">
        <v>6</v>
      </c>
      <c r="K387" s="388">
        <v>454.87</v>
      </c>
      <c r="L387" s="302">
        <f t="shared" si="23"/>
        <v>772.75135080000007</v>
      </c>
      <c r="M387" s="303"/>
      <c r="N387" s="216"/>
      <c r="O387" s="216"/>
      <c r="P387" s="26"/>
    </row>
    <row r="388" spans="1:16" ht="31.5" x14ac:dyDescent="0.25">
      <c r="A388" s="565"/>
      <c r="B388" s="523"/>
      <c r="C388" s="31" t="s">
        <v>60</v>
      </c>
      <c r="D388" s="215">
        <v>5</v>
      </c>
      <c r="E388" s="211" t="s">
        <v>43</v>
      </c>
      <c r="F388" s="216"/>
      <c r="G388" s="211">
        <v>1E-3</v>
      </c>
      <c r="H388" s="211">
        <v>2</v>
      </c>
      <c r="I388" s="300">
        <f t="shared" si="22"/>
        <v>1.9305000000000003</v>
      </c>
      <c r="J388" s="230">
        <v>6</v>
      </c>
      <c r="K388" s="388">
        <v>454.87</v>
      </c>
      <c r="L388" s="302">
        <f t="shared" si="23"/>
        <v>1756.2530700000002</v>
      </c>
      <c r="M388" s="303"/>
      <c r="N388" s="216"/>
      <c r="O388" s="216"/>
      <c r="P388" s="26"/>
    </row>
    <row r="389" spans="1:16" ht="31.5" x14ac:dyDescent="0.25">
      <c r="A389" s="565"/>
      <c r="B389" s="523"/>
      <c r="C389" s="31" t="s">
        <v>60</v>
      </c>
      <c r="D389" s="215">
        <v>5</v>
      </c>
      <c r="E389" s="211" t="s">
        <v>44</v>
      </c>
      <c r="F389" s="216"/>
      <c r="G389" s="211">
        <v>1E-4</v>
      </c>
      <c r="H389" s="211">
        <v>4</v>
      </c>
      <c r="I389" s="300">
        <f t="shared" ref="I389:I458" si="25">D389*G389*351*1.1</f>
        <v>0.19305000000000003</v>
      </c>
      <c r="J389" s="230">
        <v>6</v>
      </c>
      <c r="K389" s="388">
        <v>454.87</v>
      </c>
      <c r="L389" s="302">
        <f t="shared" si="23"/>
        <v>351.25061400000004</v>
      </c>
      <c r="M389" s="303"/>
      <c r="N389" s="216"/>
      <c r="O389" s="216"/>
      <c r="P389" s="26"/>
    </row>
    <row r="390" spans="1:16" ht="31.5" x14ac:dyDescent="0.25">
      <c r="A390" s="565"/>
      <c r="B390" s="523"/>
      <c r="C390" s="31" t="s">
        <v>195</v>
      </c>
      <c r="D390" s="215">
        <v>4</v>
      </c>
      <c r="E390" s="211" t="s">
        <v>43</v>
      </c>
      <c r="F390" s="216"/>
      <c r="G390" s="211">
        <v>1E-3</v>
      </c>
      <c r="H390" s="211">
        <v>2</v>
      </c>
      <c r="I390" s="300">
        <f t="shared" si="25"/>
        <v>1.5444000000000002</v>
      </c>
      <c r="J390" s="230">
        <v>6</v>
      </c>
      <c r="K390" s="388">
        <v>454.87</v>
      </c>
      <c r="L390" s="302">
        <f t="shared" si="23"/>
        <v>1405.0024560000002</v>
      </c>
      <c r="M390" s="303"/>
      <c r="N390" s="216"/>
      <c r="O390" s="216"/>
      <c r="P390" s="26"/>
    </row>
    <row r="391" spans="1:16" ht="31.5" x14ac:dyDescent="0.25">
      <c r="A391" s="565"/>
      <c r="B391" s="523"/>
      <c r="C391" s="31" t="s">
        <v>195</v>
      </c>
      <c r="D391" s="215">
        <v>4</v>
      </c>
      <c r="E391" s="211" t="s">
        <v>44</v>
      </c>
      <c r="F391" s="216"/>
      <c r="G391" s="211">
        <v>1E-4</v>
      </c>
      <c r="H391" s="211">
        <v>4</v>
      </c>
      <c r="I391" s="300">
        <f t="shared" si="25"/>
        <v>0.15444000000000002</v>
      </c>
      <c r="J391" s="230">
        <v>6</v>
      </c>
      <c r="K391" s="388">
        <v>454.87</v>
      </c>
      <c r="L391" s="302">
        <f t="shared" ref="L391:L454" si="26">H391*I391*K391</f>
        <v>281.00049120000006</v>
      </c>
      <c r="M391" s="303"/>
      <c r="N391" s="216"/>
      <c r="O391" s="216"/>
      <c r="P391" s="26"/>
    </row>
    <row r="392" spans="1:16" x14ac:dyDescent="0.25">
      <c r="A392" s="565"/>
      <c r="B392" s="523"/>
      <c r="C392" s="31" t="s">
        <v>196</v>
      </c>
      <c r="D392" s="215">
        <v>1</v>
      </c>
      <c r="E392" s="211" t="s">
        <v>43</v>
      </c>
      <c r="F392" s="216"/>
      <c r="G392" s="211">
        <v>1E-3</v>
      </c>
      <c r="H392" s="211">
        <v>2</v>
      </c>
      <c r="I392" s="300">
        <f t="shared" si="25"/>
        <v>0.38610000000000005</v>
      </c>
      <c r="J392" s="230">
        <v>6</v>
      </c>
      <c r="K392" s="388">
        <v>454.87</v>
      </c>
      <c r="L392" s="302">
        <f t="shared" si="26"/>
        <v>351.25061400000004</v>
      </c>
      <c r="M392" s="303"/>
      <c r="N392" s="216"/>
      <c r="O392" s="216"/>
      <c r="P392" s="26"/>
    </row>
    <row r="393" spans="1:16" x14ac:dyDescent="0.25">
      <c r="A393" s="565"/>
      <c r="B393" s="523"/>
      <c r="C393" s="31" t="s">
        <v>196</v>
      </c>
      <c r="D393" s="215">
        <v>1</v>
      </c>
      <c r="E393" s="211" t="s">
        <v>44</v>
      </c>
      <c r="F393" s="216"/>
      <c r="G393" s="211">
        <v>1E-4</v>
      </c>
      <c r="H393" s="211">
        <v>4</v>
      </c>
      <c r="I393" s="300">
        <f t="shared" si="25"/>
        <v>3.8610000000000005E-2</v>
      </c>
      <c r="J393" s="230">
        <v>6</v>
      </c>
      <c r="K393" s="388">
        <v>454.87</v>
      </c>
      <c r="L393" s="302">
        <f t="shared" si="26"/>
        <v>70.250122800000014</v>
      </c>
      <c r="M393" s="303"/>
      <c r="N393" s="216"/>
      <c r="O393" s="216"/>
      <c r="P393" s="26"/>
    </row>
    <row r="394" spans="1:16" x14ac:dyDescent="0.25">
      <c r="A394" s="565"/>
      <c r="B394" s="523"/>
      <c r="C394" s="31" t="s">
        <v>197</v>
      </c>
      <c r="D394" s="215">
        <v>1</v>
      </c>
      <c r="E394" s="211" t="s">
        <v>43</v>
      </c>
      <c r="F394" s="216"/>
      <c r="G394" s="211">
        <v>1E-3</v>
      </c>
      <c r="H394" s="211">
        <v>2</v>
      </c>
      <c r="I394" s="300">
        <f t="shared" si="25"/>
        <v>0.38610000000000005</v>
      </c>
      <c r="J394" s="230">
        <v>6</v>
      </c>
      <c r="K394" s="388">
        <v>454.87</v>
      </c>
      <c r="L394" s="302">
        <f t="shared" si="26"/>
        <v>351.25061400000004</v>
      </c>
      <c r="M394" s="303"/>
      <c r="N394" s="216"/>
      <c r="O394" s="216"/>
      <c r="P394" s="26"/>
    </row>
    <row r="395" spans="1:16" x14ac:dyDescent="0.25">
      <c r="A395" s="565"/>
      <c r="B395" s="523"/>
      <c r="C395" s="31" t="s">
        <v>197</v>
      </c>
      <c r="D395" s="215">
        <v>1</v>
      </c>
      <c r="E395" s="211" t="s">
        <v>44</v>
      </c>
      <c r="F395" s="216"/>
      <c r="G395" s="211">
        <v>1E-4</v>
      </c>
      <c r="H395" s="211">
        <v>4</v>
      </c>
      <c r="I395" s="300">
        <f t="shared" si="25"/>
        <v>3.8610000000000005E-2</v>
      </c>
      <c r="J395" s="230">
        <v>6</v>
      </c>
      <c r="K395" s="388">
        <v>454.87</v>
      </c>
      <c r="L395" s="302">
        <f t="shared" si="26"/>
        <v>70.250122800000014</v>
      </c>
      <c r="M395" s="303"/>
      <c r="N395" s="216"/>
      <c r="O395" s="216"/>
      <c r="P395" s="26"/>
    </row>
    <row r="396" spans="1:16" x14ac:dyDescent="0.25">
      <c r="A396" s="565"/>
      <c r="B396" s="523"/>
      <c r="C396" s="31" t="s">
        <v>198</v>
      </c>
      <c r="D396" s="215">
        <v>1</v>
      </c>
      <c r="E396" s="211" t="s">
        <v>43</v>
      </c>
      <c r="F396" s="216"/>
      <c r="G396" s="211">
        <v>1E-3</v>
      </c>
      <c r="H396" s="211">
        <v>2</v>
      </c>
      <c r="I396" s="300">
        <f t="shared" si="25"/>
        <v>0.38610000000000005</v>
      </c>
      <c r="J396" s="230">
        <v>6</v>
      </c>
      <c r="K396" s="388">
        <v>454.87</v>
      </c>
      <c r="L396" s="302">
        <f t="shared" si="26"/>
        <v>351.25061400000004</v>
      </c>
      <c r="M396" s="303"/>
      <c r="N396" s="216"/>
      <c r="O396" s="216"/>
      <c r="P396" s="26"/>
    </row>
    <row r="397" spans="1:16" x14ac:dyDescent="0.25">
      <c r="A397" s="565"/>
      <c r="B397" s="523"/>
      <c r="C397" s="31" t="s">
        <v>198</v>
      </c>
      <c r="D397" s="215">
        <v>1</v>
      </c>
      <c r="E397" s="211" t="s">
        <v>44</v>
      </c>
      <c r="F397" s="216"/>
      <c r="G397" s="211">
        <v>1E-4</v>
      </c>
      <c r="H397" s="211">
        <v>4</v>
      </c>
      <c r="I397" s="300">
        <f t="shared" si="25"/>
        <v>3.8610000000000005E-2</v>
      </c>
      <c r="J397" s="230">
        <v>6</v>
      </c>
      <c r="K397" s="388">
        <v>454.87</v>
      </c>
      <c r="L397" s="302">
        <f t="shared" si="26"/>
        <v>70.250122800000014</v>
      </c>
      <c r="M397" s="303"/>
      <c r="N397" s="216"/>
      <c r="O397" s="216"/>
      <c r="P397" s="26"/>
    </row>
    <row r="398" spans="1:16" x14ac:dyDescent="0.25">
      <c r="A398" s="565"/>
      <c r="B398" s="523"/>
      <c r="C398" s="31" t="s">
        <v>199</v>
      </c>
      <c r="D398" s="215">
        <v>1</v>
      </c>
      <c r="E398" s="211" t="s">
        <v>43</v>
      </c>
      <c r="F398" s="216"/>
      <c r="G398" s="211">
        <v>1E-3</v>
      </c>
      <c r="H398" s="211">
        <v>2</v>
      </c>
      <c r="I398" s="300">
        <f t="shared" si="25"/>
        <v>0.38610000000000005</v>
      </c>
      <c r="J398" s="230">
        <v>6</v>
      </c>
      <c r="K398" s="388">
        <v>454.87</v>
      </c>
      <c r="L398" s="302">
        <f t="shared" si="26"/>
        <v>351.25061400000004</v>
      </c>
      <c r="M398" s="303"/>
      <c r="N398" s="216"/>
      <c r="O398" s="216"/>
      <c r="P398" s="26"/>
    </row>
    <row r="399" spans="1:16" x14ac:dyDescent="0.25">
      <c r="A399" s="565"/>
      <c r="B399" s="523"/>
      <c r="C399" s="31" t="s">
        <v>199</v>
      </c>
      <c r="D399" s="215">
        <v>1</v>
      </c>
      <c r="E399" s="211" t="s">
        <v>44</v>
      </c>
      <c r="F399" s="216"/>
      <c r="G399" s="211">
        <v>1E-4</v>
      </c>
      <c r="H399" s="211">
        <v>4</v>
      </c>
      <c r="I399" s="300">
        <f t="shared" si="25"/>
        <v>3.8610000000000005E-2</v>
      </c>
      <c r="J399" s="230">
        <v>6</v>
      </c>
      <c r="K399" s="388">
        <v>454.87</v>
      </c>
      <c r="L399" s="302">
        <f t="shared" si="26"/>
        <v>70.250122800000014</v>
      </c>
      <c r="M399" s="303"/>
      <c r="N399" s="216"/>
      <c r="O399" s="216"/>
      <c r="P399" s="26"/>
    </row>
    <row r="400" spans="1:16" x14ac:dyDescent="0.25">
      <c r="A400" s="565"/>
      <c r="B400" s="523"/>
      <c r="C400" s="31" t="s">
        <v>200</v>
      </c>
      <c r="D400" s="215">
        <v>2</v>
      </c>
      <c r="E400" s="211" t="s">
        <v>43</v>
      </c>
      <c r="F400" s="216"/>
      <c r="G400" s="211">
        <v>1E-3</v>
      </c>
      <c r="H400" s="211">
        <v>2</v>
      </c>
      <c r="I400" s="300">
        <f t="shared" si="25"/>
        <v>0.77220000000000011</v>
      </c>
      <c r="J400" s="230">
        <v>6</v>
      </c>
      <c r="K400" s="388">
        <v>454.87</v>
      </c>
      <c r="L400" s="302">
        <f t="shared" si="26"/>
        <v>702.50122800000008</v>
      </c>
      <c r="M400" s="303"/>
      <c r="N400" s="216"/>
      <c r="O400" s="216"/>
      <c r="P400" s="26"/>
    </row>
    <row r="401" spans="1:16" x14ac:dyDescent="0.25">
      <c r="A401" s="565"/>
      <c r="B401" s="523"/>
      <c r="C401" s="31" t="s">
        <v>200</v>
      </c>
      <c r="D401" s="215">
        <v>2</v>
      </c>
      <c r="E401" s="211" t="s">
        <v>44</v>
      </c>
      <c r="F401" s="216"/>
      <c r="G401" s="211">
        <v>1E-4</v>
      </c>
      <c r="H401" s="211">
        <v>4</v>
      </c>
      <c r="I401" s="300">
        <f t="shared" si="25"/>
        <v>7.7220000000000011E-2</v>
      </c>
      <c r="J401" s="230">
        <v>6</v>
      </c>
      <c r="K401" s="388">
        <v>454.87</v>
      </c>
      <c r="L401" s="302">
        <f t="shared" si="26"/>
        <v>140.50024560000003</v>
      </c>
      <c r="M401" s="303"/>
      <c r="N401" s="216"/>
      <c r="O401" s="216"/>
      <c r="P401" s="26"/>
    </row>
    <row r="402" spans="1:16" x14ac:dyDescent="0.25">
      <c r="A402" s="565"/>
      <c r="B402" s="523"/>
      <c r="C402" s="31" t="s">
        <v>65</v>
      </c>
      <c r="D402" s="215">
        <v>2</v>
      </c>
      <c r="E402" s="211" t="s">
        <v>43</v>
      </c>
      <c r="F402" s="216"/>
      <c r="G402" s="211">
        <v>1E-3</v>
      </c>
      <c r="H402" s="211">
        <v>2</v>
      </c>
      <c r="I402" s="300">
        <f t="shared" si="25"/>
        <v>0.77220000000000011</v>
      </c>
      <c r="J402" s="230">
        <v>6</v>
      </c>
      <c r="K402" s="388">
        <v>454.87</v>
      </c>
      <c r="L402" s="302">
        <f t="shared" si="26"/>
        <v>702.50122800000008</v>
      </c>
      <c r="M402" s="303"/>
      <c r="N402" s="216"/>
      <c r="O402" s="216"/>
      <c r="P402" s="26"/>
    </row>
    <row r="403" spans="1:16" x14ac:dyDescent="0.25">
      <c r="A403" s="565"/>
      <c r="B403" s="523"/>
      <c r="C403" s="31" t="s">
        <v>65</v>
      </c>
      <c r="D403" s="215">
        <v>2</v>
      </c>
      <c r="E403" s="211" t="s">
        <v>44</v>
      </c>
      <c r="F403" s="216"/>
      <c r="G403" s="211">
        <v>1E-4</v>
      </c>
      <c r="H403" s="211">
        <v>4</v>
      </c>
      <c r="I403" s="300">
        <f t="shared" si="25"/>
        <v>7.7220000000000011E-2</v>
      </c>
      <c r="J403" s="230">
        <v>6</v>
      </c>
      <c r="K403" s="388">
        <v>454.87</v>
      </c>
      <c r="L403" s="302">
        <f t="shared" si="26"/>
        <v>140.50024560000003</v>
      </c>
      <c r="M403" s="303"/>
      <c r="N403" s="216"/>
      <c r="O403" s="216"/>
      <c r="P403" s="26"/>
    </row>
    <row r="404" spans="1:16" x14ac:dyDescent="0.25">
      <c r="A404" s="565"/>
      <c r="B404" s="523"/>
      <c r="C404" s="31" t="s">
        <v>66</v>
      </c>
      <c r="D404" s="215">
        <v>4</v>
      </c>
      <c r="E404" s="211" t="s">
        <v>43</v>
      </c>
      <c r="F404" s="216"/>
      <c r="G404" s="211">
        <v>1E-3</v>
      </c>
      <c r="H404" s="211">
        <v>2</v>
      </c>
      <c r="I404" s="300">
        <f t="shared" si="25"/>
        <v>1.5444000000000002</v>
      </c>
      <c r="J404" s="230">
        <v>6</v>
      </c>
      <c r="K404" s="388">
        <v>454.87</v>
      </c>
      <c r="L404" s="302">
        <f t="shared" si="26"/>
        <v>1405.0024560000002</v>
      </c>
      <c r="M404" s="303"/>
      <c r="N404" s="216"/>
      <c r="O404" s="216"/>
      <c r="P404" s="26"/>
    </row>
    <row r="405" spans="1:16" x14ac:dyDescent="0.25">
      <c r="A405" s="565"/>
      <c r="B405" s="523"/>
      <c r="C405" s="31" t="s">
        <v>66</v>
      </c>
      <c r="D405" s="215">
        <v>4</v>
      </c>
      <c r="E405" s="211" t="s">
        <v>44</v>
      </c>
      <c r="F405" s="216"/>
      <c r="G405" s="211">
        <v>1E-4</v>
      </c>
      <c r="H405" s="211">
        <v>4</v>
      </c>
      <c r="I405" s="300">
        <f t="shared" si="25"/>
        <v>0.15444000000000002</v>
      </c>
      <c r="J405" s="230">
        <v>6</v>
      </c>
      <c r="K405" s="388">
        <v>454.87</v>
      </c>
      <c r="L405" s="302">
        <f t="shared" si="26"/>
        <v>281.00049120000006</v>
      </c>
      <c r="M405" s="303"/>
      <c r="N405" s="216"/>
      <c r="O405" s="216"/>
      <c r="P405" s="26"/>
    </row>
    <row r="406" spans="1:16" x14ac:dyDescent="0.25">
      <c r="A406" s="565"/>
      <c r="B406" s="523"/>
      <c r="C406" s="31" t="s">
        <v>201</v>
      </c>
      <c r="D406" s="215">
        <v>3</v>
      </c>
      <c r="E406" s="211" t="s">
        <v>43</v>
      </c>
      <c r="F406" s="216"/>
      <c r="G406" s="211">
        <v>1E-3</v>
      </c>
      <c r="H406" s="211">
        <v>2</v>
      </c>
      <c r="I406" s="300">
        <f t="shared" si="25"/>
        <v>1.1583000000000001</v>
      </c>
      <c r="J406" s="230">
        <v>6</v>
      </c>
      <c r="K406" s="388">
        <v>454.87</v>
      </c>
      <c r="L406" s="302">
        <f t="shared" si="26"/>
        <v>1053.7518420000001</v>
      </c>
      <c r="M406" s="303"/>
      <c r="N406" s="216"/>
      <c r="O406" s="216"/>
      <c r="P406" s="26"/>
    </row>
    <row r="407" spans="1:16" x14ac:dyDescent="0.25">
      <c r="A407" s="565"/>
      <c r="B407" s="523"/>
      <c r="C407" s="31" t="s">
        <v>201</v>
      </c>
      <c r="D407" s="215">
        <v>3</v>
      </c>
      <c r="E407" s="211" t="s">
        <v>44</v>
      </c>
      <c r="F407" s="216"/>
      <c r="G407" s="211">
        <v>1E-4</v>
      </c>
      <c r="H407" s="211">
        <v>4</v>
      </c>
      <c r="I407" s="300">
        <f t="shared" si="25"/>
        <v>0.11583000000000002</v>
      </c>
      <c r="J407" s="230">
        <v>6</v>
      </c>
      <c r="K407" s="388">
        <v>454.87</v>
      </c>
      <c r="L407" s="302">
        <f t="shared" si="26"/>
        <v>210.75036840000004</v>
      </c>
      <c r="M407" s="303"/>
      <c r="N407" s="216"/>
      <c r="O407" s="216"/>
      <c r="P407" s="26"/>
    </row>
    <row r="408" spans="1:16" x14ac:dyDescent="0.25">
      <c r="A408" s="565"/>
      <c r="B408" s="523"/>
      <c r="C408" s="31" t="s">
        <v>202</v>
      </c>
      <c r="D408" s="215">
        <v>5</v>
      </c>
      <c r="E408" s="211" t="s">
        <v>43</v>
      </c>
      <c r="F408" s="216"/>
      <c r="G408" s="211">
        <v>1E-3</v>
      </c>
      <c r="H408" s="211">
        <v>2</v>
      </c>
      <c r="I408" s="300">
        <f t="shared" si="25"/>
        <v>1.9305000000000003</v>
      </c>
      <c r="J408" s="230">
        <v>6</v>
      </c>
      <c r="K408" s="388">
        <v>454.87</v>
      </c>
      <c r="L408" s="302">
        <f t="shared" si="26"/>
        <v>1756.2530700000002</v>
      </c>
      <c r="M408" s="303"/>
      <c r="N408" s="216"/>
      <c r="O408" s="216"/>
      <c r="P408" s="26"/>
    </row>
    <row r="409" spans="1:16" x14ac:dyDescent="0.25">
      <c r="A409" s="565"/>
      <c r="B409" s="523"/>
      <c r="C409" s="31" t="s">
        <v>202</v>
      </c>
      <c r="D409" s="215">
        <v>5</v>
      </c>
      <c r="E409" s="211" t="s">
        <v>44</v>
      </c>
      <c r="F409" s="216"/>
      <c r="G409" s="211">
        <v>1E-4</v>
      </c>
      <c r="H409" s="211">
        <v>4</v>
      </c>
      <c r="I409" s="300">
        <f t="shared" si="25"/>
        <v>0.19305000000000003</v>
      </c>
      <c r="J409" s="230">
        <v>6</v>
      </c>
      <c r="K409" s="388">
        <v>454.87</v>
      </c>
      <c r="L409" s="302">
        <f t="shared" si="26"/>
        <v>351.25061400000004</v>
      </c>
      <c r="M409" s="303"/>
      <c r="N409" s="216"/>
      <c r="O409" s="216"/>
      <c r="P409" s="26"/>
    </row>
    <row r="410" spans="1:16" x14ac:dyDescent="0.25">
      <c r="A410" s="565"/>
      <c r="B410" s="523"/>
      <c r="C410" s="31" t="s">
        <v>203</v>
      </c>
      <c r="D410" s="215">
        <v>1</v>
      </c>
      <c r="E410" s="211" t="s">
        <v>43</v>
      </c>
      <c r="F410" s="216"/>
      <c r="G410" s="211">
        <v>1E-3</v>
      </c>
      <c r="H410" s="211">
        <v>2</v>
      </c>
      <c r="I410" s="300">
        <f t="shared" si="25"/>
        <v>0.38610000000000005</v>
      </c>
      <c r="J410" s="230">
        <v>6</v>
      </c>
      <c r="K410" s="388">
        <v>454.87</v>
      </c>
      <c r="L410" s="302">
        <f t="shared" si="26"/>
        <v>351.25061400000004</v>
      </c>
      <c r="M410" s="303"/>
      <c r="N410" s="216"/>
      <c r="O410" s="216"/>
      <c r="P410" s="26"/>
    </row>
    <row r="411" spans="1:16" x14ac:dyDescent="0.25">
      <c r="A411" s="565"/>
      <c r="B411" s="523"/>
      <c r="C411" s="31" t="s">
        <v>203</v>
      </c>
      <c r="D411" s="215">
        <v>1</v>
      </c>
      <c r="E411" s="211" t="s">
        <v>44</v>
      </c>
      <c r="F411" s="216"/>
      <c r="G411" s="211">
        <v>1E-4</v>
      </c>
      <c r="H411" s="211">
        <v>4</v>
      </c>
      <c r="I411" s="300">
        <f t="shared" si="25"/>
        <v>3.8610000000000005E-2</v>
      </c>
      <c r="J411" s="230">
        <v>6</v>
      </c>
      <c r="K411" s="388">
        <v>454.87</v>
      </c>
      <c r="L411" s="302">
        <f t="shared" si="26"/>
        <v>70.250122800000014</v>
      </c>
      <c r="M411" s="303"/>
      <c r="N411" s="216"/>
      <c r="O411" s="216"/>
      <c r="P411" s="26"/>
    </row>
    <row r="412" spans="1:16" x14ac:dyDescent="0.25">
      <c r="A412" s="565"/>
      <c r="B412" s="523"/>
      <c r="C412" s="31" t="s">
        <v>72</v>
      </c>
      <c r="D412" s="215">
        <v>2</v>
      </c>
      <c r="E412" s="211" t="s">
        <v>43</v>
      </c>
      <c r="F412" s="216"/>
      <c r="G412" s="211">
        <v>1E-3</v>
      </c>
      <c r="H412" s="211">
        <v>2</v>
      </c>
      <c r="I412" s="300">
        <f t="shared" si="25"/>
        <v>0.77220000000000011</v>
      </c>
      <c r="J412" s="230">
        <v>6</v>
      </c>
      <c r="K412" s="388">
        <v>454.87</v>
      </c>
      <c r="L412" s="302">
        <f t="shared" si="26"/>
        <v>702.50122800000008</v>
      </c>
      <c r="M412" s="303"/>
      <c r="N412" s="216"/>
      <c r="O412" s="216"/>
      <c r="P412" s="26"/>
    </row>
    <row r="413" spans="1:16" x14ac:dyDescent="0.25">
      <c r="A413" s="565"/>
      <c r="B413" s="523"/>
      <c r="C413" s="31" t="s">
        <v>72</v>
      </c>
      <c r="D413" s="215">
        <v>2</v>
      </c>
      <c r="E413" s="211" t="s">
        <v>44</v>
      </c>
      <c r="F413" s="216"/>
      <c r="G413" s="211">
        <v>1E-4</v>
      </c>
      <c r="H413" s="211">
        <v>4</v>
      </c>
      <c r="I413" s="300">
        <f t="shared" si="25"/>
        <v>7.7220000000000011E-2</v>
      </c>
      <c r="J413" s="230">
        <v>6</v>
      </c>
      <c r="K413" s="388">
        <v>454.87</v>
      </c>
      <c r="L413" s="302">
        <f t="shared" si="26"/>
        <v>140.50024560000003</v>
      </c>
      <c r="M413" s="303"/>
      <c r="N413" s="216"/>
      <c r="O413" s="216"/>
      <c r="P413" s="26"/>
    </row>
    <row r="414" spans="1:16" x14ac:dyDescent="0.25">
      <c r="A414" s="565"/>
      <c r="B414" s="523"/>
      <c r="C414" s="31" t="s">
        <v>204</v>
      </c>
      <c r="D414" s="215">
        <v>1</v>
      </c>
      <c r="E414" s="211" t="s">
        <v>43</v>
      </c>
      <c r="F414" s="216"/>
      <c r="G414" s="211">
        <v>1E-3</v>
      </c>
      <c r="H414" s="211">
        <v>2</v>
      </c>
      <c r="I414" s="300">
        <f t="shared" si="25"/>
        <v>0.38610000000000005</v>
      </c>
      <c r="J414" s="230">
        <v>6</v>
      </c>
      <c r="K414" s="388">
        <v>454.87</v>
      </c>
      <c r="L414" s="302">
        <f t="shared" si="26"/>
        <v>351.25061400000004</v>
      </c>
      <c r="M414" s="303"/>
      <c r="N414" s="216"/>
      <c r="O414" s="216"/>
      <c r="P414" s="26"/>
    </row>
    <row r="415" spans="1:16" x14ac:dyDescent="0.25">
      <c r="A415" s="565"/>
      <c r="B415" s="523"/>
      <c r="C415" s="31" t="s">
        <v>204</v>
      </c>
      <c r="D415" s="215">
        <v>1</v>
      </c>
      <c r="E415" s="211" t="s">
        <v>44</v>
      </c>
      <c r="F415" s="216"/>
      <c r="G415" s="211">
        <v>1E-4</v>
      </c>
      <c r="H415" s="211">
        <v>4</v>
      </c>
      <c r="I415" s="300">
        <f t="shared" si="25"/>
        <v>3.8610000000000005E-2</v>
      </c>
      <c r="J415" s="230">
        <v>6</v>
      </c>
      <c r="K415" s="388">
        <v>454.87</v>
      </c>
      <c r="L415" s="302">
        <f t="shared" si="26"/>
        <v>70.250122800000014</v>
      </c>
      <c r="M415" s="303"/>
      <c r="N415" s="216"/>
      <c r="O415" s="216"/>
      <c r="P415" s="26"/>
    </row>
    <row r="416" spans="1:16" x14ac:dyDescent="0.25">
      <c r="A416" s="565"/>
      <c r="B416" s="523"/>
      <c r="C416" s="31" t="s">
        <v>71</v>
      </c>
      <c r="D416" s="215">
        <v>2</v>
      </c>
      <c r="E416" s="211" t="s">
        <v>43</v>
      </c>
      <c r="F416" s="216"/>
      <c r="G416" s="211">
        <v>1E-3</v>
      </c>
      <c r="H416" s="211">
        <v>2</v>
      </c>
      <c r="I416" s="300">
        <f t="shared" si="25"/>
        <v>0.77220000000000011</v>
      </c>
      <c r="J416" s="230">
        <v>6</v>
      </c>
      <c r="K416" s="388">
        <v>454.87</v>
      </c>
      <c r="L416" s="302">
        <f t="shared" si="26"/>
        <v>702.50122800000008</v>
      </c>
      <c r="M416" s="303"/>
      <c r="N416" s="216"/>
      <c r="O416" s="216"/>
      <c r="P416" s="26"/>
    </row>
    <row r="417" spans="1:16" x14ac:dyDescent="0.25">
      <c r="A417" s="565"/>
      <c r="B417" s="523"/>
      <c r="C417" s="31" t="s">
        <v>71</v>
      </c>
      <c r="D417" s="215">
        <v>2</v>
      </c>
      <c r="E417" s="211" t="s">
        <v>44</v>
      </c>
      <c r="F417" s="216"/>
      <c r="G417" s="211">
        <v>1E-4</v>
      </c>
      <c r="H417" s="211">
        <v>4</v>
      </c>
      <c r="I417" s="300">
        <f t="shared" si="25"/>
        <v>7.7220000000000011E-2</v>
      </c>
      <c r="J417" s="230">
        <v>6</v>
      </c>
      <c r="K417" s="388">
        <v>454.87</v>
      </c>
      <c r="L417" s="302">
        <f t="shared" si="26"/>
        <v>140.50024560000003</v>
      </c>
      <c r="M417" s="303"/>
      <c r="N417" s="216"/>
      <c r="O417" s="216"/>
      <c r="P417" s="26"/>
    </row>
    <row r="418" spans="1:16" x14ac:dyDescent="0.25">
      <c r="A418" s="565"/>
      <c r="B418" s="523"/>
      <c r="C418" s="31" t="s">
        <v>70</v>
      </c>
      <c r="D418" s="215">
        <v>5</v>
      </c>
      <c r="E418" s="211" t="s">
        <v>43</v>
      </c>
      <c r="F418" s="216"/>
      <c r="G418" s="211">
        <v>1E-3</v>
      </c>
      <c r="H418" s="211">
        <v>2</v>
      </c>
      <c r="I418" s="300">
        <f t="shared" si="25"/>
        <v>1.9305000000000003</v>
      </c>
      <c r="J418" s="230">
        <v>6</v>
      </c>
      <c r="K418" s="388">
        <v>454.87</v>
      </c>
      <c r="L418" s="302">
        <f t="shared" si="26"/>
        <v>1756.2530700000002</v>
      </c>
      <c r="M418" s="303"/>
      <c r="N418" s="216"/>
      <c r="O418" s="216"/>
      <c r="P418" s="26"/>
    </row>
    <row r="419" spans="1:16" x14ac:dyDescent="0.25">
      <c r="A419" s="565"/>
      <c r="B419" s="523"/>
      <c r="C419" s="31" t="s">
        <v>70</v>
      </c>
      <c r="D419" s="215">
        <v>5</v>
      </c>
      <c r="E419" s="211" t="s">
        <v>44</v>
      </c>
      <c r="F419" s="216"/>
      <c r="G419" s="211">
        <v>1E-4</v>
      </c>
      <c r="H419" s="211">
        <v>4</v>
      </c>
      <c r="I419" s="300">
        <f t="shared" si="25"/>
        <v>0.19305000000000003</v>
      </c>
      <c r="J419" s="230">
        <v>6</v>
      </c>
      <c r="K419" s="388">
        <v>454.87</v>
      </c>
      <c r="L419" s="302">
        <f t="shared" si="26"/>
        <v>351.25061400000004</v>
      </c>
      <c r="M419" s="303"/>
      <c r="N419" s="216"/>
      <c r="O419" s="216"/>
      <c r="P419" s="26"/>
    </row>
    <row r="420" spans="1:16" ht="31.5" x14ac:dyDescent="0.25">
      <c r="A420" s="565"/>
      <c r="B420" s="523"/>
      <c r="C420" s="31" t="s">
        <v>205</v>
      </c>
      <c r="D420" s="215">
        <v>1</v>
      </c>
      <c r="E420" s="211" t="s">
        <v>43</v>
      </c>
      <c r="F420" s="216"/>
      <c r="G420" s="211">
        <v>1E-3</v>
      </c>
      <c r="H420" s="211">
        <v>2</v>
      </c>
      <c r="I420" s="300">
        <f t="shared" si="25"/>
        <v>0.38610000000000005</v>
      </c>
      <c r="J420" s="230">
        <v>6</v>
      </c>
      <c r="K420" s="388">
        <v>454.87</v>
      </c>
      <c r="L420" s="302">
        <f t="shared" si="26"/>
        <v>351.25061400000004</v>
      </c>
      <c r="M420" s="303"/>
      <c r="N420" s="216"/>
      <c r="O420" s="216"/>
      <c r="P420" s="26"/>
    </row>
    <row r="421" spans="1:16" ht="31.5" x14ac:dyDescent="0.25">
      <c r="A421" s="565"/>
      <c r="B421" s="523"/>
      <c r="C421" s="31" t="s">
        <v>205</v>
      </c>
      <c r="D421" s="215">
        <v>1</v>
      </c>
      <c r="E421" s="211" t="s">
        <v>44</v>
      </c>
      <c r="F421" s="216"/>
      <c r="G421" s="211">
        <v>1E-4</v>
      </c>
      <c r="H421" s="211">
        <v>4</v>
      </c>
      <c r="I421" s="300">
        <f t="shared" si="25"/>
        <v>3.8610000000000005E-2</v>
      </c>
      <c r="J421" s="230">
        <v>6</v>
      </c>
      <c r="K421" s="388">
        <v>454.87</v>
      </c>
      <c r="L421" s="302">
        <f t="shared" si="26"/>
        <v>70.250122800000014</v>
      </c>
      <c r="M421" s="303"/>
      <c r="N421" s="216"/>
      <c r="O421" s="216"/>
      <c r="P421" s="26"/>
    </row>
    <row r="422" spans="1:16" x14ac:dyDescent="0.25">
      <c r="A422" s="565"/>
      <c r="B422" s="523"/>
      <c r="C422" s="31" t="s">
        <v>92</v>
      </c>
      <c r="D422" s="215">
        <v>2</v>
      </c>
      <c r="E422" s="211" t="s">
        <v>43</v>
      </c>
      <c r="F422" s="216"/>
      <c r="G422" s="211">
        <v>1E-3</v>
      </c>
      <c r="H422" s="211">
        <v>2</v>
      </c>
      <c r="I422" s="300">
        <f t="shared" si="25"/>
        <v>0.77220000000000011</v>
      </c>
      <c r="J422" s="230">
        <v>6</v>
      </c>
      <c r="K422" s="388">
        <v>454.87</v>
      </c>
      <c r="L422" s="302">
        <f t="shared" si="26"/>
        <v>702.50122800000008</v>
      </c>
      <c r="M422" s="303"/>
      <c r="N422" s="216"/>
      <c r="O422" s="216"/>
      <c r="P422" s="26"/>
    </row>
    <row r="423" spans="1:16" x14ac:dyDescent="0.25">
      <c r="A423" s="565"/>
      <c r="B423" s="523"/>
      <c r="C423" s="31" t="s">
        <v>92</v>
      </c>
      <c r="D423" s="215">
        <v>2</v>
      </c>
      <c r="E423" s="211" t="s">
        <v>44</v>
      </c>
      <c r="F423" s="216"/>
      <c r="G423" s="211">
        <v>1E-4</v>
      </c>
      <c r="H423" s="211">
        <v>4</v>
      </c>
      <c r="I423" s="300">
        <f t="shared" si="25"/>
        <v>7.7220000000000011E-2</v>
      </c>
      <c r="J423" s="230">
        <v>6</v>
      </c>
      <c r="K423" s="388">
        <v>454.87</v>
      </c>
      <c r="L423" s="302">
        <f t="shared" si="26"/>
        <v>140.50024560000003</v>
      </c>
      <c r="M423" s="303"/>
      <c r="N423" s="216"/>
      <c r="O423" s="216"/>
      <c r="P423" s="26"/>
    </row>
    <row r="424" spans="1:16" x14ac:dyDescent="0.25">
      <c r="A424" s="565"/>
      <c r="B424" s="523"/>
      <c r="C424" s="31" t="s">
        <v>93</v>
      </c>
      <c r="D424" s="215">
        <v>1</v>
      </c>
      <c r="E424" s="211" t="s">
        <v>43</v>
      </c>
      <c r="F424" s="216"/>
      <c r="G424" s="211">
        <v>3.0000000000000001E-3</v>
      </c>
      <c r="H424" s="211">
        <v>2</v>
      </c>
      <c r="I424" s="300">
        <f t="shared" si="25"/>
        <v>1.1583000000000001</v>
      </c>
      <c r="J424" s="230">
        <v>6</v>
      </c>
      <c r="K424" s="388">
        <v>454.87</v>
      </c>
      <c r="L424" s="302">
        <f t="shared" si="26"/>
        <v>1053.7518420000001</v>
      </c>
      <c r="M424" s="303"/>
      <c r="N424" s="216"/>
      <c r="O424" s="216"/>
      <c r="P424" s="26"/>
    </row>
    <row r="425" spans="1:16" x14ac:dyDescent="0.25">
      <c r="A425" s="565"/>
      <c r="B425" s="523"/>
      <c r="C425" s="31" t="s">
        <v>93</v>
      </c>
      <c r="D425" s="215">
        <v>1</v>
      </c>
      <c r="E425" s="211" t="s">
        <v>44</v>
      </c>
      <c r="F425" s="216"/>
      <c r="G425" s="211">
        <v>2.9999999999999997E-4</v>
      </c>
      <c r="H425" s="211">
        <v>4</v>
      </c>
      <c r="I425" s="300">
        <f t="shared" si="25"/>
        <v>0.11583</v>
      </c>
      <c r="J425" s="230">
        <v>6</v>
      </c>
      <c r="K425" s="388">
        <v>454.87</v>
      </c>
      <c r="L425" s="302">
        <f t="shared" si="26"/>
        <v>210.75036840000001</v>
      </c>
      <c r="M425" s="303"/>
      <c r="N425" s="216"/>
      <c r="O425" s="216"/>
      <c r="P425" s="26"/>
    </row>
    <row r="426" spans="1:16" ht="31.5" x14ac:dyDescent="0.25">
      <c r="A426" s="565"/>
      <c r="B426" s="523"/>
      <c r="C426" s="532" t="s">
        <v>206</v>
      </c>
      <c r="D426" s="526">
        <v>2</v>
      </c>
      <c r="E426" s="566" t="s">
        <v>43</v>
      </c>
      <c r="F426" s="216"/>
      <c r="G426" s="566">
        <v>5.0000000000000001E-3</v>
      </c>
      <c r="H426" s="566">
        <v>2</v>
      </c>
      <c r="I426" s="563">
        <f>D426*G426*351*1.1</f>
        <v>3.8610000000000007</v>
      </c>
      <c r="J426" s="565">
        <v>6</v>
      </c>
      <c r="K426" s="564">
        <v>454.87</v>
      </c>
      <c r="L426" s="583">
        <f t="shared" si="26"/>
        <v>3512.5061400000004</v>
      </c>
      <c r="M426" s="304" t="s">
        <v>95</v>
      </c>
      <c r="N426" s="211">
        <v>2</v>
      </c>
      <c r="O426" s="211">
        <v>14</v>
      </c>
      <c r="P426" s="211">
        <f t="shared" ref="P426:P435" si="27">N426*O426</f>
        <v>28</v>
      </c>
    </row>
    <row r="427" spans="1:16" x14ac:dyDescent="0.25">
      <c r="A427" s="565"/>
      <c r="B427" s="523"/>
      <c r="C427" s="532"/>
      <c r="D427" s="526"/>
      <c r="E427" s="566"/>
      <c r="F427" s="216"/>
      <c r="G427" s="566"/>
      <c r="H427" s="566"/>
      <c r="I427" s="563"/>
      <c r="J427" s="565"/>
      <c r="K427" s="564"/>
      <c r="L427" s="585"/>
      <c r="M427" s="304" t="s">
        <v>106</v>
      </c>
      <c r="N427" s="211">
        <f t="shared" ref="N427:N435" si="28">N426</f>
        <v>2</v>
      </c>
      <c r="O427" s="211">
        <v>12</v>
      </c>
      <c r="P427" s="211">
        <f t="shared" si="27"/>
        <v>24</v>
      </c>
    </row>
    <row r="428" spans="1:16" ht="31.5" x14ac:dyDescent="0.25">
      <c r="A428" s="565"/>
      <c r="B428" s="523"/>
      <c r="C428" s="532"/>
      <c r="D428" s="526"/>
      <c r="E428" s="566"/>
      <c r="F428" s="216"/>
      <c r="G428" s="566"/>
      <c r="H428" s="566"/>
      <c r="I428" s="563"/>
      <c r="J428" s="565"/>
      <c r="K428" s="564"/>
      <c r="L428" s="585"/>
      <c r="M428" s="304" t="s">
        <v>97</v>
      </c>
      <c r="N428" s="211">
        <f t="shared" si="28"/>
        <v>2</v>
      </c>
      <c r="O428" s="211">
        <v>148</v>
      </c>
      <c r="P428" s="211">
        <f t="shared" si="27"/>
        <v>296</v>
      </c>
    </row>
    <row r="429" spans="1:16" x14ac:dyDescent="0.25">
      <c r="A429" s="565"/>
      <c r="B429" s="523"/>
      <c r="C429" s="532"/>
      <c r="D429" s="526"/>
      <c r="E429" s="566"/>
      <c r="F429" s="216"/>
      <c r="G429" s="566"/>
      <c r="H429" s="566"/>
      <c r="I429" s="563"/>
      <c r="J429" s="565"/>
      <c r="K429" s="564"/>
      <c r="L429" s="585"/>
      <c r="M429" s="304" t="s">
        <v>98</v>
      </c>
      <c r="N429" s="211">
        <f t="shared" si="28"/>
        <v>2</v>
      </c>
      <c r="O429" s="211">
        <v>14</v>
      </c>
      <c r="P429" s="211">
        <f t="shared" si="27"/>
        <v>28</v>
      </c>
    </row>
    <row r="430" spans="1:16" x14ac:dyDescent="0.25">
      <c r="A430" s="565"/>
      <c r="B430" s="523"/>
      <c r="C430" s="532"/>
      <c r="D430" s="526"/>
      <c r="E430" s="566"/>
      <c r="F430" s="216"/>
      <c r="G430" s="566"/>
      <c r="H430" s="566"/>
      <c r="I430" s="563"/>
      <c r="J430" s="565"/>
      <c r="K430" s="564"/>
      <c r="L430" s="585"/>
      <c r="M430" s="304" t="s">
        <v>99</v>
      </c>
      <c r="N430" s="211">
        <f t="shared" si="28"/>
        <v>2</v>
      </c>
      <c r="O430" s="211">
        <v>400</v>
      </c>
      <c r="P430" s="211">
        <f t="shared" si="27"/>
        <v>800</v>
      </c>
    </row>
    <row r="431" spans="1:16" x14ac:dyDescent="0.25">
      <c r="A431" s="565"/>
      <c r="B431" s="523"/>
      <c r="C431" s="532"/>
      <c r="D431" s="526"/>
      <c r="E431" s="566"/>
      <c r="F431" s="216"/>
      <c r="G431" s="566"/>
      <c r="H431" s="566"/>
      <c r="I431" s="563"/>
      <c r="J431" s="565"/>
      <c r="K431" s="564"/>
      <c r="L431" s="585"/>
      <c r="M431" s="304" t="s">
        <v>100</v>
      </c>
      <c r="N431" s="211">
        <f t="shared" si="28"/>
        <v>2</v>
      </c>
      <c r="O431" s="211">
        <v>1670</v>
      </c>
      <c r="P431" s="211">
        <f t="shared" si="27"/>
        <v>3340</v>
      </c>
    </row>
    <row r="432" spans="1:16" x14ac:dyDescent="0.25">
      <c r="A432" s="565"/>
      <c r="B432" s="523"/>
      <c r="C432" s="532"/>
      <c r="D432" s="526"/>
      <c r="E432" s="566"/>
      <c r="F432" s="216"/>
      <c r="G432" s="566"/>
      <c r="H432" s="566"/>
      <c r="I432" s="563"/>
      <c r="J432" s="565"/>
      <c r="K432" s="564"/>
      <c r="L432" s="585"/>
      <c r="M432" s="304" t="s">
        <v>101</v>
      </c>
      <c r="N432" s="211">
        <f t="shared" si="28"/>
        <v>2</v>
      </c>
      <c r="O432" s="211">
        <v>167</v>
      </c>
      <c r="P432" s="211">
        <f t="shared" si="27"/>
        <v>334</v>
      </c>
    </row>
    <row r="433" spans="1:16" x14ac:dyDescent="0.25">
      <c r="A433" s="565"/>
      <c r="B433" s="523"/>
      <c r="C433" s="532"/>
      <c r="D433" s="526"/>
      <c r="E433" s="566"/>
      <c r="F433" s="216"/>
      <c r="G433" s="566"/>
      <c r="H433" s="566"/>
      <c r="I433" s="563"/>
      <c r="J433" s="565"/>
      <c r="K433" s="564"/>
      <c r="L433" s="585"/>
      <c r="M433" s="304" t="s">
        <v>102</v>
      </c>
      <c r="N433" s="211">
        <f t="shared" si="28"/>
        <v>2</v>
      </c>
      <c r="O433" s="211">
        <v>72</v>
      </c>
      <c r="P433" s="211">
        <f t="shared" si="27"/>
        <v>144</v>
      </c>
    </row>
    <row r="434" spans="1:16" x14ac:dyDescent="0.25">
      <c r="A434" s="565"/>
      <c r="B434" s="523"/>
      <c r="C434" s="532"/>
      <c r="D434" s="526"/>
      <c r="E434" s="566"/>
      <c r="F434" s="216"/>
      <c r="G434" s="566"/>
      <c r="H434" s="566"/>
      <c r="I434" s="563"/>
      <c r="J434" s="565"/>
      <c r="K434" s="564"/>
      <c r="L434" s="585"/>
      <c r="M434" s="304" t="s">
        <v>103</v>
      </c>
      <c r="N434" s="211">
        <f t="shared" si="28"/>
        <v>2</v>
      </c>
      <c r="O434" s="211">
        <v>5.3</v>
      </c>
      <c r="P434" s="211">
        <f t="shared" si="27"/>
        <v>10.6</v>
      </c>
    </row>
    <row r="435" spans="1:16" x14ac:dyDescent="0.25">
      <c r="A435" s="565"/>
      <c r="B435" s="523"/>
      <c r="C435" s="532"/>
      <c r="D435" s="526"/>
      <c r="E435" s="566"/>
      <c r="F435" s="216"/>
      <c r="G435" s="566"/>
      <c r="H435" s="566"/>
      <c r="I435" s="563"/>
      <c r="J435" s="565"/>
      <c r="K435" s="564"/>
      <c r="L435" s="584"/>
      <c r="M435" s="304" t="s">
        <v>104</v>
      </c>
      <c r="N435" s="211">
        <f t="shared" si="28"/>
        <v>2</v>
      </c>
      <c r="O435" s="211">
        <v>190</v>
      </c>
      <c r="P435" s="211">
        <f t="shared" si="27"/>
        <v>380</v>
      </c>
    </row>
    <row r="436" spans="1:16" x14ac:dyDescent="0.25">
      <c r="A436" s="565"/>
      <c r="B436" s="523"/>
      <c r="C436" s="31" t="s">
        <v>206</v>
      </c>
      <c r="D436" s="215">
        <v>2</v>
      </c>
      <c r="E436" s="211" t="s">
        <v>44</v>
      </c>
      <c r="F436" s="216"/>
      <c r="G436" s="211">
        <v>5.0000000000000001E-4</v>
      </c>
      <c r="H436" s="211">
        <v>4</v>
      </c>
      <c r="I436" s="300">
        <f t="shared" si="25"/>
        <v>0.38610000000000005</v>
      </c>
      <c r="J436" s="230">
        <v>6</v>
      </c>
      <c r="K436" s="388">
        <v>454.87</v>
      </c>
      <c r="L436" s="302">
        <f t="shared" si="26"/>
        <v>702.50122800000008</v>
      </c>
      <c r="M436" s="303"/>
      <c r="N436" s="216"/>
      <c r="O436" s="216"/>
      <c r="P436" s="26"/>
    </row>
    <row r="437" spans="1:16" x14ac:dyDescent="0.25">
      <c r="A437" s="565"/>
      <c r="B437" s="523"/>
      <c r="C437" s="31" t="s">
        <v>109</v>
      </c>
      <c r="D437" s="215">
        <v>3</v>
      </c>
      <c r="E437" s="211" t="s">
        <v>43</v>
      </c>
      <c r="F437" s="216"/>
      <c r="G437" s="211">
        <v>1E-3</v>
      </c>
      <c r="H437" s="211">
        <v>2</v>
      </c>
      <c r="I437" s="300">
        <f t="shared" si="25"/>
        <v>1.1583000000000001</v>
      </c>
      <c r="J437" s="230">
        <v>6</v>
      </c>
      <c r="K437" s="388">
        <v>454.87</v>
      </c>
      <c r="L437" s="302">
        <f t="shared" si="26"/>
        <v>1053.7518420000001</v>
      </c>
      <c r="M437" s="303"/>
      <c r="N437" s="216"/>
      <c r="O437" s="216"/>
      <c r="P437" s="26"/>
    </row>
    <row r="438" spans="1:16" x14ac:dyDescent="0.25">
      <c r="A438" s="565"/>
      <c r="B438" s="523"/>
      <c r="C438" s="31" t="s">
        <v>109</v>
      </c>
      <c r="D438" s="215">
        <v>3</v>
      </c>
      <c r="E438" s="211" t="s">
        <v>44</v>
      </c>
      <c r="F438" s="216"/>
      <c r="G438" s="211">
        <v>1E-4</v>
      </c>
      <c r="H438" s="211">
        <v>4</v>
      </c>
      <c r="I438" s="300">
        <f t="shared" si="25"/>
        <v>0.11583000000000002</v>
      </c>
      <c r="J438" s="230">
        <v>6</v>
      </c>
      <c r="K438" s="388">
        <v>454.87</v>
      </c>
      <c r="L438" s="302">
        <f t="shared" si="26"/>
        <v>210.75036840000004</v>
      </c>
      <c r="M438" s="303"/>
      <c r="N438" s="216"/>
      <c r="O438" s="216"/>
      <c r="P438" s="26"/>
    </row>
    <row r="439" spans="1:16" x14ac:dyDescent="0.25">
      <c r="A439" s="565"/>
      <c r="B439" s="523"/>
      <c r="C439" s="31" t="s">
        <v>110</v>
      </c>
      <c r="D439" s="215">
        <v>3</v>
      </c>
      <c r="E439" s="211" t="s">
        <v>43</v>
      </c>
      <c r="F439" s="216"/>
      <c r="G439" s="211">
        <v>1E-3</v>
      </c>
      <c r="H439" s="211">
        <v>2</v>
      </c>
      <c r="I439" s="300">
        <f t="shared" si="25"/>
        <v>1.1583000000000001</v>
      </c>
      <c r="J439" s="230">
        <v>6</v>
      </c>
      <c r="K439" s="388">
        <v>454.87</v>
      </c>
      <c r="L439" s="302">
        <f t="shared" si="26"/>
        <v>1053.7518420000001</v>
      </c>
      <c r="M439" s="303"/>
      <c r="N439" s="216"/>
      <c r="O439" s="216"/>
      <c r="P439" s="26"/>
    </row>
    <row r="440" spans="1:16" x14ac:dyDescent="0.25">
      <c r="A440" s="565"/>
      <c r="B440" s="523"/>
      <c r="C440" s="31" t="s">
        <v>110</v>
      </c>
      <c r="D440" s="215">
        <v>3</v>
      </c>
      <c r="E440" s="211" t="s">
        <v>44</v>
      </c>
      <c r="F440" s="216"/>
      <c r="G440" s="211">
        <v>1E-4</v>
      </c>
      <c r="H440" s="211">
        <v>4</v>
      </c>
      <c r="I440" s="300">
        <f t="shared" si="25"/>
        <v>0.11583000000000002</v>
      </c>
      <c r="J440" s="230">
        <v>6</v>
      </c>
      <c r="K440" s="388">
        <v>454.87</v>
      </c>
      <c r="L440" s="302">
        <f t="shared" si="26"/>
        <v>210.75036840000004</v>
      </c>
      <c r="M440" s="303"/>
      <c r="N440" s="216"/>
      <c r="O440" s="216"/>
      <c r="P440" s="26"/>
    </row>
    <row r="441" spans="1:16" x14ac:dyDescent="0.25">
      <c r="A441" s="565"/>
      <c r="B441" s="523"/>
      <c r="C441" s="31" t="s">
        <v>111</v>
      </c>
      <c r="D441" s="215">
        <v>3</v>
      </c>
      <c r="E441" s="211" t="s">
        <v>43</v>
      </c>
      <c r="F441" s="216"/>
      <c r="G441" s="211">
        <v>1E-3</v>
      </c>
      <c r="H441" s="211">
        <v>2</v>
      </c>
      <c r="I441" s="300">
        <f t="shared" si="25"/>
        <v>1.1583000000000001</v>
      </c>
      <c r="J441" s="230">
        <v>6</v>
      </c>
      <c r="K441" s="388">
        <v>454.87</v>
      </c>
      <c r="L441" s="302">
        <f t="shared" si="26"/>
        <v>1053.7518420000001</v>
      </c>
      <c r="M441" s="303"/>
      <c r="N441" s="216"/>
      <c r="O441" s="216"/>
      <c r="P441" s="26"/>
    </row>
    <row r="442" spans="1:16" x14ac:dyDescent="0.25">
      <c r="A442" s="565"/>
      <c r="B442" s="523"/>
      <c r="C442" s="31" t="s">
        <v>111</v>
      </c>
      <c r="D442" s="215">
        <v>3</v>
      </c>
      <c r="E442" s="211" t="s">
        <v>44</v>
      </c>
      <c r="F442" s="216"/>
      <c r="G442" s="211">
        <v>1E-4</v>
      </c>
      <c r="H442" s="211">
        <v>4</v>
      </c>
      <c r="I442" s="300">
        <f t="shared" si="25"/>
        <v>0.11583000000000002</v>
      </c>
      <c r="J442" s="230">
        <v>6</v>
      </c>
      <c r="K442" s="388">
        <v>454.87</v>
      </c>
      <c r="L442" s="302">
        <f t="shared" si="26"/>
        <v>210.75036840000004</v>
      </c>
      <c r="M442" s="303"/>
      <c r="N442" s="216"/>
      <c r="O442" s="216"/>
      <c r="P442" s="26"/>
    </row>
    <row r="443" spans="1:16" ht="31.5" x14ac:dyDescent="0.25">
      <c r="A443" s="565"/>
      <c r="B443" s="523"/>
      <c r="C443" s="31" t="s">
        <v>59</v>
      </c>
      <c r="D443" s="215">
        <v>1</v>
      </c>
      <c r="E443" s="211" t="s">
        <v>43</v>
      </c>
      <c r="F443" s="216"/>
      <c r="G443" s="211">
        <v>1E-3</v>
      </c>
      <c r="H443" s="211">
        <v>2</v>
      </c>
      <c r="I443" s="300">
        <f t="shared" si="25"/>
        <v>0.38610000000000005</v>
      </c>
      <c r="J443" s="230">
        <v>6</v>
      </c>
      <c r="K443" s="388">
        <v>454.87</v>
      </c>
      <c r="L443" s="302">
        <f t="shared" si="26"/>
        <v>351.25061400000004</v>
      </c>
      <c r="M443" s="303"/>
      <c r="N443" s="216"/>
      <c r="O443" s="216"/>
      <c r="P443" s="26"/>
    </row>
    <row r="444" spans="1:16" ht="31.5" x14ac:dyDescent="0.25">
      <c r="A444" s="565"/>
      <c r="B444" s="523"/>
      <c r="C444" s="31" t="s">
        <v>59</v>
      </c>
      <c r="D444" s="215">
        <v>1</v>
      </c>
      <c r="E444" s="211" t="s">
        <v>44</v>
      </c>
      <c r="F444" s="216"/>
      <c r="G444" s="211">
        <v>1E-4</v>
      </c>
      <c r="H444" s="211">
        <v>4</v>
      </c>
      <c r="I444" s="300">
        <f t="shared" si="25"/>
        <v>3.8610000000000005E-2</v>
      </c>
      <c r="J444" s="230">
        <v>6</v>
      </c>
      <c r="K444" s="388">
        <v>454.87</v>
      </c>
      <c r="L444" s="302">
        <f t="shared" si="26"/>
        <v>70.250122800000014</v>
      </c>
      <c r="M444" s="303"/>
      <c r="N444" s="216"/>
      <c r="O444" s="216"/>
      <c r="P444" s="26"/>
    </row>
    <row r="445" spans="1:16" ht="31.5" x14ac:dyDescent="0.25">
      <c r="A445" s="565"/>
      <c r="B445" s="523"/>
      <c r="C445" s="31" t="s">
        <v>108</v>
      </c>
      <c r="D445" s="215">
        <v>6</v>
      </c>
      <c r="E445" s="211" t="s">
        <v>43</v>
      </c>
      <c r="F445" s="216"/>
      <c r="G445" s="211">
        <v>1E-3</v>
      </c>
      <c r="H445" s="211">
        <v>2</v>
      </c>
      <c r="I445" s="300">
        <f t="shared" si="25"/>
        <v>2.3166000000000002</v>
      </c>
      <c r="J445" s="230">
        <v>6</v>
      </c>
      <c r="K445" s="388">
        <v>454.87</v>
      </c>
      <c r="L445" s="302">
        <f t="shared" si="26"/>
        <v>2107.5036840000002</v>
      </c>
      <c r="M445" s="303"/>
      <c r="N445" s="216"/>
      <c r="O445" s="216"/>
      <c r="P445" s="26"/>
    </row>
    <row r="446" spans="1:16" ht="31.5" x14ac:dyDescent="0.25">
      <c r="A446" s="565"/>
      <c r="B446" s="523"/>
      <c r="C446" s="31" t="s">
        <v>108</v>
      </c>
      <c r="D446" s="215">
        <v>6</v>
      </c>
      <c r="E446" s="211" t="s">
        <v>44</v>
      </c>
      <c r="F446" s="216"/>
      <c r="G446" s="211">
        <v>1E-4</v>
      </c>
      <c r="H446" s="211">
        <v>4</v>
      </c>
      <c r="I446" s="300">
        <f t="shared" si="25"/>
        <v>0.23166000000000003</v>
      </c>
      <c r="J446" s="230">
        <v>6</v>
      </c>
      <c r="K446" s="388">
        <v>454.87</v>
      </c>
      <c r="L446" s="302">
        <f t="shared" si="26"/>
        <v>421.50073680000008</v>
      </c>
      <c r="M446" s="303"/>
      <c r="N446" s="216"/>
      <c r="O446" s="216"/>
      <c r="P446" s="26"/>
    </row>
    <row r="447" spans="1:16" x14ac:dyDescent="0.25">
      <c r="A447" s="565"/>
      <c r="B447" s="523"/>
      <c r="C447" s="31" t="s">
        <v>207</v>
      </c>
      <c r="D447" s="32">
        <v>0.5</v>
      </c>
      <c r="E447" s="211" t="s">
        <v>43</v>
      </c>
      <c r="F447" s="216"/>
      <c r="G447" s="211">
        <v>2.4E-2</v>
      </c>
      <c r="H447" s="211">
        <v>2</v>
      </c>
      <c r="I447" s="300">
        <f t="shared" si="25"/>
        <v>4.6332000000000004</v>
      </c>
      <c r="J447" s="230">
        <v>6</v>
      </c>
      <c r="K447" s="388">
        <v>454.87</v>
      </c>
      <c r="L447" s="302">
        <f t="shared" si="26"/>
        <v>4215.0073680000005</v>
      </c>
      <c r="M447" s="303"/>
      <c r="N447" s="216"/>
      <c r="O447" s="216"/>
      <c r="P447" s="26"/>
    </row>
    <row r="448" spans="1:16" x14ac:dyDescent="0.25">
      <c r="A448" s="565"/>
      <c r="B448" s="523"/>
      <c r="C448" s="31" t="s">
        <v>207</v>
      </c>
      <c r="D448" s="32">
        <v>0.5</v>
      </c>
      <c r="E448" s="211" t="s">
        <v>44</v>
      </c>
      <c r="F448" s="216"/>
      <c r="G448" s="211">
        <v>2.3999999999999998E-3</v>
      </c>
      <c r="H448" s="211">
        <v>4</v>
      </c>
      <c r="I448" s="300">
        <f t="shared" si="25"/>
        <v>0.46332000000000001</v>
      </c>
      <c r="J448" s="230">
        <v>6</v>
      </c>
      <c r="K448" s="388">
        <v>454.87</v>
      </c>
      <c r="L448" s="302">
        <f t="shared" si="26"/>
        <v>843.00147360000005</v>
      </c>
      <c r="M448" s="303"/>
      <c r="N448" s="216"/>
      <c r="O448" s="216"/>
      <c r="P448" s="26"/>
    </row>
    <row r="449" spans="1:16" x14ac:dyDescent="0.25">
      <c r="A449" s="565"/>
      <c r="B449" s="523"/>
      <c r="C449" s="31" t="s">
        <v>158</v>
      </c>
      <c r="D449" s="306">
        <v>0.4</v>
      </c>
      <c r="E449" s="211" t="s">
        <v>43</v>
      </c>
      <c r="F449" s="216"/>
      <c r="G449" s="211">
        <v>2.4E-2</v>
      </c>
      <c r="H449" s="211">
        <v>2</v>
      </c>
      <c r="I449" s="300">
        <f t="shared" si="25"/>
        <v>3.7065600000000005</v>
      </c>
      <c r="J449" s="230">
        <v>6</v>
      </c>
      <c r="K449" s="388">
        <v>454.87</v>
      </c>
      <c r="L449" s="302">
        <f t="shared" si="26"/>
        <v>3372.0058944000007</v>
      </c>
      <c r="M449" s="303"/>
      <c r="N449" s="216"/>
      <c r="O449" s="216"/>
      <c r="P449" s="26"/>
    </row>
    <row r="450" spans="1:16" x14ac:dyDescent="0.25">
      <c r="A450" s="565"/>
      <c r="B450" s="523"/>
      <c r="C450" s="31" t="s">
        <v>158</v>
      </c>
      <c r="D450" s="306">
        <v>0.4</v>
      </c>
      <c r="E450" s="211" t="s">
        <v>44</v>
      </c>
      <c r="F450" s="216"/>
      <c r="G450" s="211">
        <v>2.3999999999999998E-3</v>
      </c>
      <c r="H450" s="211">
        <v>4</v>
      </c>
      <c r="I450" s="300">
        <f t="shared" si="25"/>
        <v>0.37065599999999999</v>
      </c>
      <c r="J450" s="230">
        <v>6</v>
      </c>
      <c r="K450" s="388">
        <v>454.87</v>
      </c>
      <c r="L450" s="302">
        <f t="shared" si="26"/>
        <v>674.40117887999997</v>
      </c>
      <c r="M450" s="303"/>
      <c r="N450" s="216"/>
      <c r="O450" s="216"/>
      <c r="P450" s="26"/>
    </row>
    <row r="451" spans="1:16" x14ac:dyDescent="0.25">
      <c r="A451" s="565"/>
      <c r="B451" s="523"/>
      <c r="C451" s="31" t="s">
        <v>159</v>
      </c>
      <c r="D451" s="306">
        <v>0.2</v>
      </c>
      <c r="E451" s="211" t="s">
        <v>43</v>
      </c>
      <c r="F451" s="216"/>
      <c r="G451" s="211">
        <v>2.4E-2</v>
      </c>
      <c r="H451" s="211">
        <v>2</v>
      </c>
      <c r="I451" s="300">
        <f t="shared" si="25"/>
        <v>1.8532800000000003</v>
      </c>
      <c r="J451" s="230">
        <v>6</v>
      </c>
      <c r="K451" s="388">
        <v>454.87</v>
      </c>
      <c r="L451" s="302">
        <f t="shared" si="26"/>
        <v>1686.0029472000003</v>
      </c>
      <c r="M451" s="303"/>
      <c r="N451" s="216"/>
      <c r="O451" s="216"/>
      <c r="P451" s="26"/>
    </row>
    <row r="452" spans="1:16" x14ac:dyDescent="0.25">
      <c r="A452" s="565"/>
      <c r="B452" s="523"/>
      <c r="C452" s="31" t="s">
        <v>159</v>
      </c>
      <c r="D452" s="306">
        <v>0.2</v>
      </c>
      <c r="E452" s="211" t="s">
        <v>44</v>
      </c>
      <c r="F452" s="216"/>
      <c r="G452" s="211">
        <v>2.3999999999999998E-3</v>
      </c>
      <c r="H452" s="211">
        <v>4</v>
      </c>
      <c r="I452" s="300">
        <f t="shared" si="25"/>
        <v>0.18532799999999999</v>
      </c>
      <c r="J452" s="230">
        <v>6</v>
      </c>
      <c r="K452" s="388">
        <v>454.87</v>
      </c>
      <c r="L452" s="302">
        <f t="shared" si="26"/>
        <v>337.20058943999999</v>
      </c>
      <c r="M452" s="303"/>
      <c r="N452" s="216"/>
      <c r="O452" s="216"/>
      <c r="P452" s="26"/>
    </row>
    <row r="453" spans="1:16" x14ac:dyDescent="0.25">
      <c r="A453" s="565"/>
      <c r="B453" s="523"/>
      <c r="C453" s="31" t="s">
        <v>208</v>
      </c>
      <c r="D453" s="306">
        <v>0.1</v>
      </c>
      <c r="E453" s="211" t="s">
        <v>43</v>
      </c>
      <c r="F453" s="216"/>
      <c r="G453" s="211">
        <v>2.4E-2</v>
      </c>
      <c r="H453" s="211">
        <v>2</v>
      </c>
      <c r="I453" s="300">
        <f t="shared" si="25"/>
        <v>0.92664000000000013</v>
      </c>
      <c r="J453" s="230">
        <v>6</v>
      </c>
      <c r="K453" s="388">
        <v>454.87</v>
      </c>
      <c r="L453" s="302">
        <f t="shared" si="26"/>
        <v>843.00147360000017</v>
      </c>
      <c r="M453" s="303"/>
      <c r="N453" s="216"/>
      <c r="O453" s="216"/>
      <c r="P453" s="26"/>
    </row>
    <row r="454" spans="1:16" x14ac:dyDescent="0.25">
      <c r="A454" s="565"/>
      <c r="B454" s="523"/>
      <c r="C454" s="31" t="s">
        <v>208</v>
      </c>
      <c r="D454" s="306">
        <v>0.1</v>
      </c>
      <c r="E454" s="211" t="s">
        <v>44</v>
      </c>
      <c r="F454" s="216"/>
      <c r="G454" s="211">
        <v>2.3999999999999998E-3</v>
      </c>
      <c r="H454" s="211">
        <v>4</v>
      </c>
      <c r="I454" s="300">
        <f t="shared" si="25"/>
        <v>9.2663999999999996E-2</v>
      </c>
      <c r="J454" s="230">
        <v>6</v>
      </c>
      <c r="K454" s="388">
        <v>454.87</v>
      </c>
      <c r="L454" s="302">
        <f t="shared" si="26"/>
        <v>168.60029471999999</v>
      </c>
      <c r="M454" s="303"/>
      <c r="N454" s="216"/>
      <c r="O454" s="216"/>
      <c r="P454" s="26"/>
    </row>
    <row r="455" spans="1:16" x14ac:dyDescent="0.25">
      <c r="A455" s="565"/>
      <c r="B455" s="523"/>
      <c r="C455" s="31" t="s">
        <v>209</v>
      </c>
      <c r="D455" s="306">
        <v>0.15</v>
      </c>
      <c r="E455" s="211" t="s">
        <v>43</v>
      </c>
      <c r="F455" s="216"/>
      <c r="G455" s="211">
        <v>2.4E-2</v>
      </c>
      <c r="H455" s="211">
        <v>2</v>
      </c>
      <c r="I455" s="300">
        <f t="shared" si="25"/>
        <v>1.3899600000000001</v>
      </c>
      <c r="J455" s="230">
        <v>6</v>
      </c>
      <c r="K455" s="388">
        <v>454.87</v>
      </c>
      <c r="L455" s="302">
        <f t="shared" ref="L455:L518" si="29">H455*I455*K455</f>
        <v>1264.5022104000002</v>
      </c>
      <c r="M455" s="303"/>
      <c r="N455" s="216"/>
      <c r="O455" s="216"/>
      <c r="P455" s="26"/>
    </row>
    <row r="456" spans="1:16" x14ac:dyDescent="0.25">
      <c r="A456" s="565"/>
      <c r="B456" s="523"/>
      <c r="C456" s="31" t="s">
        <v>209</v>
      </c>
      <c r="D456" s="306">
        <v>0.15</v>
      </c>
      <c r="E456" s="211" t="s">
        <v>44</v>
      </c>
      <c r="F456" s="216"/>
      <c r="G456" s="211">
        <v>2.3999999999999998E-3</v>
      </c>
      <c r="H456" s="211">
        <v>4</v>
      </c>
      <c r="I456" s="300">
        <f t="shared" si="25"/>
        <v>0.13899600000000001</v>
      </c>
      <c r="J456" s="230">
        <v>6</v>
      </c>
      <c r="K456" s="388">
        <v>454.87</v>
      </c>
      <c r="L456" s="302">
        <f t="shared" si="29"/>
        <v>252.90044208</v>
      </c>
      <c r="M456" s="303"/>
      <c r="N456" s="216"/>
      <c r="O456" s="216"/>
      <c r="P456" s="26"/>
    </row>
    <row r="457" spans="1:16" x14ac:dyDescent="0.25">
      <c r="A457" s="565"/>
      <c r="B457" s="523"/>
      <c r="C457" s="31" t="s">
        <v>210</v>
      </c>
      <c r="D457" s="308">
        <v>0.5</v>
      </c>
      <c r="E457" s="211" t="s">
        <v>43</v>
      </c>
      <c r="F457" s="216"/>
      <c r="G457" s="211">
        <v>2.4E-2</v>
      </c>
      <c r="H457" s="211">
        <v>2</v>
      </c>
      <c r="I457" s="300">
        <f t="shared" si="25"/>
        <v>4.6332000000000004</v>
      </c>
      <c r="J457" s="230">
        <v>6</v>
      </c>
      <c r="K457" s="388">
        <v>454.87</v>
      </c>
      <c r="L457" s="302">
        <f t="shared" si="29"/>
        <v>4215.0073680000005</v>
      </c>
      <c r="M457" s="303"/>
      <c r="N457" s="216"/>
      <c r="O457" s="216"/>
      <c r="P457" s="26"/>
    </row>
    <row r="458" spans="1:16" x14ac:dyDescent="0.25">
      <c r="A458" s="565"/>
      <c r="B458" s="523"/>
      <c r="C458" s="31" t="s">
        <v>210</v>
      </c>
      <c r="D458" s="308">
        <v>0.5</v>
      </c>
      <c r="E458" s="211" t="s">
        <v>44</v>
      </c>
      <c r="F458" s="216"/>
      <c r="G458" s="211">
        <v>2.3999999999999998E-3</v>
      </c>
      <c r="H458" s="211">
        <v>4</v>
      </c>
      <c r="I458" s="300">
        <f t="shared" si="25"/>
        <v>0.46332000000000001</v>
      </c>
      <c r="J458" s="230">
        <v>6</v>
      </c>
      <c r="K458" s="388">
        <v>454.87</v>
      </c>
      <c r="L458" s="302">
        <f t="shared" si="29"/>
        <v>843.00147360000005</v>
      </c>
      <c r="M458" s="303"/>
      <c r="N458" s="216"/>
      <c r="O458" s="216"/>
      <c r="P458" s="26"/>
    </row>
    <row r="459" spans="1:16" x14ac:dyDescent="0.25">
      <c r="A459" s="565">
        <v>5</v>
      </c>
      <c r="B459" s="523" t="s">
        <v>1033</v>
      </c>
      <c r="C459" s="31" t="s">
        <v>211</v>
      </c>
      <c r="D459" s="215">
        <v>12</v>
      </c>
      <c r="E459" s="211" t="s">
        <v>43</v>
      </c>
      <c r="F459" s="216"/>
      <c r="G459" s="211">
        <v>1E-3</v>
      </c>
      <c r="H459" s="211">
        <v>2</v>
      </c>
      <c r="I459" s="300">
        <f t="shared" ref="I459:I522" si="30">D459*G459*351*1.1</f>
        <v>4.6332000000000004</v>
      </c>
      <c r="J459" s="230">
        <v>6</v>
      </c>
      <c r="K459" s="388">
        <v>454.87</v>
      </c>
      <c r="L459" s="302">
        <f t="shared" si="29"/>
        <v>4215.0073680000005</v>
      </c>
      <c r="M459" s="303"/>
      <c r="N459" s="216"/>
      <c r="O459" s="216"/>
      <c r="P459" s="26"/>
    </row>
    <row r="460" spans="1:16" x14ac:dyDescent="0.25">
      <c r="A460" s="565"/>
      <c r="B460" s="523"/>
      <c r="C460" s="31" t="s">
        <v>211</v>
      </c>
      <c r="D460" s="215">
        <v>12</v>
      </c>
      <c r="E460" s="211" t="s">
        <v>44</v>
      </c>
      <c r="F460" s="216"/>
      <c r="G460" s="211">
        <v>1E-4</v>
      </c>
      <c r="H460" s="211">
        <v>4</v>
      </c>
      <c r="I460" s="300">
        <f t="shared" si="30"/>
        <v>0.46332000000000007</v>
      </c>
      <c r="J460" s="230">
        <v>6</v>
      </c>
      <c r="K460" s="388">
        <v>454.87</v>
      </c>
      <c r="L460" s="302">
        <f t="shared" si="29"/>
        <v>843.00147360000017</v>
      </c>
      <c r="M460" s="303"/>
      <c r="N460" s="216"/>
      <c r="O460" s="216"/>
      <c r="P460" s="26"/>
    </row>
    <row r="461" spans="1:16" x14ac:dyDescent="0.25">
      <c r="A461" s="565"/>
      <c r="B461" s="523"/>
      <c r="C461" s="31" t="s">
        <v>212</v>
      </c>
      <c r="D461" s="215">
        <v>4</v>
      </c>
      <c r="E461" s="211" t="s">
        <v>43</v>
      </c>
      <c r="F461" s="216"/>
      <c r="G461" s="211">
        <v>1E-3</v>
      </c>
      <c r="H461" s="211">
        <v>2</v>
      </c>
      <c r="I461" s="300">
        <f t="shared" si="30"/>
        <v>1.5444000000000002</v>
      </c>
      <c r="J461" s="230">
        <v>6</v>
      </c>
      <c r="K461" s="388">
        <v>454.87</v>
      </c>
      <c r="L461" s="302">
        <f t="shared" si="29"/>
        <v>1405.0024560000002</v>
      </c>
      <c r="M461" s="303"/>
      <c r="N461" s="216"/>
      <c r="O461" s="216"/>
      <c r="P461" s="26"/>
    </row>
    <row r="462" spans="1:16" x14ac:dyDescent="0.25">
      <c r="A462" s="565"/>
      <c r="B462" s="523"/>
      <c r="C462" s="31" t="s">
        <v>212</v>
      </c>
      <c r="D462" s="215">
        <v>4</v>
      </c>
      <c r="E462" s="211" t="s">
        <v>44</v>
      </c>
      <c r="F462" s="216"/>
      <c r="G462" s="211">
        <v>1E-4</v>
      </c>
      <c r="H462" s="211">
        <v>4</v>
      </c>
      <c r="I462" s="300">
        <f t="shared" si="30"/>
        <v>0.15444000000000002</v>
      </c>
      <c r="J462" s="230">
        <v>6</v>
      </c>
      <c r="K462" s="388">
        <v>454.87</v>
      </c>
      <c r="L462" s="302">
        <f t="shared" si="29"/>
        <v>281.00049120000006</v>
      </c>
      <c r="M462" s="303"/>
      <c r="N462" s="216"/>
      <c r="O462" s="216"/>
      <c r="P462" s="26"/>
    </row>
    <row r="463" spans="1:16" x14ac:dyDescent="0.25">
      <c r="A463" s="565"/>
      <c r="B463" s="523"/>
      <c r="C463" s="31" t="s">
        <v>213</v>
      </c>
      <c r="D463" s="215">
        <v>1</v>
      </c>
      <c r="E463" s="211" t="s">
        <v>43</v>
      </c>
      <c r="F463" s="216"/>
      <c r="G463" s="211">
        <v>1E-3</v>
      </c>
      <c r="H463" s="211">
        <v>2</v>
      </c>
      <c r="I463" s="300">
        <f t="shared" si="30"/>
        <v>0.38610000000000005</v>
      </c>
      <c r="J463" s="230">
        <v>6</v>
      </c>
      <c r="K463" s="388">
        <v>454.87</v>
      </c>
      <c r="L463" s="302">
        <f t="shared" si="29"/>
        <v>351.25061400000004</v>
      </c>
      <c r="M463" s="303"/>
      <c r="N463" s="216"/>
      <c r="O463" s="216"/>
      <c r="P463" s="26"/>
    </row>
    <row r="464" spans="1:16" x14ac:dyDescent="0.25">
      <c r="A464" s="565"/>
      <c r="B464" s="523"/>
      <c r="C464" s="31" t="s">
        <v>213</v>
      </c>
      <c r="D464" s="215">
        <v>1</v>
      </c>
      <c r="E464" s="211" t="s">
        <v>44</v>
      </c>
      <c r="F464" s="216"/>
      <c r="G464" s="211">
        <v>1E-4</v>
      </c>
      <c r="H464" s="211">
        <v>4</v>
      </c>
      <c r="I464" s="300">
        <f t="shared" si="30"/>
        <v>3.8610000000000005E-2</v>
      </c>
      <c r="J464" s="230">
        <v>6</v>
      </c>
      <c r="K464" s="388">
        <v>454.87</v>
      </c>
      <c r="L464" s="302">
        <f t="shared" si="29"/>
        <v>70.250122800000014</v>
      </c>
      <c r="M464" s="303"/>
      <c r="N464" s="216"/>
      <c r="O464" s="216"/>
      <c r="P464" s="26"/>
    </row>
    <row r="465" spans="1:16" x14ac:dyDescent="0.25">
      <c r="A465" s="565"/>
      <c r="B465" s="523"/>
      <c r="C465" s="31" t="s">
        <v>214</v>
      </c>
      <c r="D465" s="215">
        <v>4</v>
      </c>
      <c r="E465" s="211" t="s">
        <v>43</v>
      </c>
      <c r="F465" s="216"/>
      <c r="G465" s="211">
        <v>1E-3</v>
      </c>
      <c r="H465" s="211">
        <v>2</v>
      </c>
      <c r="I465" s="300">
        <f t="shared" si="30"/>
        <v>1.5444000000000002</v>
      </c>
      <c r="J465" s="230">
        <v>6</v>
      </c>
      <c r="K465" s="388">
        <v>454.87</v>
      </c>
      <c r="L465" s="302">
        <f t="shared" si="29"/>
        <v>1405.0024560000002</v>
      </c>
      <c r="M465" s="303"/>
      <c r="N465" s="216"/>
      <c r="O465" s="216"/>
      <c r="P465" s="26"/>
    </row>
    <row r="466" spans="1:16" x14ac:dyDescent="0.25">
      <c r="A466" s="565"/>
      <c r="B466" s="523"/>
      <c r="C466" s="31" t="s">
        <v>214</v>
      </c>
      <c r="D466" s="215">
        <v>4</v>
      </c>
      <c r="E466" s="211" t="s">
        <v>44</v>
      </c>
      <c r="F466" s="216"/>
      <c r="G466" s="211">
        <v>1E-4</v>
      </c>
      <c r="H466" s="211">
        <v>4</v>
      </c>
      <c r="I466" s="300">
        <f t="shared" si="30"/>
        <v>0.15444000000000002</v>
      </c>
      <c r="J466" s="230">
        <v>6</v>
      </c>
      <c r="K466" s="388">
        <v>454.87</v>
      </c>
      <c r="L466" s="302">
        <f t="shared" si="29"/>
        <v>281.00049120000006</v>
      </c>
      <c r="M466" s="303"/>
      <c r="N466" s="216"/>
      <c r="O466" s="216"/>
      <c r="P466" s="26"/>
    </row>
    <row r="467" spans="1:16" x14ac:dyDescent="0.25">
      <c r="A467" s="565"/>
      <c r="B467" s="523"/>
      <c r="C467" s="31" t="s">
        <v>215</v>
      </c>
      <c r="D467" s="215">
        <v>4</v>
      </c>
      <c r="E467" s="211" t="s">
        <v>43</v>
      </c>
      <c r="F467" s="216"/>
      <c r="G467" s="211">
        <v>1E-3</v>
      </c>
      <c r="H467" s="211">
        <v>2</v>
      </c>
      <c r="I467" s="300">
        <f t="shared" si="30"/>
        <v>1.5444000000000002</v>
      </c>
      <c r="J467" s="230">
        <v>6</v>
      </c>
      <c r="K467" s="388">
        <v>454.87</v>
      </c>
      <c r="L467" s="302">
        <f t="shared" si="29"/>
        <v>1405.0024560000002</v>
      </c>
      <c r="M467" s="303"/>
      <c r="N467" s="216"/>
      <c r="O467" s="216"/>
      <c r="P467" s="26"/>
    </row>
    <row r="468" spans="1:16" x14ac:dyDescent="0.25">
      <c r="A468" s="565"/>
      <c r="B468" s="523"/>
      <c r="C468" s="31" t="s">
        <v>215</v>
      </c>
      <c r="D468" s="215">
        <v>4</v>
      </c>
      <c r="E468" s="211" t="s">
        <v>44</v>
      </c>
      <c r="F468" s="216"/>
      <c r="G468" s="211">
        <v>1E-4</v>
      </c>
      <c r="H468" s="211">
        <v>4</v>
      </c>
      <c r="I468" s="300">
        <f t="shared" si="30"/>
        <v>0.15444000000000002</v>
      </c>
      <c r="J468" s="230">
        <v>6</v>
      </c>
      <c r="K468" s="388">
        <v>454.87</v>
      </c>
      <c r="L468" s="302">
        <f t="shared" si="29"/>
        <v>281.00049120000006</v>
      </c>
      <c r="M468" s="303"/>
      <c r="N468" s="216"/>
      <c r="O468" s="216"/>
      <c r="P468" s="26"/>
    </row>
    <row r="469" spans="1:16" x14ac:dyDescent="0.25">
      <c r="A469" s="565"/>
      <c r="B469" s="523"/>
      <c r="C469" s="31" t="s">
        <v>216</v>
      </c>
      <c r="D469" s="215">
        <v>4</v>
      </c>
      <c r="E469" s="211" t="s">
        <v>43</v>
      </c>
      <c r="F469" s="216"/>
      <c r="G469" s="211">
        <v>1E-3</v>
      </c>
      <c r="H469" s="211">
        <v>2</v>
      </c>
      <c r="I469" s="300">
        <f t="shared" si="30"/>
        <v>1.5444000000000002</v>
      </c>
      <c r="J469" s="230">
        <v>6</v>
      </c>
      <c r="K469" s="388">
        <v>454.87</v>
      </c>
      <c r="L469" s="302">
        <f t="shared" si="29"/>
        <v>1405.0024560000002</v>
      </c>
      <c r="M469" s="303"/>
      <c r="N469" s="216"/>
      <c r="O469" s="216"/>
      <c r="P469" s="26"/>
    </row>
    <row r="470" spans="1:16" x14ac:dyDescent="0.25">
      <c r="A470" s="565"/>
      <c r="B470" s="523"/>
      <c r="C470" s="31" t="s">
        <v>216</v>
      </c>
      <c r="D470" s="215">
        <v>4</v>
      </c>
      <c r="E470" s="211" t="s">
        <v>44</v>
      </c>
      <c r="F470" s="216"/>
      <c r="G470" s="211">
        <v>1E-4</v>
      </c>
      <c r="H470" s="211">
        <v>4</v>
      </c>
      <c r="I470" s="300">
        <f t="shared" si="30"/>
        <v>0.15444000000000002</v>
      </c>
      <c r="J470" s="230">
        <v>6</v>
      </c>
      <c r="K470" s="388">
        <v>454.87</v>
      </c>
      <c r="L470" s="302">
        <f t="shared" si="29"/>
        <v>281.00049120000006</v>
      </c>
      <c r="M470" s="303"/>
      <c r="N470" s="216"/>
      <c r="O470" s="216"/>
      <c r="P470" s="26"/>
    </row>
    <row r="471" spans="1:16" x14ac:dyDescent="0.25">
      <c r="A471" s="565"/>
      <c r="B471" s="523"/>
      <c r="C471" s="31" t="s">
        <v>217</v>
      </c>
      <c r="D471" s="215">
        <v>1</v>
      </c>
      <c r="E471" s="211" t="s">
        <v>43</v>
      </c>
      <c r="F471" s="216"/>
      <c r="G471" s="211">
        <v>1E-3</v>
      </c>
      <c r="H471" s="211">
        <v>2</v>
      </c>
      <c r="I471" s="300">
        <f t="shared" si="30"/>
        <v>0.38610000000000005</v>
      </c>
      <c r="J471" s="230">
        <v>6</v>
      </c>
      <c r="K471" s="388">
        <v>454.87</v>
      </c>
      <c r="L471" s="302">
        <f t="shared" si="29"/>
        <v>351.25061400000004</v>
      </c>
      <c r="M471" s="303"/>
      <c r="N471" s="216"/>
      <c r="O471" s="216"/>
      <c r="P471" s="26"/>
    </row>
    <row r="472" spans="1:16" x14ac:dyDescent="0.25">
      <c r="A472" s="565"/>
      <c r="B472" s="523"/>
      <c r="C472" s="31" t="s">
        <v>217</v>
      </c>
      <c r="D472" s="215">
        <v>1</v>
      </c>
      <c r="E472" s="211" t="s">
        <v>44</v>
      </c>
      <c r="F472" s="216"/>
      <c r="G472" s="211">
        <v>1E-4</v>
      </c>
      <c r="H472" s="211">
        <v>4</v>
      </c>
      <c r="I472" s="300">
        <f t="shared" si="30"/>
        <v>3.8610000000000005E-2</v>
      </c>
      <c r="J472" s="230">
        <v>6</v>
      </c>
      <c r="K472" s="388">
        <v>454.87</v>
      </c>
      <c r="L472" s="302">
        <f t="shared" si="29"/>
        <v>70.250122800000014</v>
      </c>
      <c r="M472" s="303"/>
      <c r="N472" s="216"/>
      <c r="O472" s="216"/>
      <c r="P472" s="26"/>
    </row>
    <row r="473" spans="1:16" x14ac:dyDescent="0.25">
      <c r="A473" s="565"/>
      <c r="B473" s="523"/>
      <c r="C473" s="31" t="s">
        <v>218</v>
      </c>
      <c r="D473" s="215">
        <v>1</v>
      </c>
      <c r="E473" s="211" t="s">
        <v>43</v>
      </c>
      <c r="F473" s="216"/>
      <c r="G473" s="211">
        <v>1E-3</v>
      </c>
      <c r="H473" s="211">
        <v>2</v>
      </c>
      <c r="I473" s="300">
        <f t="shared" si="30"/>
        <v>0.38610000000000005</v>
      </c>
      <c r="J473" s="230">
        <v>6</v>
      </c>
      <c r="K473" s="388">
        <v>454.87</v>
      </c>
      <c r="L473" s="302">
        <f t="shared" si="29"/>
        <v>351.25061400000004</v>
      </c>
      <c r="M473" s="303"/>
      <c r="N473" s="216"/>
      <c r="O473" s="216"/>
      <c r="P473" s="26"/>
    </row>
    <row r="474" spans="1:16" x14ac:dyDescent="0.25">
      <c r="A474" s="565"/>
      <c r="B474" s="523"/>
      <c r="C474" s="31" t="s">
        <v>218</v>
      </c>
      <c r="D474" s="215">
        <v>1</v>
      </c>
      <c r="E474" s="211" t="s">
        <v>44</v>
      </c>
      <c r="F474" s="216"/>
      <c r="G474" s="211">
        <v>1E-4</v>
      </c>
      <c r="H474" s="211">
        <v>4</v>
      </c>
      <c r="I474" s="300">
        <f t="shared" si="30"/>
        <v>3.8610000000000005E-2</v>
      </c>
      <c r="J474" s="230">
        <v>6</v>
      </c>
      <c r="K474" s="388">
        <v>454.87</v>
      </c>
      <c r="L474" s="302">
        <f t="shared" si="29"/>
        <v>70.250122800000014</v>
      </c>
      <c r="M474" s="303"/>
      <c r="N474" s="216"/>
      <c r="O474" s="216"/>
      <c r="P474" s="26"/>
    </row>
    <row r="475" spans="1:16" x14ac:dyDescent="0.25">
      <c r="A475" s="565"/>
      <c r="B475" s="523"/>
      <c r="C475" s="31" t="s">
        <v>219</v>
      </c>
      <c r="D475" s="215">
        <v>1</v>
      </c>
      <c r="E475" s="211" t="s">
        <v>43</v>
      </c>
      <c r="F475" s="216"/>
      <c r="G475" s="211">
        <v>1E-3</v>
      </c>
      <c r="H475" s="211">
        <v>2</v>
      </c>
      <c r="I475" s="300">
        <f t="shared" si="30"/>
        <v>0.38610000000000005</v>
      </c>
      <c r="J475" s="230">
        <v>6</v>
      </c>
      <c r="K475" s="388">
        <v>454.87</v>
      </c>
      <c r="L475" s="302">
        <f t="shared" si="29"/>
        <v>351.25061400000004</v>
      </c>
      <c r="M475" s="303"/>
      <c r="N475" s="216"/>
      <c r="O475" s="216"/>
      <c r="P475" s="26"/>
    </row>
    <row r="476" spans="1:16" x14ac:dyDescent="0.25">
      <c r="A476" s="565"/>
      <c r="B476" s="523"/>
      <c r="C476" s="31" t="s">
        <v>219</v>
      </c>
      <c r="D476" s="215">
        <v>1</v>
      </c>
      <c r="E476" s="211" t="s">
        <v>44</v>
      </c>
      <c r="F476" s="216"/>
      <c r="G476" s="211">
        <v>1E-4</v>
      </c>
      <c r="H476" s="211">
        <v>4</v>
      </c>
      <c r="I476" s="300">
        <f t="shared" si="30"/>
        <v>3.8610000000000005E-2</v>
      </c>
      <c r="J476" s="230">
        <v>6</v>
      </c>
      <c r="K476" s="388">
        <v>454.87</v>
      </c>
      <c r="L476" s="302">
        <f t="shared" si="29"/>
        <v>70.250122800000014</v>
      </c>
      <c r="M476" s="303"/>
      <c r="N476" s="216"/>
      <c r="O476" s="216"/>
      <c r="P476" s="26"/>
    </row>
    <row r="477" spans="1:16" x14ac:dyDescent="0.25">
      <c r="A477" s="565"/>
      <c r="B477" s="523"/>
      <c r="C477" s="31" t="s">
        <v>220</v>
      </c>
      <c r="D477" s="215">
        <v>2</v>
      </c>
      <c r="E477" s="211" t="s">
        <v>43</v>
      </c>
      <c r="F477" s="216"/>
      <c r="G477" s="211">
        <v>1E-3</v>
      </c>
      <c r="H477" s="211">
        <v>2</v>
      </c>
      <c r="I477" s="300">
        <f t="shared" si="30"/>
        <v>0.77220000000000011</v>
      </c>
      <c r="J477" s="230">
        <v>6</v>
      </c>
      <c r="K477" s="388">
        <v>454.87</v>
      </c>
      <c r="L477" s="302">
        <f t="shared" si="29"/>
        <v>702.50122800000008</v>
      </c>
      <c r="M477" s="303"/>
      <c r="N477" s="216"/>
      <c r="O477" s="216"/>
      <c r="P477" s="26"/>
    </row>
    <row r="478" spans="1:16" x14ac:dyDescent="0.25">
      <c r="A478" s="565"/>
      <c r="B478" s="523"/>
      <c r="C478" s="31" t="s">
        <v>221</v>
      </c>
      <c r="D478" s="215">
        <v>2</v>
      </c>
      <c r="E478" s="211" t="s">
        <v>44</v>
      </c>
      <c r="F478" s="216"/>
      <c r="G478" s="211">
        <v>1E-4</v>
      </c>
      <c r="H478" s="211">
        <v>4</v>
      </c>
      <c r="I478" s="300">
        <f t="shared" si="30"/>
        <v>7.7220000000000011E-2</v>
      </c>
      <c r="J478" s="230">
        <v>6</v>
      </c>
      <c r="K478" s="388">
        <v>454.87</v>
      </c>
      <c r="L478" s="302">
        <f t="shared" si="29"/>
        <v>140.50024560000003</v>
      </c>
      <c r="M478" s="303"/>
      <c r="N478" s="216"/>
      <c r="O478" s="216"/>
      <c r="P478" s="26"/>
    </row>
    <row r="479" spans="1:16" x14ac:dyDescent="0.25">
      <c r="A479" s="565"/>
      <c r="B479" s="523"/>
      <c r="C479" s="31" t="s">
        <v>222</v>
      </c>
      <c r="D479" s="215">
        <v>11</v>
      </c>
      <c r="E479" s="211" t="s">
        <v>43</v>
      </c>
      <c r="F479" s="216"/>
      <c r="G479" s="211">
        <v>1E-3</v>
      </c>
      <c r="H479" s="211">
        <v>2</v>
      </c>
      <c r="I479" s="300">
        <f t="shared" si="30"/>
        <v>4.2470999999999997</v>
      </c>
      <c r="J479" s="230">
        <v>6</v>
      </c>
      <c r="K479" s="388">
        <v>454.87</v>
      </c>
      <c r="L479" s="302">
        <f t="shared" si="29"/>
        <v>3863.7567539999995</v>
      </c>
      <c r="M479" s="303"/>
      <c r="N479" s="216"/>
      <c r="O479" s="216"/>
      <c r="P479" s="26"/>
    </row>
    <row r="480" spans="1:16" x14ac:dyDescent="0.25">
      <c r="A480" s="565"/>
      <c r="B480" s="523"/>
      <c r="C480" s="31" t="s">
        <v>223</v>
      </c>
      <c r="D480" s="215">
        <v>11</v>
      </c>
      <c r="E480" s="211" t="s">
        <v>44</v>
      </c>
      <c r="F480" s="216"/>
      <c r="G480" s="211">
        <v>1E-4</v>
      </c>
      <c r="H480" s="211">
        <v>4</v>
      </c>
      <c r="I480" s="300">
        <f t="shared" si="30"/>
        <v>0.42471000000000003</v>
      </c>
      <c r="J480" s="230">
        <v>6</v>
      </c>
      <c r="K480" s="388">
        <v>454.87</v>
      </c>
      <c r="L480" s="302">
        <f t="shared" si="29"/>
        <v>772.75135080000007</v>
      </c>
      <c r="M480" s="303"/>
      <c r="N480" s="216"/>
      <c r="O480" s="216"/>
      <c r="P480" s="26"/>
    </row>
    <row r="481" spans="1:16" x14ac:dyDescent="0.25">
      <c r="A481" s="565"/>
      <c r="B481" s="523"/>
      <c r="C481" s="31" t="s">
        <v>224</v>
      </c>
      <c r="D481" s="215">
        <v>4</v>
      </c>
      <c r="E481" s="211" t="s">
        <v>43</v>
      </c>
      <c r="F481" s="216"/>
      <c r="G481" s="211">
        <v>1E-3</v>
      </c>
      <c r="H481" s="211">
        <v>2</v>
      </c>
      <c r="I481" s="300">
        <f t="shared" si="30"/>
        <v>1.5444000000000002</v>
      </c>
      <c r="J481" s="230">
        <v>6</v>
      </c>
      <c r="K481" s="388">
        <v>454.87</v>
      </c>
      <c r="L481" s="302">
        <f t="shared" si="29"/>
        <v>1405.0024560000002</v>
      </c>
      <c r="M481" s="303"/>
      <c r="N481" s="216"/>
      <c r="O481" s="216"/>
      <c r="P481" s="26"/>
    </row>
    <row r="482" spans="1:16" x14ac:dyDescent="0.25">
      <c r="A482" s="565"/>
      <c r="B482" s="523"/>
      <c r="C482" s="31" t="s">
        <v>225</v>
      </c>
      <c r="D482" s="215">
        <v>4</v>
      </c>
      <c r="E482" s="211" t="s">
        <v>44</v>
      </c>
      <c r="F482" s="216"/>
      <c r="G482" s="211">
        <v>1E-4</v>
      </c>
      <c r="H482" s="211">
        <v>4</v>
      </c>
      <c r="I482" s="300">
        <f t="shared" si="30"/>
        <v>0.15444000000000002</v>
      </c>
      <c r="J482" s="230">
        <v>6</v>
      </c>
      <c r="K482" s="388">
        <v>454.87</v>
      </c>
      <c r="L482" s="302">
        <f t="shared" si="29"/>
        <v>281.00049120000006</v>
      </c>
      <c r="M482" s="303"/>
      <c r="N482" s="216"/>
      <c r="O482" s="216"/>
      <c r="P482" s="26"/>
    </row>
    <row r="483" spans="1:16" x14ac:dyDescent="0.25">
      <c r="A483" s="565"/>
      <c r="B483" s="523"/>
      <c r="C483" s="31" t="s">
        <v>226</v>
      </c>
      <c r="D483" s="215">
        <v>6</v>
      </c>
      <c r="E483" s="211" t="s">
        <v>43</v>
      </c>
      <c r="F483" s="216"/>
      <c r="G483" s="211">
        <v>1E-3</v>
      </c>
      <c r="H483" s="211">
        <v>2</v>
      </c>
      <c r="I483" s="300">
        <f t="shared" si="30"/>
        <v>2.3166000000000002</v>
      </c>
      <c r="J483" s="230">
        <v>6</v>
      </c>
      <c r="K483" s="388">
        <v>454.87</v>
      </c>
      <c r="L483" s="302">
        <f t="shared" si="29"/>
        <v>2107.5036840000002</v>
      </c>
      <c r="M483" s="303"/>
      <c r="N483" s="216"/>
      <c r="O483" s="216"/>
      <c r="P483" s="26"/>
    </row>
    <row r="484" spans="1:16" x14ac:dyDescent="0.25">
      <c r="A484" s="565"/>
      <c r="B484" s="523"/>
      <c r="C484" s="31" t="s">
        <v>227</v>
      </c>
      <c r="D484" s="215">
        <v>6</v>
      </c>
      <c r="E484" s="211" t="s">
        <v>44</v>
      </c>
      <c r="F484" s="216"/>
      <c r="G484" s="211">
        <v>1E-4</v>
      </c>
      <c r="H484" s="211">
        <v>4</v>
      </c>
      <c r="I484" s="300">
        <f t="shared" si="30"/>
        <v>0.23166000000000003</v>
      </c>
      <c r="J484" s="230">
        <v>6</v>
      </c>
      <c r="K484" s="388">
        <v>454.87</v>
      </c>
      <c r="L484" s="302">
        <f t="shared" si="29"/>
        <v>421.50073680000008</v>
      </c>
      <c r="M484" s="303"/>
      <c r="N484" s="216"/>
      <c r="O484" s="216"/>
      <c r="P484" s="26"/>
    </row>
    <row r="485" spans="1:16" x14ac:dyDescent="0.25">
      <c r="A485" s="565"/>
      <c r="B485" s="523"/>
      <c r="C485" s="31" t="s">
        <v>228</v>
      </c>
      <c r="D485" s="215">
        <v>4</v>
      </c>
      <c r="E485" s="211" t="s">
        <v>43</v>
      </c>
      <c r="F485" s="216"/>
      <c r="G485" s="211">
        <v>1E-3</v>
      </c>
      <c r="H485" s="211">
        <v>2</v>
      </c>
      <c r="I485" s="300">
        <f t="shared" si="30"/>
        <v>1.5444000000000002</v>
      </c>
      <c r="J485" s="230">
        <v>6</v>
      </c>
      <c r="K485" s="388">
        <v>454.87</v>
      </c>
      <c r="L485" s="302">
        <f t="shared" si="29"/>
        <v>1405.0024560000002</v>
      </c>
      <c r="M485" s="303"/>
      <c r="N485" s="216"/>
      <c r="O485" s="216"/>
      <c r="P485" s="26"/>
    </row>
    <row r="486" spans="1:16" x14ac:dyDescent="0.25">
      <c r="A486" s="565"/>
      <c r="B486" s="523"/>
      <c r="C486" s="31" t="s">
        <v>229</v>
      </c>
      <c r="D486" s="215">
        <v>4</v>
      </c>
      <c r="E486" s="211" t="s">
        <v>44</v>
      </c>
      <c r="F486" s="216"/>
      <c r="G486" s="211">
        <v>1E-4</v>
      </c>
      <c r="H486" s="211">
        <v>4</v>
      </c>
      <c r="I486" s="300">
        <f t="shared" si="30"/>
        <v>0.15444000000000002</v>
      </c>
      <c r="J486" s="230">
        <v>6</v>
      </c>
      <c r="K486" s="388">
        <v>454.87</v>
      </c>
      <c r="L486" s="302">
        <f t="shared" si="29"/>
        <v>281.00049120000006</v>
      </c>
      <c r="M486" s="303"/>
      <c r="N486" s="216"/>
      <c r="O486" s="216"/>
      <c r="P486" s="26"/>
    </row>
    <row r="487" spans="1:16" x14ac:dyDescent="0.25">
      <c r="A487" s="565"/>
      <c r="B487" s="523"/>
      <c r="C487" s="31" t="s">
        <v>230</v>
      </c>
      <c r="D487" s="215">
        <v>1</v>
      </c>
      <c r="E487" s="211" t="s">
        <v>43</v>
      </c>
      <c r="F487" s="216"/>
      <c r="G487" s="211">
        <v>1E-3</v>
      </c>
      <c r="H487" s="211">
        <v>2</v>
      </c>
      <c r="I487" s="300">
        <f t="shared" si="30"/>
        <v>0.38610000000000005</v>
      </c>
      <c r="J487" s="230">
        <v>6</v>
      </c>
      <c r="K487" s="388">
        <v>454.87</v>
      </c>
      <c r="L487" s="302">
        <f t="shared" si="29"/>
        <v>351.25061400000004</v>
      </c>
      <c r="M487" s="303"/>
      <c r="N487" s="216"/>
      <c r="O487" s="216"/>
      <c r="P487" s="26"/>
    </row>
    <row r="488" spans="1:16" x14ac:dyDescent="0.25">
      <c r="A488" s="565"/>
      <c r="B488" s="523"/>
      <c r="C488" s="31" t="s">
        <v>230</v>
      </c>
      <c r="D488" s="215">
        <v>1</v>
      </c>
      <c r="E488" s="211" t="s">
        <v>44</v>
      </c>
      <c r="F488" s="216"/>
      <c r="G488" s="211">
        <v>1E-4</v>
      </c>
      <c r="H488" s="211">
        <v>4</v>
      </c>
      <c r="I488" s="300">
        <f t="shared" si="30"/>
        <v>3.8610000000000005E-2</v>
      </c>
      <c r="J488" s="230">
        <v>6</v>
      </c>
      <c r="K488" s="388">
        <v>454.87</v>
      </c>
      <c r="L488" s="302">
        <f t="shared" si="29"/>
        <v>70.250122800000014</v>
      </c>
      <c r="M488" s="303"/>
      <c r="N488" s="216"/>
      <c r="O488" s="216"/>
      <c r="P488" s="26"/>
    </row>
    <row r="489" spans="1:16" x14ac:dyDescent="0.25">
      <c r="A489" s="565"/>
      <c r="B489" s="523"/>
      <c r="C489" s="31" t="s">
        <v>142</v>
      </c>
      <c r="D489" s="215">
        <v>1</v>
      </c>
      <c r="E489" s="211" t="s">
        <v>43</v>
      </c>
      <c r="F489" s="216"/>
      <c r="G489" s="211">
        <v>1E-3</v>
      </c>
      <c r="H489" s="211">
        <v>2</v>
      </c>
      <c r="I489" s="300">
        <f t="shared" si="30"/>
        <v>0.38610000000000005</v>
      </c>
      <c r="J489" s="230">
        <v>6</v>
      </c>
      <c r="K489" s="388">
        <v>454.87</v>
      </c>
      <c r="L489" s="302">
        <f t="shared" si="29"/>
        <v>351.25061400000004</v>
      </c>
      <c r="M489" s="303"/>
      <c r="N489" s="216"/>
      <c r="O489" s="216"/>
      <c r="P489" s="26"/>
    </row>
    <row r="490" spans="1:16" x14ac:dyDescent="0.25">
      <c r="A490" s="565"/>
      <c r="B490" s="523"/>
      <c r="C490" s="31" t="s">
        <v>142</v>
      </c>
      <c r="D490" s="215">
        <v>1</v>
      </c>
      <c r="E490" s="211" t="s">
        <v>44</v>
      </c>
      <c r="F490" s="216"/>
      <c r="G490" s="211">
        <v>1E-4</v>
      </c>
      <c r="H490" s="211">
        <v>4</v>
      </c>
      <c r="I490" s="300">
        <f t="shared" si="30"/>
        <v>3.8610000000000005E-2</v>
      </c>
      <c r="J490" s="230">
        <v>6</v>
      </c>
      <c r="K490" s="388">
        <v>454.87</v>
      </c>
      <c r="L490" s="302">
        <f t="shared" si="29"/>
        <v>70.250122800000014</v>
      </c>
      <c r="M490" s="303"/>
      <c r="N490" s="216"/>
      <c r="O490" s="216"/>
      <c r="P490" s="26"/>
    </row>
    <row r="491" spans="1:16" x14ac:dyDescent="0.25">
      <c r="A491" s="565"/>
      <c r="B491" s="523"/>
      <c r="C491" s="31" t="s">
        <v>66</v>
      </c>
      <c r="D491" s="215">
        <v>6</v>
      </c>
      <c r="E491" s="211" t="s">
        <v>43</v>
      </c>
      <c r="F491" s="216"/>
      <c r="G491" s="211">
        <v>1E-3</v>
      </c>
      <c r="H491" s="211">
        <v>2</v>
      </c>
      <c r="I491" s="300">
        <f t="shared" si="30"/>
        <v>2.3166000000000002</v>
      </c>
      <c r="J491" s="230">
        <v>6</v>
      </c>
      <c r="K491" s="388">
        <v>454.87</v>
      </c>
      <c r="L491" s="302">
        <f t="shared" si="29"/>
        <v>2107.5036840000002</v>
      </c>
      <c r="M491" s="303"/>
      <c r="N491" s="216"/>
      <c r="O491" s="216"/>
      <c r="P491" s="26"/>
    </row>
    <row r="492" spans="1:16" x14ac:dyDescent="0.25">
      <c r="A492" s="565"/>
      <c r="B492" s="523"/>
      <c r="C492" s="31" t="s">
        <v>66</v>
      </c>
      <c r="D492" s="215">
        <v>6</v>
      </c>
      <c r="E492" s="211" t="s">
        <v>44</v>
      </c>
      <c r="F492" s="216"/>
      <c r="G492" s="211">
        <v>1E-4</v>
      </c>
      <c r="H492" s="211">
        <v>4</v>
      </c>
      <c r="I492" s="300">
        <f t="shared" si="30"/>
        <v>0.23166000000000003</v>
      </c>
      <c r="J492" s="230">
        <v>6</v>
      </c>
      <c r="K492" s="388">
        <v>454.87</v>
      </c>
      <c r="L492" s="302">
        <f t="shared" si="29"/>
        <v>421.50073680000008</v>
      </c>
      <c r="M492" s="303"/>
      <c r="N492" s="216"/>
      <c r="O492" s="216"/>
      <c r="P492" s="26"/>
    </row>
    <row r="493" spans="1:16" x14ac:dyDescent="0.25">
      <c r="A493" s="565"/>
      <c r="B493" s="523"/>
      <c r="C493" s="31" t="s">
        <v>231</v>
      </c>
      <c r="D493" s="215">
        <v>1</v>
      </c>
      <c r="E493" s="211" t="s">
        <v>43</v>
      </c>
      <c r="F493" s="216"/>
      <c r="G493" s="211">
        <v>1E-3</v>
      </c>
      <c r="H493" s="211">
        <v>2</v>
      </c>
      <c r="I493" s="300">
        <f t="shared" si="30"/>
        <v>0.38610000000000005</v>
      </c>
      <c r="J493" s="230">
        <v>6</v>
      </c>
      <c r="K493" s="388">
        <v>454.87</v>
      </c>
      <c r="L493" s="302">
        <f t="shared" si="29"/>
        <v>351.25061400000004</v>
      </c>
      <c r="M493" s="303"/>
      <c r="N493" s="216"/>
      <c r="O493" s="216"/>
      <c r="P493" s="26"/>
    </row>
    <row r="494" spans="1:16" x14ac:dyDescent="0.25">
      <c r="A494" s="565"/>
      <c r="B494" s="523"/>
      <c r="C494" s="31" t="s">
        <v>231</v>
      </c>
      <c r="D494" s="215">
        <v>1</v>
      </c>
      <c r="E494" s="211" t="s">
        <v>44</v>
      </c>
      <c r="F494" s="216"/>
      <c r="G494" s="211">
        <v>1E-4</v>
      </c>
      <c r="H494" s="211">
        <v>4</v>
      </c>
      <c r="I494" s="300">
        <f t="shared" si="30"/>
        <v>3.8610000000000005E-2</v>
      </c>
      <c r="J494" s="230">
        <v>6</v>
      </c>
      <c r="K494" s="388">
        <v>454.87</v>
      </c>
      <c r="L494" s="302">
        <f t="shared" si="29"/>
        <v>70.250122800000014</v>
      </c>
      <c r="M494" s="303"/>
      <c r="N494" s="216"/>
      <c r="O494" s="216"/>
      <c r="P494" s="26"/>
    </row>
    <row r="495" spans="1:16" x14ac:dyDescent="0.25">
      <c r="A495" s="565"/>
      <c r="B495" s="523"/>
      <c r="C495" s="31" t="s">
        <v>232</v>
      </c>
      <c r="D495" s="215">
        <v>1</v>
      </c>
      <c r="E495" s="211" t="s">
        <v>43</v>
      </c>
      <c r="F495" s="216"/>
      <c r="G495" s="211">
        <v>3.0000000000000001E-3</v>
      </c>
      <c r="H495" s="211">
        <v>2</v>
      </c>
      <c r="I495" s="300">
        <f t="shared" si="30"/>
        <v>1.1583000000000001</v>
      </c>
      <c r="J495" s="230">
        <v>6</v>
      </c>
      <c r="K495" s="388">
        <v>454.87</v>
      </c>
      <c r="L495" s="302">
        <f t="shared" si="29"/>
        <v>1053.7518420000001</v>
      </c>
      <c r="M495" s="303"/>
      <c r="N495" s="216"/>
      <c r="O495" s="216"/>
      <c r="P495" s="26"/>
    </row>
    <row r="496" spans="1:16" x14ac:dyDescent="0.25">
      <c r="A496" s="565"/>
      <c r="B496" s="523"/>
      <c r="C496" s="31" t="s">
        <v>232</v>
      </c>
      <c r="D496" s="215">
        <v>3</v>
      </c>
      <c r="E496" s="211" t="s">
        <v>44</v>
      </c>
      <c r="F496" s="216"/>
      <c r="G496" s="211">
        <v>2.9999999999999997E-4</v>
      </c>
      <c r="H496" s="211">
        <v>4</v>
      </c>
      <c r="I496" s="300">
        <f t="shared" si="30"/>
        <v>0.34749000000000002</v>
      </c>
      <c r="J496" s="230">
        <v>6</v>
      </c>
      <c r="K496" s="388">
        <v>454.87</v>
      </c>
      <c r="L496" s="302">
        <f t="shared" si="29"/>
        <v>632.2511052000001</v>
      </c>
      <c r="M496" s="303"/>
      <c r="N496" s="216"/>
      <c r="O496" s="216"/>
      <c r="P496" s="26"/>
    </row>
    <row r="497" spans="1:16" x14ac:dyDescent="0.25">
      <c r="A497" s="565"/>
      <c r="B497" s="523"/>
      <c r="C497" s="31" t="s">
        <v>233</v>
      </c>
      <c r="D497" s="215">
        <v>3</v>
      </c>
      <c r="E497" s="211" t="s">
        <v>43</v>
      </c>
      <c r="F497" s="216"/>
      <c r="G497" s="211">
        <v>1E-3</v>
      </c>
      <c r="H497" s="211">
        <v>2</v>
      </c>
      <c r="I497" s="300">
        <f t="shared" si="30"/>
        <v>1.1583000000000001</v>
      </c>
      <c r="J497" s="230">
        <v>6</v>
      </c>
      <c r="K497" s="388">
        <v>454.87</v>
      </c>
      <c r="L497" s="302">
        <f t="shared" si="29"/>
        <v>1053.7518420000001</v>
      </c>
      <c r="M497" s="303"/>
      <c r="N497" s="216"/>
      <c r="O497" s="216"/>
      <c r="P497" s="26"/>
    </row>
    <row r="498" spans="1:16" x14ac:dyDescent="0.25">
      <c r="A498" s="565"/>
      <c r="B498" s="523"/>
      <c r="C498" s="31" t="s">
        <v>233</v>
      </c>
      <c r="D498" s="215">
        <v>3</v>
      </c>
      <c r="E498" s="211" t="s">
        <v>44</v>
      </c>
      <c r="F498" s="216"/>
      <c r="G498" s="211">
        <v>1E-4</v>
      </c>
      <c r="H498" s="211">
        <v>4</v>
      </c>
      <c r="I498" s="300">
        <f t="shared" si="30"/>
        <v>0.11583000000000002</v>
      </c>
      <c r="J498" s="230">
        <v>6</v>
      </c>
      <c r="K498" s="388">
        <v>454.87</v>
      </c>
      <c r="L498" s="302">
        <f t="shared" si="29"/>
        <v>210.75036840000004</v>
      </c>
      <c r="M498" s="303"/>
      <c r="N498" s="216"/>
      <c r="O498" s="216"/>
      <c r="P498" s="26"/>
    </row>
    <row r="499" spans="1:16" ht="31.5" x14ac:dyDescent="0.25">
      <c r="A499" s="565"/>
      <c r="B499" s="523"/>
      <c r="C499" s="31" t="s">
        <v>234</v>
      </c>
      <c r="D499" s="215">
        <v>1</v>
      </c>
      <c r="E499" s="211" t="s">
        <v>43</v>
      </c>
      <c r="F499" s="216"/>
      <c r="G499" s="211">
        <v>1E-3</v>
      </c>
      <c r="H499" s="211">
        <v>2</v>
      </c>
      <c r="I499" s="300">
        <f t="shared" si="30"/>
        <v>0.38610000000000005</v>
      </c>
      <c r="J499" s="230">
        <v>6</v>
      </c>
      <c r="K499" s="388">
        <v>454.87</v>
      </c>
      <c r="L499" s="302">
        <f t="shared" si="29"/>
        <v>351.25061400000004</v>
      </c>
      <c r="M499" s="303"/>
      <c r="N499" s="216"/>
      <c r="O499" s="216"/>
      <c r="P499" s="26"/>
    </row>
    <row r="500" spans="1:16" ht="31.5" x14ac:dyDescent="0.25">
      <c r="A500" s="565"/>
      <c r="B500" s="523"/>
      <c r="C500" s="31" t="s">
        <v>234</v>
      </c>
      <c r="D500" s="215">
        <v>1</v>
      </c>
      <c r="E500" s="211" t="s">
        <v>44</v>
      </c>
      <c r="F500" s="216"/>
      <c r="G500" s="211">
        <v>1E-4</v>
      </c>
      <c r="H500" s="211">
        <v>4</v>
      </c>
      <c r="I500" s="300">
        <f t="shared" si="30"/>
        <v>3.8610000000000005E-2</v>
      </c>
      <c r="J500" s="230">
        <v>6</v>
      </c>
      <c r="K500" s="388">
        <v>454.87</v>
      </c>
      <c r="L500" s="302">
        <f t="shared" si="29"/>
        <v>70.250122800000014</v>
      </c>
      <c r="M500" s="303"/>
      <c r="N500" s="216"/>
      <c r="O500" s="216"/>
      <c r="P500" s="26"/>
    </row>
    <row r="501" spans="1:16" x14ac:dyDescent="0.25">
      <c r="A501" s="565"/>
      <c r="B501" s="523"/>
      <c r="C501" s="31" t="s">
        <v>212</v>
      </c>
      <c r="D501" s="215">
        <v>4</v>
      </c>
      <c r="E501" s="211" t="s">
        <v>43</v>
      </c>
      <c r="F501" s="216"/>
      <c r="G501" s="211">
        <v>1E-3</v>
      </c>
      <c r="H501" s="211">
        <v>2</v>
      </c>
      <c r="I501" s="300">
        <f t="shared" si="30"/>
        <v>1.5444000000000002</v>
      </c>
      <c r="J501" s="230">
        <v>6</v>
      </c>
      <c r="K501" s="388">
        <v>454.87</v>
      </c>
      <c r="L501" s="302">
        <f t="shared" si="29"/>
        <v>1405.0024560000002</v>
      </c>
      <c r="M501" s="303"/>
      <c r="N501" s="216"/>
      <c r="O501" s="216"/>
      <c r="P501" s="26"/>
    </row>
    <row r="502" spans="1:16" x14ac:dyDescent="0.25">
      <c r="A502" s="565"/>
      <c r="B502" s="523"/>
      <c r="C502" s="31" t="s">
        <v>212</v>
      </c>
      <c r="D502" s="215">
        <v>4</v>
      </c>
      <c r="E502" s="211" t="s">
        <v>44</v>
      </c>
      <c r="F502" s="216"/>
      <c r="G502" s="211">
        <v>1E-4</v>
      </c>
      <c r="H502" s="211">
        <v>4</v>
      </c>
      <c r="I502" s="300">
        <f t="shared" si="30"/>
        <v>0.15444000000000002</v>
      </c>
      <c r="J502" s="230">
        <v>6</v>
      </c>
      <c r="K502" s="388">
        <v>454.87</v>
      </c>
      <c r="L502" s="302">
        <f t="shared" si="29"/>
        <v>281.00049120000006</v>
      </c>
      <c r="M502" s="303"/>
      <c r="N502" s="216"/>
      <c r="O502" s="216"/>
      <c r="P502" s="26"/>
    </row>
    <row r="503" spans="1:16" x14ac:dyDescent="0.25">
      <c r="A503" s="565"/>
      <c r="B503" s="523"/>
      <c r="C503" s="31" t="s">
        <v>235</v>
      </c>
      <c r="D503" s="215">
        <v>1</v>
      </c>
      <c r="E503" s="211" t="s">
        <v>43</v>
      </c>
      <c r="F503" s="216"/>
      <c r="G503" s="211">
        <v>1E-3</v>
      </c>
      <c r="H503" s="211">
        <v>2</v>
      </c>
      <c r="I503" s="300">
        <f t="shared" si="30"/>
        <v>0.38610000000000005</v>
      </c>
      <c r="J503" s="230">
        <v>6</v>
      </c>
      <c r="K503" s="388">
        <v>454.87</v>
      </c>
      <c r="L503" s="302">
        <f t="shared" si="29"/>
        <v>351.25061400000004</v>
      </c>
      <c r="M503" s="303"/>
      <c r="N503" s="216"/>
      <c r="O503" s="216"/>
      <c r="P503" s="26"/>
    </row>
    <row r="504" spans="1:16" x14ac:dyDescent="0.25">
      <c r="A504" s="565"/>
      <c r="B504" s="523"/>
      <c r="C504" s="31" t="s">
        <v>235</v>
      </c>
      <c r="D504" s="215">
        <v>1</v>
      </c>
      <c r="E504" s="211" t="s">
        <v>44</v>
      </c>
      <c r="F504" s="216"/>
      <c r="G504" s="211">
        <v>1E-4</v>
      </c>
      <c r="H504" s="211">
        <v>4</v>
      </c>
      <c r="I504" s="300">
        <f t="shared" si="30"/>
        <v>3.8610000000000005E-2</v>
      </c>
      <c r="J504" s="230">
        <v>6</v>
      </c>
      <c r="K504" s="388">
        <v>454.87</v>
      </c>
      <c r="L504" s="302">
        <f t="shared" si="29"/>
        <v>70.250122800000014</v>
      </c>
      <c r="M504" s="303"/>
      <c r="N504" s="216"/>
      <c r="O504" s="216"/>
      <c r="P504" s="26"/>
    </row>
    <row r="505" spans="1:16" x14ac:dyDescent="0.25">
      <c r="A505" s="565"/>
      <c r="B505" s="523"/>
      <c r="C505" s="31" t="s">
        <v>236</v>
      </c>
      <c r="D505" s="215">
        <v>3</v>
      </c>
      <c r="E505" s="211" t="s">
        <v>43</v>
      </c>
      <c r="F505" s="216"/>
      <c r="G505" s="211">
        <v>1E-3</v>
      </c>
      <c r="H505" s="211">
        <v>2</v>
      </c>
      <c r="I505" s="300">
        <f t="shared" si="30"/>
        <v>1.1583000000000001</v>
      </c>
      <c r="J505" s="230">
        <v>6</v>
      </c>
      <c r="K505" s="388">
        <v>454.87</v>
      </c>
      <c r="L505" s="302">
        <f t="shared" si="29"/>
        <v>1053.7518420000001</v>
      </c>
      <c r="M505" s="303"/>
      <c r="N505" s="216"/>
      <c r="O505" s="216"/>
      <c r="P505" s="26"/>
    </row>
    <row r="506" spans="1:16" x14ac:dyDescent="0.25">
      <c r="A506" s="565"/>
      <c r="B506" s="523"/>
      <c r="C506" s="31" t="s">
        <v>236</v>
      </c>
      <c r="D506" s="215">
        <v>3</v>
      </c>
      <c r="E506" s="211" t="s">
        <v>44</v>
      </c>
      <c r="F506" s="216"/>
      <c r="G506" s="211">
        <v>1E-4</v>
      </c>
      <c r="H506" s="211">
        <v>4</v>
      </c>
      <c r="I506" s="300">
        <f t="shared" si="30"/>
        <v>0.11583000000000002</v>
      </c>
      <c r="J506" s="230">
        <v>6</v>
      </c>
      <c r="K506" s="388">
        <v>454.87</v>
      </c>
      <c r="L506" s="302">
        <f t="shared" si="29"/>
        <v>210.75036840000004</v>
      </c>
      <c r="M506" s="303"/>
      <c r="N506" s="216"/>
      <c r="O506" s="216"/>
      <c r="P506" s="26"/>
    </row>
    <row r="507" spans="1:16" x14ac:dyDescent="0.25">
      <c r="A507" s="565"/>
      <c r="B507" s="523"/>
      <c r="C507" s="31" t="s">
        <v>237</v>
      </c>
      <c r="D507" s="215">
        <v>2</v>
      </c>
      <c r="E507" s="211" t="s">
        <v>43</v>
      </c>
      <c r="F507" s="216"/>
      <c r="G507" s="211">
        <v>1E-3</v>
      </c>
      <c r="H507" s="211">
        <v>2</v>
      </c>
      <c r="I507" s="300">
        <f t="shared" si="30"/>
        <v>0.77220000000000011</v>
      </c>
      <c r="J507" s="230">
        <v>6</v>
      </c>
      <c r="K507" s="388">
        <v>454.87</v>
      </c>
      <c r="L507" s="302">
        <f t="shared" si="29"/>
        <v>702.50122800000008</v>
      </c>
      <c r="M507" s="303"/>
      <c r="N507" s="216"/>
      <c r="O507" s="216"/>
      <c r="P507" s="26"/>
    </row>
    <row r="508" spans="1:16" x14ac:dyDescent="0.25">
      <c r="A508" s="565"/>
      <c r="B508" s="523"/>
      <c r="C508" s="31" t="s">
        <v>237</v>
      </c>
      <c r="D508" s="215">
        <v>2</v>
      </c>
      <c r="E508" s="211" t="s">
        <v>44</v>
      </c>
      <c r="F508" s="216"/>
      <c r="G508" s="211">
        <v>1E-4</v>
      </c>
      <c r="H508" s="211">
        <v>4</v>
      </c>
      <c r="I508" s="300">
        <f t="shared" si="30"/>
        <v>7.7220000000000011E-2</v>
      </c>
      <c r="J508" s="230">
        <v>6</v>
      </c>
      <c r="K508" s="388">
        <v>454.87</v>
      </c>
      <c r="L508" s="302">
        <f t="shared" si="29"/>
        <v>140.50024560000003</v>
      </c>
      <c r="M508" s="303"/>
      <c r="N508" s="216"/>
      <c r="O508" s="216"/>
      <c r="P508" s="26"/>
    </row>
    <row r="509" spans="1:16" x14ac:dyDescent="0.25">
      <c r="A509" s="565"/>
      <c r="B509" s="523"/>
      <c r="C509" s="31" t="s">
        <v>238</v>
      </c>
      <c r="D509" s="215">
        <v>1</v>
      </c>
      <c r="E509" s="211" t="s">
        <v>43</v>
      </c>
      <c r="F509" s="216"/>
      <c r="G509" s="211">
        <v>3.0000000000000001E-3</v>
      </c>
      <c r="H509" s="211">
        <v>2</v>
      </c>
      <c r="I509" s="300">
        <f t="shared" si="30"/>
        <v>1.1583000000000001</v>
      </c>
      <c r="J509" s="230">
        <v>6</v>
      </c>
      <c r="K509" s="388">
        <v>454.87</v>
      </c>
      <c r="L509" s="302">
        <f t="shared" si="29"/>
        <v>1053.7518420000001</v>
      </c>
      <c r="M509" s="303"/>
      <c r="N509" s="216"/>
      <c r="O509" s="216"/>
      <c r="P509" s="26"/>
    </row>
    <row r="510" spans="1:16" x14ac:dyDescent="0.25">
      <c r="A510" s="565"/>
      <c r="B510" s="523"/>
      <c r="C510" s="31" t="s">
        <v>238</v>
      </c>
      <c r="D510" s="215">
        <v>1</v>
      </c>
      <c r="E510" s="211" t="s">
        <v>44</v>
      </c>
      <c r="F510" s="216"/>
      <c r="G510" s="211">
        <v>2.9999999999999997E-4</v>
      </c>
      <c r="H510" s="211">
        <v>4</v>
      </c>
      <c r="I510" s="300">
        <f t="shared" si="30"/>
        <v>0.11583</v>
      </c>
      <c r="J510" s="230">
        <v>6</v>
      </c>
      <c r="K510" s="388">
        <v>454.87</v>
      </c>
      <c r="L510" s="302">
        <f t="shared" si="29"/>
        <v>210.75036840000001</v>
      </c>
      <c r="M510" s="303"/>
      <c r="N510" s="216"/>
      <c r="O510" s="216"/>
      <c r="P510" s="26"/>
    </row>
    <row r="511" spans="1:16" x14ac:dyDescent="0.25">
      <c r="A511" s="565"/>
      <c r="B511" s="523"/>
      <c r="C511" s="31" t="s">
        <v>239</v>
      </c>
      <c r="D511" s="215">
        <v>3</v>
      </c>
      <c r="E511" s="211" t="s">
        <v>43</v>
      </c>
      <c r="F511" s="216"/>
      <c r="G511" s="211">
        <v>3.0000000000000001E-3</v>
      </c>
      <c r="H511" s="211">
        <v>2</v>
      </c>
      <c r="I511" s="300">
        <f t="shared" si="30"/>
        <v>3.4749000000000008</v>
      </c>
      <c r="J511" s="230">
        <v>6</v>
      </c>
      <c r="K511" s="388">
        <v>454.87</v>
      </c>
      <c r="L511" s="302">
        <f t="shared" si="29"/>
        <v>3161.2555260000008</v>
      </c>
      <c r="M511" s="303"/>
      <c r="N511" s="216"/>
      <c r="O511" s="216"/>
      <c r="P511" s="26"/>
    </row>
    <row r="512" spans="1:16" x14ac:dyDescent="0.25">
      <c r="A512" s="565"/>
      <c r="B512" s="523"/>
      <c r="C512" s="31" t="s">
        <v>239</v>
      </c>
      <c r="D512" s="215">
        <v>3</v>
      </c>
      <c r="E512" s="211" t="s">
        <v>44</v>
      </c>
      <c r="F512" s="216"/>
      <c r="G512" s="211">
        <v>2.9999999999999997E-4</v>
      </c>
      <c r="H512" s="211">
        <v>4</v>
      </c>
      <c r="I512" s="300">
        <f t="shared" si="30"/>
        <v>0.34749000000000002</v>
      </c>
      <c r="J512" s="230">
        <v>6</v>
      </c>
      <c r="K512" s="388">
        <v>454.87</v>
      </c>
      <c r="L512" s="302">
        <f t="shared" si="29"/>
        <v>632.2511052000001</v>
      </c>
      <c r="M512" s="303"/>
      <c r="N512" s="216"/>
      <c r="O512" s="216"/>
      <c r="P512" s="26"/>
    </row>
    <row r="513" spans="1:16" x14ac:dyDescent="0.25">
      <c r="A513" s="565"/>
      <c r="B513" s="523"/>
      <c r="C513" s="31" t="s">
        <v>240</v>
      </c>
      <c r="D513" s="215">
        <v>3</v>
      </c>
      <c r="E513" s="211" t="s">
        <v>43</v>
      </c>
      <c r="F513" s="216"/>
      <c r="G513" s="211">
        <v>3.0000000000000001E-3</v>
      </c>
      <c r="H513" s="211">
        <v>2</v>
      </c>
      <c r="I513" s="300">
        <f t="shared" si="30"/>
        <v>3.4749000000000008</v>
      </c>
      <c r="J513" s="230">
        <v>6</v>
      </c>
      <c r="K513" s="388">
        <v>454.87</v>
      </c>
      <c r="L513" s="302">
        <f t="shared" si="29"/>
        <v>3161.2555260000008</v>
      </c>
      <c r="M513" s="303"/>
      <c r="N513" s="216"/>
      <c r="O513" s="216"/>
      <c r="P513" s="26"/>
    </row>
    <row r="514" spans="1:16" x14ac:dyDescent="0.25">
      <c r="A514" s="565"/>
      <c r="B514" s="523"/>
      <c r="C514" s="31" t="s">
        <v>240</v>
      </c>
      <c r="D514" s="215">
        <v>3</v>
      </c>
      <c r="E514" s="211" t="s">
        <v>44</v>
      </c>
      <c r="F514" s="216"/>
      <c r="G514" s="211">
        <v>2.9999999999999997E-4</v>
      </c>
      <c r="H514" s="211">
        <v>4</v>
      </c>
      <c r="I514" s="300">
        <f t="shared" si="30"/>
        <v>0.34749000000000002</v>
      </c>
      <c r="J514" s="230">
        <v>6</v>
      </c>
      <c r="K514" s="388">
        <v>454.87</v>
      </c>
      <c r="L514" s="302">
        <f t="shared" si="29"/>
        <v>632.2511052000001</v>
      </c>
      <c r="M514" s="303"/>
      <c r="N514" s="216"/>
      <c r="O514" s="216"/>
      <c r="P514" s="26"/>
    </row>
    <row r="515" spans="1:16" x14ac:dyDescent="0.25">
      <c r="A515" s="565"/>
      <c r="B515" s="523"/>
      <c r="C515" s="31" t="s">
        <v>238</v>
      </c>
      <c r="D515" s="215">
        <v>1</v>
      </c>
      <c r="E515" s="211" t="s">
        <v>43</v>
      </c>
      <c r="F515" s="216"/>
      <c r="G515" s="211">
        <v>3.0000000000000001E-3</v>
      </c>
      <c r="H515" s="211">
        <v>2</v>
      </c>
      <c r="I515" s="300">
        <f t="shared" si="30"/>
        <v>1.1583000000000001</v>
      </c>
      <c r="J515" s="230">
        <v>6</v>
      </c>
      <c r="K515" s="388">
        <v>454.87</v>
      </c>
      <c r="L515" s="302">
        <f t="shared" si="29"/>
        <v>1053.7518420000001</v>
      </c>
      <c r="M515" s="303"/>
      <c r="N515" s="216"/>
      <c r="O515" s="216"/>
      <c r="P515" s="26"/>
    </row>
    <row r="516" spans="1:16" x14ac:dyDescent="0.25">
      <c r="A516" s="565"/>
      <c r="B516" s="523"/>
      <c r="C516" s="31" t="s">
        <v>238</v>
      </c>
      <c r="D516" s="215">
        <v>1</v>
      </c>
      <c r="E516" s="211" t="s">
        <v>44</v>
      </c>
      <c r="F516" s="216"/>
      <c r="G516" s="211">
        <v>2.9999999999999997E-4</v>
      </c>
      <c r="H516" s="211">
        <v>4</v>
      </c>
      <c r="I516" s="300">
        <f t="shared" si="30"/>
        <v>0.11583</v>
      </c>
      <c r="J516" s="230">
        <v>6</v>
      </c>
      <c r="K516" s="388">
        <v>454.87</v>
      </c>
      <c r="L516" s="302">
        <f t="shared" si="29"/>
        <v>210.75036840000001</v>
      </c>
      <c r="M516" s="303"/>
      <c r="N516" s="216"/>
      <c r="O516" s="216"/>
      <c r="P516" s="26"/>
    </row>
    <row r="517" spans="1:16" x14ac:dyDescent="0.25">
      <c r="A517" s="565"/>
      <c r="B517" s="523"/>
      <c r="C517" s="31" t="s">
        <v>239</v>
      </c>
      <c r="D517" s="215">
        <v>3</v>
      </c>
      <c r="E517" s="211" t="s">
        <v>43</v>
      </c>
      <c r="F517" s="216"/>
      <c r="G517" s="211">
        <v>3.0000000000000001E-3</v>
      </c>
      <c r="H517" s="211">
        <v>2</v>
      </c>
      <c r="I517" s="300">
        <f t="shared" si="30"/>
        <v>3.4749000000000008</v>
      </c>
      <c r="J517" s="230">
        <v>6</v>
      </c>
      <c r="K517" s="388">
        <v>454.87</v>
      </c>
      <c r="L517" s="302">
        <f t="shared" si="29"/>
        <v>3161.2555260000008</v>
      </c>
      <c r="M517" s="303"/>
      <c r="N517" s="216"/>
      <c r="O517" s="216"/>
      <c r="P517" s="26"/>
    </row>
    <row r="518" spans="1:16" x14ac:dyDescent="0.25">
      <c r="A518" s="565"/>
      <c r="B518" s="523"/>
      <c r="C518" s="31" t="s">
        <v>239</v>
      </c>
      <c r="D518" s="215">
        <v>3</v>
      </c>
      <c r="E518" s="211" t="s">
        <v>44</v>
      </c>
      <c r="F518" s="216"/>
      <c r="G518" s="211">
        <v>2.9999999999999997E-4</v>
      </c>
      <c r="H518" s="211">
        <v>4</v>
      </c>
      <c r="I518" s="300">
        <f t="shared" si="30"/>
        <v>0.34749000000000002</v>
      </c>
      <c r="J518" s="230">
        <v>6</v>
      </c>
      <c r="K518" s="388">
        <v>454.87</v>
      </c>
      <c r="L518" s="302">
        <f t="shared" si="29"/>
        <v>632.2511052000001</v>
      </c>
      <c r="M518" s="303"/>
      <c r="N518" s="216"/>
      <c r="O518" s="216"/>
      <c r="P518" s="26"/>
    </row>
    <row r="519" spans="1:16" x14ac:dyDescent="0.25">
      <c r="A519" s="565"/>
      <c r="B519" s="523"/>
      <c r="C519" s="31" t="s">
        <v>240</v>
      </c>
      <c r="D519" s="215">
        <v>3</v>
      </c>
      <c r="E519" s="211" t="s">
        <v>43</v>
      </c>
      <c r="F519" s="216"/>
      <c r="G519" s="211">
        <v>3.0000000000000001E-3</v>
      </c>
      <c r="H519" s="211">
        <v>2</v>
      </c>
      <c r="I519" s="300">
        <f t="shared" si="30"/>
        <v>3.4749000000000008</v>
      </c>
      <c r="J519" s="230">
        <v>6</v>
      </c>
      <c r="K519" s="388">
        <v>454.87</v>
      </c>
      <c r="L519" s="302">
        <f t="shared" ref="L519:L582" si="31">H519*I519*K519</f>
        <v>3161.2555260000008</v>
      </c>
      <c r="M519" s="303"/>
      <c r="N519" s="216"/>
      <c r="O519" s="216"/>
      <c r="P519" s="26"/>
    </row>
    <row r="520" spans="1:16" x14ac:dyDescent="0.25">
      <c r="A520" s="565"/>
      <c r="B520" s="523"/>
      <c r="C520" s="31" t="s">
        <v>240</v>
      </c>
      <c r="D520" s="215">
        <v>3</v>
      </c>
      <c r="E520" s="211" t="s">
        <v>44</v>
      </c>
      <c r="F520" s="216"/>
      <c r="G520" s="211">
        <v>2.9999999999999997E-4</v>
      </c>
      <c r="H520" s="211">
        <v>4</v>
      </c>
      <c r="I520" s="300">
        <f t="shared" si="30"/>
        <v>0.34749000000000002</v>
      </c>
      <c r="J520" s="230">
        <v>6</v>
      </c>
      <c r="K520" s="388">
        <v>454.87</v>
      </c>
      <c r="L520" s="302">
        <f t="shared" si="31"/>
        <v>632.2511052000001</v>
      </c>
      <c r="M520" s="303"/>
      <c r="N520" s="216"/>
      <c r="O520" s="216"/>
      <c r="P520" s="26"/>
    </row>
    <row r="521" spans="1:16" x14ac:dyDescent="0.25">
      <c r="A521" s="565"/>
      <c r="B521" s="523"/>
      <c r="C521" s="31" t="s">
        <v>241</v>
      </c>
      <c r="D521" s="215">
        <v>1</v>
      </c>
      <c r="E521" s="211" t="s">
        <v>43</v>
      </c>
      <c r="F521" s="216"/>
      <c r="G521" s="211">
        <v>3.0000000000000001E-3</v>
      </c>
      <c r="H521" s="211">
        <v>2</v>
      </c>
      <c r="I521" s="300">
        <f t="shared" si="30"/>
        <v>1.1583000000000001</v>
      </c>
      <c r="J521" s="230">
        <v>6</v>
      </c>
      <c r="K521" s="388">
        <v>454.87</v>
      </c>
      <c r="L521" s="302">
        <f t="shared" si="31"/>
        <v>1053.7518420000001</v>
      </c>
      <c r="M521" s="303"/>
      <c r="N521" s="216"/>
      <c r="O521" s="216"/>
      <c r="P521" s="26"/>
    </row>
    <row r="522" spans="1:16" x14ac:dyDescent="0.25">
      <c r="A522" s="565"/>
      <c r="B522" s="523"/>
      <c r="C522" s="31" t="s">
        <v>241</v>
      </c>
      <c r="D522" s="215">
        <v>1</v>
      </c>
      <c r="E522" s="211" t="s">
        <v>44</v>
      </c>
      <c r="F522" s="216"/>
      <c r="G522" s="211">
        <v>2.9999999999999997E-4</v>
      </c>
      <c r="H522" s="211">
        <v>4</v>
      </c>
      <c r="I522" s="300">
        <f t="shared" si="30"/>
        <v>0.11583</v>
      </c>
      <c r="J522" s="230">
        <v>6</v>
      </c>
      <c r="K522" s="388">
        <v>454.87</v>
      </c>
      <c r="L522" s="302">
        <f t="shared" si="31"/>
        <v>210.75036840000001</v>
      </c>
      <c r="M522" s="303"/>
      <c r="N522" s="216"/>
      <c r="O522" s="216"/>
      <c r="P522" s="26"/>
    </row>
    <row r="523" spans="1:16" x14ac:dyDescent="0.25">
      <c r="A523" s="565"/>
      <c r="B523" s="523"/>
      <c r="C523" s="31" t="s">
        <v>242</v>
      </c>
      <c r="D523" s="215">
        <v>1</v>
      </c>
      <c r="E523" s="211" t="s">
        <v>43</v>
      </c>
      <c r="F523" s="216"/>
      <c r="G523" s="211">
        <v>4.0000000000000001E-3</v>
      </c>
      <c r="H523" s="211">
        <v>2</v>
      </c>
      <c r="I523" s="300">
        <f t="shared" ref="I523:I586" si="32">D523*G523*351*1.1</f>
        <v>1.5444000000000002</v>
      </c>
      <c r="J523" s="230">
        <v>6</v>
      </c>
      <c r="K523" s="388">
        <v>454.87</v>
      </c>
      <c r="L523" s="302">
        <f t="shared" si="31"/>
        <v>1405.0024560000002</v>
      </c>
      <c r="M523" s="303"/>
      <c r="N523" s="216"/>
      <c r="O523" s="216"/>
      <c r="P523" s="26"/>
    </row>
    <row r="524" spans="1:16" x14ac:dyDescent="0.25">
      <c r="A524" s="565"/>
      <c r="B524" s="523"/>
      <c r="C524" s="31" t="s">
        <v>242</v>
      </c>
      <c r="D524" s="215">
        <v>1</v>
      </c>
      <c r="E524" s="211" t="s">
        <v>44</v>
      </c>
      <c r="F524" s="216"/>
      <c r="G524" s="211">
        <v>4.0000000000000002E-4</v>
      </c>
      <c r="H524" s="211">
        <v>4</v>
      </c>
      <c r="I524" s="300">
        <f t="shared" si="32"/>
        <v>0.15444000000000002</v>
      </c>
      <c r="J524" s="230">
        <v>6</v>
      </c>
      <c r="K524" s="388">
        <v>454.87</v>
      </c>
      <c r="L524" s="302">
        <f t="shared" si="31"/>
        <v>281.00049120000006</v>
      </c>
      <c r="M524" s="303"/>
      <c r="N524" s="216"/>
      <c r="O524" s="216"/>
      <c r="P524" s="26"/>
    </row>
    <row r="525" spans="1:16" x14ac:dyDescent="0.25">
      <c r="A525" s="565"/>
      <c r="B525" s="523"/>
      <c r="C525" s="31" t="s">
        <v>243</v>
      </c>
      <c r="D525" s="215">
        <v>2</v>
      </c>
      <c r="E525" s="211" t="s">
        <v>43</v>
      </c>
      <c r="F525" s="216"/>
      <c r="G525" s="211">
        <v>1E-3</v>
      </c>
      <c r="H525" s="211">
        <v>2</v>
      </c>
      <c r="I525" s="300">
        <f t="shared" si="32"/>
        <v>0.77220000000000011</v>
      </c>
      <c r="J525" s="230">
        <v>6</v>
      </c>
      <c r="K525" s="388">
        <v>454.87</v>
      </c>
      <c r="L525" s="302">
        <f t="shared" si="31"/>
        <v>702.50122800000008</v>
      </c>
      <c r="M525" s="303"/>
      <c r="N525" s="216"/>
      <c r="O525" s="216"/>
      <c r="P525" s="26"/>
    </row>
    <row r="526" spans="1:16" x14ac:dyDescent="0.25">
      <c r="A526" s="565"/>
      <c r="B526" s="523"/>
      <c r="C526" s="31" t="s">
        <v>243</v>
      </c>
      <c r="D526" s="215">
        <v>2</v>
      </c>
      <c r="E526" s="211" t="s">
        <v>44</v>
      </c>
      <c r="F526" s="216"/>
      <c r="G526" s="211">
        <v>1E-4</v>
      </c>
      <c r="H526" s="211">
        <v>4</v>
      </c>
      <c r="I526" s="300">
        <f t="shared" si="32"/>
        <v>7.7220000000000011E-2</v>
      </c>
      <c r="J526" s="230">
        <v>6</v>
      </c>
      <c r="K526" s="388">
        <v>454.87</v>
      </c>
      <c r="L526" s="302">
        <f t="shared" si="31"/>
        <v>140.50024560000003</v>
      </c>
      <c r="M526" s="303"/>
      <c r="N526" s="216"/>
      <c r="O526" s="216"/>
      <c r="P526" s="26"/>
    </row>
    <row r="527" spans="1:16" x14ac:dyDescent="0.25">
      <c r="A527" s="565"/>
      <c r="B527" s="523"/>
      <c r="C527" s="31" t="s">
        <v>109</v>
      </c>
      <c r="D527" s="215">
        <v>4</v>
      </c>
      <c r="E527" s="211" t="s">
        <v>43</v>
      </c>
      <c r="F527" s="216"/>
      <c r="G527" s="211">
        <v>1E-3</v>
      </c>
      <c r="H527" s="211">
        <v>2</v>
      </c>
      <c r="I527" s="300">
        <f t="shared" si="32"/>
        <v>1.5444000000000002</v>
      </c>
      <c r="J527" s="230">
        <v>6</v>
      </c>
      <c r="K527" s="388">
        <v>454.87</v>
      </c>
      <c r="L527" s="302">
        <f t="shared" si="31"/>
        <v>1405.0024560000002</v>
      </c>
      <c r="M527" s="303"/>
      <c r="N527" s="216"/>
      <c r="O527" s="216"/>
      <c r="P527" s="26"/>
    </row>
    <row r="528" spans="1:16" x14ac:dyDescent="0.25">
      <c r="A528" s="565"/>
      <c r="B528" s="523"/>
      <c r="C528" s="31" t="s">
        <v>109</v>
      </c>
      <c r="D528" s="215">
        <v>4</v>
      </c>
      <c r="E528" s="211" t="s">
        <v>44</v>
      </c>
      <c r="F528" s="216"/>
      <c r="G528" s="211">
        <v>1E-4</v>
      </c>
      <c r="H528" s="211">
        <v>4</v>
      </c>
      <c r="I528" s="300">
        <f t="shared" si="32"/>
        <v>0.15444000000000002</v>
      </c>
      <c r="J528" s="230">
        <v>6</v>
      </c>
      <c r="K528" s="388">
        <v>454.87</v>
      </c>
      <c r="L528" s="302">
        <f t="shared" si="31"/>
        <v>281.00049120000006</v>
      </c>
      <c r="M528" s="303"/>
      <c r="N528" s="216"/>
      <c r="O528" s="216"/>
      <c r="P528" s="26"/>
    </row>
    <row r="529" spans="1:16" x14ac:dyDescent="0.25">
      <c r="A529" s="565"/>
      <c r="B529" s="523"/>
      <c r="C529" s="31" t="s">
        <v>110</v>
      </c>
      <c r="D529" s="215">
        <v>4</v>
      </c>
      <c r="E529" s="211" t="s">
        <v>43</v>
      </c>
      <c r="F529" s="216"/>
      <c r="G529" s="211">
        <v>1E-3</v>
      </c>
      <c r="H529" s="211">
        <v>2</v>
      </c>
      <c r="I529" s="300">
        <f t="shared" si="32"/>
        <v>1.5444000000000002</v>
      </c>
      <c r="J529" s="230">
        <v>6</v>
      </c>
      <c r="K529" s="388">
        <v>454.87</v>
      </c>
      <c r="L529" s="302">
        <f t="shared" si="31"/>
        <v>1405.0024560000002</v>
      </c>
      <c r="M529" s="303"/>
      <c r="N529" s="216"/>
      <c r="O529" s="216"/>
      <c r="P529" s="26"/>
    </row>
    <row r="530" spans="1:16" x14ac:dyDescent="0.25">
      <c r="A530" s="565"/>
      <c r="B530" s="523"/>
      <c r="C530" s="31" t="s">
        <v>110</v>
      </c>
      <c r="D530" s="215">
        <v>4</v>
      </c>
      <c r="E530" s="211" t="s">
        <v>44</v>
      </c>
      <c r="F530" s="216"/>
      <c r="G530" s="211">
        <v>1E-4</v>
      </c>
      <c r="H530" s="211">
        <v>4</v>
      </c>
      <c r="I530" s="300">
        <f t="shared" si="32"/>
        <v>0.15444000000000002</v>
      </c>
      <c r="J530" s="230">
        <v>6</v>
      </c>
      <c r="K530" s="388">
        <v>454.87</v>
      </c>
      <c r="L530" s="302">
        <f t="shared" si="31"/>
        <v>281.00049120000006</v>
      </c>
      <c r="M530" s="303"/>
      <c r="N530" s="216"/>
      <c r="O530" s="216"/>
      <c r="P530" s="26"/>
    </row>
    <row r="531" spans="1:16" x14ac:dyDescent="0.25">
      <c r="A531" s="565"/>
      <c r="B531" s="523"/>
      <c r="C531" s="31" t="s">
        <v>111</v>
      </c>
      <c r="D531" s="215">
        <v>4</v>
      </c>
      <c r="E531" s="211" t="s">
        <v>43</v>
      </c>
      <c r="F531" s="216"/>
      <c r="G531" s="211">
        <v>1E-3</v>
      </c>
      <c r="H531" s="211">
        <v>2</v>
      </c>
      <c r="I531" s="300">
        <f t="shared" si="32"/>
        <v>1.5444000000000002</v>
      </c>
      <c r="J531" s="230">
        <v>6</v>
      </c>
      <c r="K531" s="388">
        <v>454.87</v>
      </c>
      <c r="L531" s="302">
        <f t="shared" si="31"/>
        <v>1405.0024560000002</v>
      </c>
      <c r="M531" s="303"/>
      <c r="N531" s="216"/>
      <c r="O531" s="216"/>
      <c r="P531" s="26"/>
    </row>
    <row r="532" spans="1:16" x14ac:dyDescent="0.25">
      <c r="A532" s="565"/>
      <c r="B532" s="523"/>
      <c r="C532" s="31" t="s">
        <v>111</v>
      </c>
      <c r="D532" s="215">
        <v>4</v>
      </c>
      <c r="E532" s="211" t="s">
        <v>44</v>
      </c>
      <c r="F532" s="216"/>
      <c r="G532" s="211">
        <v>1E-4</v>
      </c>
      <c r="H532" s="211">
        <v>4</v>
      </c>
      <c r="I532" s="300">
        <f t="shared" si="32"/>
        <v>0.15444000000000002</v>
      </c>
      <c r="J532" s="230">
        <v>6</v>
      </c>
      <c r="K532" s="388">
        <v>454.87</v>
      </c>
      <c r="L532" s="302">
        <f t="shared" si="31"/>
        <v>281.00049120000006</v>
      </c>
      <c r="M532" s="303"/>
      <c r="N532" s="216"/>
      <c r="O532" s="216"/>
      <c r="P532" s="26"/>
    </row>
    <row r="533" spans="1:16" x14ac:dyDescent="0.25">
      <c r="A533" s="565"/>
      <c r="B533" s="523"/>
      <c r="C533" s="31" t="s">
        <v>244</v>
      </c>
      <c r="D533" s="215">
        <v>6</v>
      </c>
      <c r="E533" s="211" t="s">
        <v>43</v>
      </c>
      <c r="F533" s="216"/>
      <c r="G533" s="211">
        <v>1E-3</v>
      </c>
      <c r="H533" s="211">
        <v>2</v>
      </c>
      <c r="I533" s="300">
        <f t="shared" si="32"/>
        <v>2.3166000000000002</v>
      </c>
      <c r="J533" s="230">
        <v>6</v>
      </c>
      <c r="K533" s="388">
        <v>454.87</v>
      </c>
      <c r="L533" s="302">
        <f t="shared" si="31"/>
        <v>2107.5036840000002</v>
      </c>
      <c r="M533" s="303"/>
      <c r="N533" s="216"/>
      <c r="O533" s="216"/>
      <c r="P533" s="26"/>
    </row>
    <row r="534" spans="1:16" x14ac:dyDescent="0.25">
      <c r="A534" s="565"/>
      <c r="B534" s="523"/>
      <c r="C534" s="31" t="s">
        <v>244</v>
      </c>
      <c r="D534" s="215">
        <v>6</v>
      </c>
      <c r="E534" s="211" t="s">
        <v>44</v>
      </c>
      <c r="F534" s="216"/>
      <c r="G534" s="211">
        <v>1E-4</v>
      </c>
      <c r="H534" s="211">
        <v>4</v>
      </c>
      <c r="I534" s="300">
        <f t="shared" si="32"/>
        <v>0.23166000000000003</v>
      </c>
      <c r="J534" s="230">
        <v>6</v>
      </c>
      <c r="K534" s="388">
        <v>454.87</v>
      </c>
      <c r="L534" s="302">
        <f t="shared" si="31"/>
        <v>421.50073680000008</v>
      </c>
      <c r="M534" s="303"/>
      <c r="N534" s="216"/>
      <c r="O534" s="216"/>
      <c r="P534" s="26"/>
    </row>
    <row r="535" spans="1:16" x14ac:dyDescent="0.25">
      <c r="A535" s="565"/>
      <c r="B535" s="523"/>
      <c r="C535" s="31" t="s">
        <v>245</v>
      </c>
      <c r="D535" s="215">
        <v>2</v>
      </c>
      <c r="E535" s="211" t="s">
        <v>43</v>
      </c>
      <c r="F535" s="216"/>
      <c r="G535" s="211">
        <v>1E-3</v>
      </c>
      <c r="H535" s="211">
        <v>2</v>
      </c>
      <c r="I535" s="300">
        <f t="shared" si="32"/>
        <v>0.77220000000000011</v>
      </c>
      <c r="J535" s="230">
        <v>6</v>
      </c>
      <c r="K535" s="388">
        <v>454.87</v>
      </c>
      <c r="L535" s="302">
        <f t="shared" si="31"/>
        <v>702.50122800000008</v>
      </c>
      <c r="M535" s="303"/>
      <c r="N535" s="216"/>
      <c r="O535" s="216"/>
      <c r="P535" s="26"/>
    </row>
    <row r="536" spans="1:16" x14ac:dyDescent="0.25">
      <c r="A536" s="565"/>
      <c r="B536" s="523"/>
      <c r="C536" s="31" t="s">
        <v>245</v>
      </c>
      <c r="D536" s="215">
        <v>2</v>
      </c>
      <c r="E536" s="211" t="s">
        <v>44</v>
      </c>
      <c r="F536" s="216"/>
      <c r="G536" s="211">
        <v>1E-4</v>
      </c>
      <c r="H536" s="211">
        <v>4</v>
      </c>
      <c r="I536" s="300">
        <f t="shared" si="32"/>
        <v>7.7220000000000011E-2</v>
      </c>
      <c r="J536" s="230">
        <v>6</v>
      </c>
      <c r="K536" s="388">
        <v>454.87</v>
      </c>
      <c r="L536" s="302">
        <f t="shared" si="31"/>
        <v>140.50024560000003</v>
      </c>
      <c r="M536" s="303"/>
      <c r="N536" s="216"/>
      <c r="O536" s="216"/>
      <c r="P536" s="26"/>
    </row>
    <row r="537" spans="1:16" x14ac:dyDescent="0.25">
      <c r="A537" s="565"/>
      <c r="B537" s="523"/>
      <c r="C537" s="31" t="s">
        <v>246</v>
      </c>
      <c r="D537" s="215">
        <v>4</v>
      </c>
      <c r="E537" s="211" t="s">
        <v>43</v>
      </c>
      <c r="F537" s="216"/>
      <c r="G537" s="211">
        <v>1E-3</v>
      </c>
      <c r="H537" s="211">
        <v>2</v>
      </c>
      <c r="I537" s="300">
        <f t="shared" si="32"/>
        <v>1.5444000000000002</v>
      </c>
      <c r="J537" s="230">
        <v>6</v>
      </c>
      <c r="K537" s="388">
        <v>454.87</v>
      </c>
      <c r="L537" s="302">
        <f t="shared" si="31"/>
        <v>1405.0024560000002</v>
      </c>
      <c r="M537" s="303"/>
      <c r="N537" s="216"/>
      <c r="O537" s="216"/>
      <c r="P537" s="26"/>
    </row>
    <row r="538" spans="1:16" x14ac:dyDescent="0.25">
      <c r="A538" s="565"/>
      <c r="B538" s="523"/>
      <c r="C538" s="31" t="s">
        <v>246</v>
      </c>
      <c r="D538" s="215">
        <v>4</v>
      </c>
      <c r="E538" s="211" t="s">
        <v>44</v>
      </c>
      <c r="F538" s="216"/>
      <c r="G538" s="211">
        <v>1E-4</v>
      </c>
      <c r="H538" s="211">
        <v>4</v>
      </c>
      <c r="I538" s="300">
        <f t="shared" si="32"/>
        <v>0.15444000000000002</v>
      </c>
      <c r="J538" s="230">
        <v>6</v>
      </c>
      <c r="K538" s="388">
        <v>454.87</v>
      </c>
      <c r="L538" s="302">
        <f t="shared" si="31"/>
        <v>281.00049120000006</v>
      </c>
      <c r="M538" s="303"/>
      <c r="N538" s="216"/>
      <c r="O538" s="216"/>
      <c r="P538" s="26"/>
    </row>
    <row r="539" spans="1:16" ht="31.5" x14ac:dyDescent="0.25">
      <c r="A539" s="565"/>
      <c r="B539" s="523"/>
      <c r="C539" s="532" t="s">
        <v>94</v>
      </c>
      <c r="D539" s="526">
        <v>2</v>
      </c>
      <c r="E539" s="566" t="s">
        <v>43</v>
      </c>
      <c r="F539" s="216"/>
      <c r="G539" s="566">
        <v>5.0000000000000001E-3</v>
      </c>
      <c r="H539" s="566">
        <v>2</v>
      </c>
      <c r="I539" s="563">
        <f>D539*G539*351*1.1</f>
        <v>3.8610000000000007</v>
      </c>
      <c r="J539" s="565">
        <v>6</v>
      </c>
      <c r="K539" s="564">
        <v>454.87</v>
      </c>
      <c r="L539" s="583">
        <f t="shared" si="31"/>
        <v>3512.5061400000004</v>
      </c>
      <c r="M539" s="304" t="s">
        <v>95</v>
      </c>
      <c r="N539" s="211">
        <v>2</v>
      </c>
      <c r="O539" s="211">
        <v>14</v>
      </c>
      <c r="P539" s="211">
        <f t="shared" ref="P539:P548" si="33">N539*O539</f>
        <v>28</v>
      </c>
    </row>
    <row r="540" spans="1:16" x14ac:dyDescent="0.25">
      <c r="A540" s="565"/>
      <c r="B540" s="523"/>
      <c r="C540" s="532"/>
      <c r="D540" s="526"/>
      <c r="E540" s="566"/>
      <c r="F540" s="216"/>
      <c r="G540" s="566"/>
      <c r="H540" s="566"/>
      <c r="I540" s="563"/>
      <c r="J540" s="565"/>
      <c r="K540" s="564"/>
      <c r="L540" s="585"/>
      <c r="M540" s="304" t="s">
        <v>106</v>
      </c>
      <c r="N540" s="211">
        <f t="shared" ref="N540:N548" si="34">N539</f>
        <v>2</v>
      </c>
      <c r="O540" s="211">
        <v>12</v>
      </c>
      <c r="P540" s="211">
        <f t="shared" si="33"/>
        <v>24</v>
      </c>
    </row>
    <row r="541" spans="1:16" ht="31.5" x14ac:dyDescent="0.25">
      <c r="A541" s="565"/>
      <c r="B541" s="523"/>
      <c r="C541" s="532"/>
      <c r="D541" s="526"/>
      <c r="E541" s="566"/>
      <c r="F541" s="216"/>
      <c r="G541" s="566"/>
      <c r="H541" s="566"/>
      <c r="I541" s="563"/>
      <c r="J541" s="565"/>
      <c r="K541" s="564"/>
      <c r="L541" s="585"/>
      <c r="M541" s="304" t="s">
        <v>97</v>
      </c>
      <c r="N541" s="211">
        <f t="shared" si="34"/>
        <v>2</v>
      </c>
      <c r="O541" s="211">
        <v>148</v>
      </c>
      <c r="P541" s="211">
        <f t="shared" si="33"/>
        <v>296</v>
      </c>
    </row>
    <row r="542" spans="1:16" x14ac:dyDescent="0.25">
      <c r="A542" s="565"/>
      <c r="B542" s="523"/>
      <c r="C542" s="532"/>
      <c r="D542" s="526"/>
      <c r="E542" s="566"/>
      <c r="F542" s="216"/>
      <c r="G542" s="566"/>
      <c r="H542" s="566"/>
      <c r="I542" s="563"/>
      <c r="J542" s="565"/>
      <c r="K542" s="564"/>
      <c r="L542" s="585"/>
      <c r="M542" s="304" t="s">
        <v>98</v>
      </c>
      <c r="N542" s="211">
        <f t="shared" si="34"/>
        <v>2</v>
      </c>
      <c r="O542" s="211">
        <v>14</v>
      </c>
      <c r="P542" s="211">
        <f t="shared" si="33"/>
        <v>28</v>
      </c>
    </row>
    <row r="543" spans="1:16" x14ac:dyDescent="0.25">
      <c r="A543" s="565"/>
      <c r="B543" s="523"/>
      <c r="C543" s="532"/>
      <c r="D543" s="526"/>
      <c r="E543" s="566"/>
      <c r="F543" s="216"/>
      <c r="G543" s="566"/>
      <c r="H543" s="566"/>
      <c r="I543" s="563"/>
      <c r="J543" s="565"/>
      <c r="K543" s="564"/>
      <c r="L543" s="585"/>
      <c r="M543" s="304" t="s">
        <v>99</v>
      </c>
      <c r="N543" s="211">
        <f t="shared" si="34"/>
        <v>2</v>
      </c>
      <c r="O543" s="211">
        <v>400</v>
      </c>
      <c r="P543" s="211">
        <f t="shared" si="33"/>
        <v>800</v>
      </c>
    </row>
    <row r="544" spans="1:16" x14ac:dyDescent="0.25">
      <c r="A544" s="565"/>
      <c r="B544" s="523"/>
      <c r="C544" s="532"/>
      <c r="D544" s="526"/>
      <c r="E544" s="566"/>
      <c r="F544" s="216"/>
      <c r="G544" s="566"/>
      <c r="H544" s="566"/>
      <c r="I544" s="563"/>
      <c r="J544" s="565"/>
      <c r="K544" s="564"/>
      <c r="L544" s="585"/>
      <c r="M544" s="304" t="s">
        <v>100</v>
      </c>
      <c r="N544" s="211">
        <f t="shared" si="34"/>
        <v>2</v>
      </c>
      <c r="O544" s="211">
        <v>1670</v>
      </c>
      <c r="P544" s="211">
        <f t="shared" si="33"/>
        <v>3340</v>
      </c>
    </row>
    <row r="545" spans="1:16" x14ac:dyDescent="0.25">
      <c r="A545" s="565"/>
      <c r="B545" s="523"/>
      <c r="C545" s="532"/>
      <c r="D545" s="526"/>
      <c r="E545" s="566"/>
      <c r="F545" s="216"/>
      <c r="G545" s="566"/>
      <c r="H545" s="566"/>
      <c r="I545" s="563"/>
      <c r="J545" s="565"/>
      <c r="K545" s="564"/>
      <c r="L545" s="585"/>
      <c r="M545" s="304" t="s">
        <v>101</v>
      </c>
      <c r="N545" s="211">
        <f t="shared" si="34"/>
        <v>2</v>
      </c>
      <c r="O545" s="211">
        <v>167</v>
      </c>
      <c r="P545" s="211">
        <f t="shared" si="33"/>
        <v>334</v>
      </c>
    </row>
    <row r="546" spans="1:16" x14ac:dyDescent="0.25">
      <c r="A546" s="565"/>
      <c r="B546" s="523"/>
      <c r="C546" s="532"/>
      <c r="D546" s="526"/>
      <c r="E546" s="566"/>
      <c r="F546" s="216"/>
      <c r="G546" s="566"/>
      <c r="H546" s="566"/>
      <c r="I546" s="563"/>
      <c r="J546" s="565"/>
      <c r="K546" s="564"/>
      <c r="L546" s="585"/>
      <c r="M546" s="304" t="s">
        <v>102</v>
      </c>
      <c r="N546" s="211">
        <f t="shared" si="34"/>
        <v>2</v>
      </c>
      <c r="O546" s="211">
        <v>72</v>
      </c>
      <c r="P546" s="211">
        <f t="shared" si="33"/>
        <v>144</v>
      </c>
    </row>
    <row r="547" spans="1:16" x14ac:dyDescent="0.25">
      <c r="A547" s="565"/>
      <c r="B547" s="523"/>
      <c r="C547" s="532"/>
      <c r="D547" s="526"/>
      <c r="E547" s="566"/>
      <c r="F547" s="216"/>
      <c r="G547" s="566"/>
      <c r="H547" s="566"/>
      <c r="I547" s="563"/>
      <c r="J547" s="565"/>
      <c r="K547" s="564"/>
      <c r="L547" s="585"/>
      <c r="M547" s="304" t="s">
        <v>103</v>
      </c>
      <c r="N547" s="211">
        <f t="shared" si="34"/>
        <v>2</v>
      </c>
      <c r="O547" s="211">
        <v>5.3</v>
      </c>
      <c r="P547" s="211">
        <f t="shared" si="33"/>
        <v>10.6</v>
      </c>
    </row>
    <row r="548" spans="1:16" x14ac:dyDescent="0.25">
      <c r="A548" s="565"/>
      <c r="B548" s="523"/>
      <c r="C548" s="532"/>
      <c r="D548" s="526"/>
      <c r="E548" s="566"/>
      <c r="F548" s="216"/>
      <c r="G548" s="566"/>
      <c r="H548" s="566"/>
      <c r="I548" s="563"/>
      <c r="J548" s="565"/>
      <c r="K548" s="564"/>
      <c r="L548" s="584"/>
      <c r="M548" s="304" t="s">
        <v>104</v>
      </c>
      <c r="N548" s="211">
        <f t="shared" si="34"/>
        <v>2</v>
      </c>
      <c r="O548" s="211">
        <v>190</v>
      </c>
      <c r="P548" s="211">
        <f t="shared" si="33"/>
        <v>380</v>
      </c>
    </row>
    <row r="549" spans="1:16" x14ac:dyDescent="0.25">
      <c r="A549" s="565"/>
      <c r="B549" s="523"/>
      <c r="C549" s="31" t="s">
        <v>94</v>
      </c>
      <c r="D549" s="215">
        <v>2</v>
      </c>
      <c r="E549" s="211" t="s">
        <v>44</v>
      </c>
      <c r="F549" s="216"/>
      <c r="G549" s="211">
        <v>5.0000000000000001E-4</v>
      </c>
      <c r="H549" s="211">
        <v>4</v>
      </c>
      <c r="I549" s="300">
        <f t="shared" si="32"/>
        <v>0.38610000000000005</v>
      </c>
      <c r="J549" s="230">
        <v>6</v>
      </c>
      <c r="K549" s="388">
        <v>454.87</v>
      </c>
      <c r="L549" s="302">
        <f t="shared" si="31"/>
        <v>702.50122800000008</v>
      </c>
      <c r="M549" s="303"/>
      <c r="N549" s="216"/>
      <c r="O549" s="216"/>
      <c r="P549" s="26"/>
    </row>
    <row r="550" spans="1:16" ht="31.5" x14ac:dyDescent="0.25">
      <c r="A550" s="565"/>
      <c r="B550" s="523"/>
      <c r="C550" s="532" t="s">
        <v>105</v>
      </c>
      <c r="D550" s="526">
        <v>1</v>
      </c>
      <c r="E550" s="566" t="s">
        <v>43</v>
      </c>
      <c r="F550" s="216"/>
      <c r="G550" s="566">
        <v>5.0000000000000001E-3</v>
      </c>
      <c r="H550" s="566">
        <v>2</v>
      </c>
      <c r="I550" s="563">
        <f>D550*G550*351*1.1</f>
        <v>1.9305000000000003</v>
      </c>
      <c r="J550" s="565">
        <v>6</v>
      </c>
      <c r="K550" s="564">
        <v>454.87</v>
      </c>
      <c r="L550" s="583">
        <f t="shared" si="31"/>
        <v>1756.2530700000002</v>
      </c>
      <c r="M550" s="304" t="s">
        <v>95</v>
      </c>
      <c r="N550" s="211">
        <v>2</v>
      </c>
      <c r="O550" s="211">
        <v>14</v>
      </c>
      <c r="P550" s="211">
        <f t="shared" ref="P550:P559" si="35">N550*O550</f>
        <v>28</v>
      </c>
    </row>
    <row r="551" spans="1:16" x14ac:dyDescent="0.25">
      <c r="A551" s="565"/>
      <c r="B551" s="523"/>
      <c r="C551" s="532"/>
      <c r="D551" s="526"/>
      <c r="E551" s="566"/>
      <c r="F551" s="216"/>
      <c r="G551" s="566"/>
      <c r="H551" s="566"/>
      <c r="I551" s="563"/>
      <c r="J551" s="565"/>
      <c r="K551" s="564"/>
      <c r="L551" s="585"/>
      <c r="M551" s="304" t="s">
        <v>106</v>
      </c>
      <c r="N551" s="211">
        <f t="shared" ref="N551:N559" si="36">N550</f>
        <v>2</v>
      </c>
      <c r="O551" s="211">
        <v>12</v>
      </c>
      <c r="P551" s="211">
        <f t="shared" si="35"/>
        <v>24</v>
      </c>
    </row>
    <row r="552" spans="1:16" ht="31.5" x14ac:dyDescent="0.25">
      <c r="A552" s="565"/>
      <c r="B552" s="523"/>
      <c r="C552" s="532"/>
      <c r="D552" s="526"/>
      <c r="E552" s="566"/>
      <c r="F552" s="216"/>
      <c r="G552" s="566"/>
      <c r="H552" s="566"/>
      <c r="I552" s="563"/>
      <c r="J552" s="565"/>
      <c r="K552" s="564"/>
      <c r="L552" s="585"/>
      <c r="M552" s="304" t="s">
        <v>97</v>
      </c>
      <c r="N552" s="211">
        <f t="shared" si="36"/>
        <v>2</v>
      </c>
      <c r="O552" s="211">
        <v>148</v>
      </c>
      <c r="P552" s="211">
        <f t="shared" si="35"/>
        <v>296</v>
      </c>
    </row>
    <row r="553" spans="1:16" x14ac:dyDescent="0.25">
      <c r="A553" s="565"/>
      <c r="B553" s="523"/>
      <c r="C553" s="532"/>
      <c r="D553" s="526"/>
      <c r="E553" s="566"/>
      <c r="F553" s="216"/>
      <c r="G553" s="566"/>
      <c r="H553" s="566"/>
      <c r="I553" s="563"/>
      <c r="J553" s="565"/>
      <c r="K553" s="564"/>
      <c r="L553" s="585"/>
      <c r="M553" s="304" t="s">
        <v>98</v>
      </c>
      <c r="N553" s="211">
        <f t="shared" si="36"/>
        <v>2</v>
      </c>
      <c r="O553" s="211">
        <v>14</v>
      </c>
      <c r="P553" s="211">
        <f t="shared" si="35"/>
        <v>28</v>
      </c>
    </row>
    <row r="554" spans="1:16" x14ac:dyDescent="0.25">
      <c r="A554" s="565"/>
      <c r="B554" s="523"/>
      <c r="C554" s="532"/>
      <c r="D554" s="526"/>
      <c r="E554" s="566"/>
      <c r="F554" s="216"/>
      <c r="G554" s="566"/>
      <c r="H554" s="566"/>
      <c r="I554" s="563"/>
      <c r="J554" s="565"/>
      <c r="K554" s="564"/>
      <c r="L554" s="585"/>
      <c r="M554" s="304" t="s">
        <v>99</v>
      </c>
      <c r="N554" s="211">
        <f t="shared" si="36"/>
        <v>2</v>
      </c>
      <c r="O554" s="211">
        <v>400</v>
      </c>
      <c r="P554" s="211">
        <f t="shared" si="35"/>
        <v>800</v>
      </c>
    </row>
    <row r="555" spans="1:16" x14ac:dyDescent="0.25">
      <c r="A555" s="565"/>
      <c r="B555" s="523"/>
      <c r="C555" s="532"/>
      <c r="D555" s="526"/>
      <c r="E555" s="566"/>
      <c r="F555" s="216"/>
      <c r="G555" s="566"/>
      <c r="H555" s="566"/>
      <c r="I555" s="563"/>
      <c r="J555" s="565"/>
      <c r="K555" s="564"/>
      <c r="L555" s="585"/>
      <c r="M555" s="304" t="s">
        <v>100</v>
      </c>
      <c r="N555" s="211">
        <f t="shared" si="36"/>
        <v>2</v>
      </c>
      <c r="O555" s="211">
        <v>1670</v>
      </c>
      <c r="P555" s="211">
        <f t="shared" si="35"/>
        <v>3340</v>
      </c>
    </row>
    <row r="556" spans="1:16" x14ac:dyDescent="0.25">
      <c r="A556" s="565"/>
      <c r="B556" s="523"/>
      <c r="C556" s="532"/>
      <c r="D556" s="526"/>
      <c r="E556" s="566"/>
      <c r="F556" s="216"/>
      <c r="G556" s="566"/>
      <c r="H556" s="566"/>
      <c r="I556" s="563"/>
      <c r="J556" s="565"/>
      <c r="K556" s="564"/>
      <c r="L556" s="585"/>
      <c r="M556" s="304" t="s">
        <v>101</v>
      </c>
      <c r="N556" s="211">
        <f t="shared" si="36"/>
        <v>2</v>
      </c>
      <c r="O556" s="211">
        <v>167</v>
      </c>
      <c r="P556" s="211">
        <f t="shared" si="35"/>
        <v>334</v>
      </c>
    </row>
    <row r="557" spans="1:16" x14ac:dyDescent="0.25">
      <c r="A557" s="565"/>
      <c r="B557" s="523"/>
      <c r="C557" s="532"/>
      <c r="D557" s="526"/>
      <c r="E557" s="566"/>
      <c r="F557" s="216"/>
      <c r="G557" s="566"/>
      <c r="H557" s="566"/>
      <c r="I557" s="563"/>
      <c r="J557" s="565"/>
      <c r="K557" s="564"/>
      <c r="L557" s="585"/>
      <c r="M557" s="304" t="s">
        <v>102</v>
      </c>
      <c r="N557" s="211">
        <f t="shared" si="36"/>
        <v>2</v>
      </c>
      <c r="O557" s="211">
        <v>72</v>
      </c>
      <c r="P557" s="211">
        <f t="shared" si="35"/>
        <v>144</v>
      </c>
    </row>
    <row r="558" spans="1:16" x14ac:dyDescent="0.25">
      <c r="A558" s="565"/>
      <c r="B558" s="523"/>
      <c r="C558" s="532"/>
      <c r="D558" s="526"/>
      <c r="E558" s="566"/>
      <c r="F558" s="216"/>
      <c r="G558" s="566"/>
      <c r="H558" s="566"/>
      <c r="I558" s="563"/>
      <c r="J558" s="565"/>
      <c r="K558" s="564"/>
      <c r="L558" s="585"/>
      <c r="M558" s="304" t="s">
        <v>103</v>
      </c>
      <c r="N558" s="211">
        <f t="shared" si="36"/>
        <v>2</v>
      </c>
      <c r="O558" s="211">
        <v>5.3</v>
      </c>
      <c r="P558" s="211">
        <f t="shared" si="35"/>
        <v>10.6</v>
      </c>
    </row>
    <row r="559" spans="1:16" x14ac:dyDescent="0.25">
      <c r="A559" s="565"/>
      <c r="B559" s="523"/>
      <c r="C559" s="532"/>
      <c r="D559" s="526"/>
      <c r="E559" s="566"/>
      <c r="F559" s="216"/>
      <c r="G559" s="566"/>
      <c r="H559" s="566"/>
      <c r="I559" s="563"/>
      <c r="J559" s="565"/>
      <c r="K559" s="564"/>
      <c r="L559" s="584"/>
      <c r="M559" s="304" t="s">
        <v>104</v>
      </c>
      <c r="N559" s="211">
        <f t="shared" si="36"/>
        <v>2</v>
      </c>
      <c r="O559" s="211">
        <v>190</v>
      </c>
      <c r="P559" s="211">
        <f t="shared" si="35"/>
        <v>380</v>
      </c>
    </row>
    <row r="560" spans="1:16" x14ac:dyDescent="0.25">
      <c r="A560" s="565"/>
      <c r="B560" s="523"/>
      <c r="C560" s="31" t="s">
        <v>105</v>
      </c>
      <c r="D560" s="215">
        <v>1</v>
      </c>
      <c r="E560" s="211" t="s">
        <v>44</v>
      </c>
      <c r="F560" s="216"/>
      <c r="G560" s="211">
        <v>5.0000000000000001E-4</v>
      </c>
      <c r="H560" s="211">
        <v>4</v>
      </c>
      <c r="I560" s="300">
        <f t="shared" si="32"/>
        <v>0.19305000000000003</v>
      </c>
      <c r="J560" s="230">
        <v>6</v>
      </c>
      <c r="K560" s="388">
        <v>454.87</v>
      </c>
      <c r="L560" s="302">
        <f t="shared" si="31"/>
        <v>351.25061400000004</v>
      </c>
      <c r="M560" s="303"/>
      <c r="N560" s="216"/>
      <c r="O560" s="216"/>
      <c r="P560" s="26"/>
    </row>
    <row r="561" spans="1:16" x14ac:dyDescent="0.25">
      <c r="A561" s="565"/>
      <c r="B561" s="523"/>
      <c r="C561" s="31" t="s">
        <v>93</v>
      </c>
      <c r="D561" s="215">
        <v>1</v>
      </c>
      <c r="E561" s="211" t="s">
        <v>43</v>
      </c>
      <c r="F561" s="216"/>
      <c r="G561" s="211">
        <v>3.0000000000000001E-3</v>
      </c>
      <c r="H561" s="211">
        <v>2</v>
      </c>
      <c r="I561" s="300">
        <f t="shared" si="32"/>
        <v>1.1583000000000001</v>
      </c>
      <c r="J561" s="230">
        <v>6</v>
      </c>
      <c r="K561" s="388">
        <v>454.87</v>
      </c>
      <c r="L561" s="302">
        <f t="shared" si="31"/>
        <v>1053.7518420000001</v>
      </c>
      <c r="M561" s="303"/>
      <c r="N561" s="216"/>
      <c r="O561" s="216"/>
      <c r="P561" s="26"/>
    </row>
    <row r="562" spans="1:16" x14ac:dyDescent="0.25">
      <c r="A562" s="565"/>
      <c r="B562" s="523"/>
      <c r="C562" s="31" t="s">
        <v>93</v>
      </c>
      <c r="D562" s="215">
        <v>1</v>
      </c>
      <c r="E562" s="211" t="s">
        <v>44</v>
      </c>
      <c r="F562" s="216"/>
      <c r="G562" s="211">
        <v>2.9999999999999997E-4</v>
      </c>
      <c r="H562" s="211">
        <v>4</v>
      </c>
      <c r="I562" s="300">
        <f t="shared" si="32"/>
        <v>0.11583</v>
      </c>
      <c r="J562" s="230">
        <v>6</v>
      </c>
      <c r="K562" s="388">
        <v>454.87</v>
      </c>
      <c r="L562" s="302">
        <f t="shared" si="31"/>
        <v>210.75036840000001</v>
      </c>
      <c r="M562" s="303"/>
      <c r="N562" s="216"/>
      <c r="O562" s="216"/>
      <c r="P562" s="26"/>
    </row>
    <row r="563" spans="1:16" x14ac:dyDescent="0.25">
      <c r="A563" s="565"/>
      <c r="B563" s="523"/>
      <c r="C563" s="31" t="s">
        <v>153</v>
      </c>
      <c r="D563" s="215">
        <v>0.1075</v>
      </c>
      <c r="E563" s="211" t="s">
        <v>43</v>
      </c>
      <c r="F563" s="216"/>
      <c r="G563" s="211">
        <v>2.4E-2</v>
      </c>
      <c r="H563" s="211">
        <v>2</v>
      </c>
      <c r="I563" s="300">
        <f t="shared" si="32"/>
        <v>0.99613799999999997</v>
      </c>
      <c r="J563" s="230">
        <v>6</v>
      </c>
      <c r="K563" s="388">
        <v>454.87</v>
      </c>
      <c r="L563" s="302">
        <f t="shared" si="31"/>
        <v>906.22658411999998</v>
      </c>
      <c r="M563" s="303"/>
      <c r="N563" s="216"/>
      <c r="O563" s="216"/>
      <c r="P563" s="26"/>
    </row>
    <row r="564" spans="1:16" x14ac:dyDescent="0.25">
      <c r="A564" s="565"/>
      <c r="B564" s="523"/>
      <c r="C564" s="31" t="s">
        <v>153</v>
      </c>
      <c r="D564" s="215">
        <v>0.1075</v>
      </c>
      <c r="E564" s="211" t="s">
        <v>44</v>
      </c>
      <c r="F564" s="216"/>
      <c r="G564" s="211">
        <v>2.3999999999999998E-3</v>
      </c>
      <c r="H564" s="211">
        <v>4</v>
      </c>
      <c r="I564" s="300">
        <f t="shared" si="32"/>
        <v>9.9613800000000002E-2</v>
      </c>
      <c r="J564" s="230">
        <v>6</v>
      </c>
      <c r="K564" s="388">
        <v>454.87</v>
      </c>
      <c r="L564" s="302">
        <f t="shared" si="31"/>
        <v>181.24531682400001</v>
      </c>
      <c r="M564" s="303"/>
      <c r="N564" s="216"/>
      <c r="O564" s="216"/>
      <c r="P564" s="26"/>
    </row>
    <row r="565" spans="1:16" x14ac:dyDescent="0.25">
      <c r="A565" s="565"/>
      <c r="B565" s="523"/>
      <c r="C565" s="31" t="s">
        <v>247</v>
      </c>
      <c r="D565" s="215">
        <v>0.375</v>
      </c>
      <c r="E565" s="211" t="s">
        <v>43</v>
      </c>
      <c r="F565" s="216"/>
      <c r="G565" s="211">
        <v>2.4E-2</v>
      </c>
      <c r="H565" s="211">
        <v>2</v>
      </c>
      <c r="I565" s="300">
        <f t="shared" si="32"/>
        <v>3.4749000000000008</v>
      </c>
      <c r="J565" s="230">
        <v>6</v>
      </c>
      <c r="K565" s="388">
        <v>454.87</v>
      </c>
      <c r="L565" s="302">
        <f t="shared" si="31"/>
        <v>3161.2555260000008</v>
      </c>
      <c r="M565" s="303"/>
      <c r="N565" s="216"/>
      <c r="O565" s="216"/>
      <c r="P565" s="26"/>
    </row>
    <row r="566" spans="1:16" x14ac:dyDescent="0.25">
      <c r="A566" s="565"/>
      <c r="B566" s="523"/>
      <c r="C566" s="31" t="s">
        <v>247</v>
      </c>
      <c r="D566" s="215">
        <v>0.375</v>
      </c>
      <c r="E566" s="211" t="s">
        <v>44</v>
      </c>
      <c r="F566" s="216"/>
      <c r="G566" s="211">
        <v>2.3999999999999998E-3</v>
      </c>
      <c r="H566" s="211">
        <v>4</v>
      </c>
      <c r="I566" s="300">
        <f t="shared" si="32"/>
        <v>0.34749000000000002</v>
      </c>
      <c r="J566" s="230">
        <v>6</v>
      </c>
      <c r="K566" s="388">
        <v>454.87</v>
      </c>
      <c r="L566" s="302">
        <f t="shared" si="31"/>
        <v>632.2511052000001</v>
      </c>
      <c r="M566" s="303"/>
      <c r="N566" s="216"/>
      <c r="O566" s="216"/>
      <c r="P566" s="26"/>
    </row>
    <row r="567" spans="1:16" x14ac:dyDescent="0.25">
      <c r="A567" s="565"/>
      <c r="B567" s="523"/>
      <c r="C567" s="31" t="s">
        <v>248</v>
      </c>
      <c r="D567" s="305">
        <v>0.2</v>
      </c>
      <c r="E567" s="211" t="s">
        <v>43</v>
      </c>
      <c r="F567" s="216"/>
      <c r="G567" s="211">
        <v>2.4E-2</v>
      </c>
      <c r="H567" s="211">
        <v>2</v>
      </c>
      <c r="I567" s="300">
        <f t="shared" si="32"/>
        <v>1.8532800000000003</v>
      </c>
      <c r="J567" s="230">
        <v>6</v>
      </c>
      <c r="K567" s="388">
        <v>454.87</v>
      </c>
      <c r="L567" s="302">
        <f t="shared" si="31"/>
        <v>1686.0029472000003</v>
      </c>
      <c r="M567" s="303"/>
      <c r="N567" s="216"/>
      <c r="O567" s="216"/>
      <c r="P567" s="26"/>
    </row>
    <row r="568" spans="1:16" x14ac:dyDescent="0.25">
      <c r="A568" s="565"/>
      <c r="B568" s="523"/>
      <c r="C568" s="31" t="s">
        <v>248</v>
      </c>
      <c r="D568" s="305">
        <v>0.2</v>
      </c>
      <c r="E568" s="211" t="s">
        <v>44</v>
      </c>
      <c r="F568" s="216"/>
      <c r="G568" s="211">
        <v>2.3999999999999998E-3</v>
      </c>
      <c r="H568" s="211">
        <v>4</v>
      </c>
      <c r="I568" s="300">
        <f t="shared" si="32"/>
        <v>0.18532799999999999</v>
      </c>
      <c r="J568" s="230">
        <v>6</v>
      </c>
      <c r="K568" s="388">
        <v>454.87</v>
      </c>
      <c r="L568" s="302">
        <f t="shared" si="31"/>
        <v>337.20058943999999</v>
      </c>
      <c r="M568" s="303"/>
      <c r="N568" s="216"/>
      <c r="O568" s="216"/>
      <c r="P568" s="26"/>
    </row>
    <row r="569" spans="1:16" x14ac:dyDescent="0.25">
      <c r="A569" s="565"/>
      <c r="B569" s="523"/>
      <c r="C569" s="31" t="s">
        <v>249</v>
      </c>
      <c r="D569" s="215">
        <v>0.51</v>
      </c>
      <c r="E569" s="211" t="s">
        <v>43</v>
      </c>
      <c r="F569" s="216"/>
      <c r="G569" s="211">
        <v>2.4E-2</v>
      </c>
      <c r="H569" s="211">
        <v>2</v>
      </c>
      <c r="I569" s="300">
        <f t="shared" si="32"/>
        <v>4.7258640000000005</v>
      </c>
      <c r="J569" s="230">
        <v>6</v>
      </c>
      <c r="K569" s="388">
        <v>454.87</v>
      </c>
      <c r="L569" s="302">
        <f t="shared" si="31"/>
        <v>4299.3075153600003</v>
      </c>
      <c r="M569" s="303"/>
      <c r="N569" s="216"/>
      <c r="O569" s="216"/>
      <c r="P569" s="26"/>
    </row>
    <row r="570" spans="1:16" x14ac:dyDescent="0.25">
      <c r="A570" s="565"/>
      <c r="B570" s="523"/>
      <c r="C570" s="31" t="s">
        <v>249</v>
      </c>
      <c r="D570" s="215">
        <v>0.51</v>
      </c>
      <c r="E570" s="211" t="s">
        <v>44</v>
      </c>
      <c r="F570" s="216"/>
      <c r="G570" s="211">
        <v>2.3999999999999998E-3</v>
      </c>
      <c r="H570" s="211">
        <v>4</v>
      </c>
      <c r="I570" s="300">
        <f t="shared" si="32"/>
        <v>0.47258639999999996</v>
      </c>
      <c r="J570" s="230">
        <v>6</v>
      </c>
      <c r="K570" s="388">
        <v>454.87</v>
      </c>
      <c r="L570" s="302">
        <f t="shared" si="31"/>
        <v>859.86150307199989</v>
      </c>
      <c r="M570" s="303"/>
      <c r="N570" s="216"/>
      <c r="O570" s="216"/>
      <c r="P570" s="26"/>
    </row>
    <row r="571" spans="1:16" x14ac:dyDescent="0.25">
      <c r="A571" s="565"/>
      <c r="B571" s="523"/>
      <c r="C571" s="31" t="s">
        <v>250</v>
      </c>
      <c r="D571" s="215">
        <v>0.27500000000000002</v>
      </c>
      <c r="E571" s="211" t="s">
        <v>43</v>
      </c>
      <c r="F571" s="216"/>
      <c r="G571" s="211">
        <v>2.4E-2</v>
      </c>
      <c r="H571" s="211">
        <v>2</v>
      </c>
      <c r="I571" s="300">
        <f t="shared" si="32"/>
        <v>2.5482600000000004</v>
      </c>
      <c r="J571" s="230">
        <v>6</v>
      </c>
      <c r="K571" s="388">
        <v>454.87</v>
      </c>
      <c r="L571" s="302">
        <f t="shared" si="31"/>
        <v>2318.2540524000005</v>
      </c>
      <c r="M571" s="303"/>
      <c r="N571" s="216"/>
      <c r="O571" s="216"/>
      <c r="P571" s="26"/>
    </row>
    <row r="572" spans="1:16" x14ac:dyDescent="0.25">
      <c r="A572" s="565"/>
      <c r="B572" s="523"/>
      <c r="C572" s="31" t="s">
        <v>250</v>
      </c>
      <c r="D572" s="215">
        <v>0.27500000000000002</v>
      </c>
      <c r="E572" s="211" t="s">
        <v>44</v>
      </c>
      <c r="F572" s="216"/>
      <c r="G572" s="211">
        <v>2.3999999999999998E-3</v>
      </c>
      <c r="H572" s="211">
        <v>4</v>
      </c>
      <c r="I572" s="300">
        <f t="shared" si="32"/>
        <v>0.25482600000000005</v>
      </c>
      <c r="J572" s="230">
        <v>6</v>
      </c>
      <c r="K572" s="388">
        <v>454.87</v>
      </c>
      <c r="L572" s="302">
        <f t="shared" si="31"/>
        <v>463.65081048000008</v>
      </c>
      <c r="M572" s="303"/>
      <c r="N572" s="216"/>
      <c r="O572" s="216"/>
      <c r="P572" s="26"/>
    </row>
    <row r="573" spans="1:16" x14ac:dyDescent="0.25">
      <c r="A573" s="565"/>
      <c r="B573" s="523"/>
      <c r="C573" s="31" t="s">
        <v>251</v>
      </c>
      <c r="D573" s="32">
        <v>0.9</v>
      </c>
      <c r="E573" s="211" t="s">
        <v>43</v>
      </c>
      <c r="F573" s="216"/>
      <c r="G573" s="211">
        <v>2.4E-2</v>
      </c>
      <c r="H573" s="211">
        <v>2</v>
      </c>
      <c r="I573" s="300">
        <f t="shared" si="32"/>
        <v>8.3397600000000018</v>
      </c>
      <c r="J573" s="230">
        <v>6</v>
      </c>
      <c r="K573" s="388">
        <v>454.87</v>
      </c>
      <c r="L573" s="302">
        <f t="shared" si="31"/>
        <v>7587.0132624000016</v>
      </c>
      <c r="M573" s="303"/>
      <c r="N573" s="216"/>
      <c r="O573" s="216"/>
      <c r="P573" s="26"/>
    </row>
    <row r="574" spans="1:16" x14ac:dyDescent="0.25">
      <c r="A574" s="565"/>
      <c r="B574" s="523"/>
      <c r="C574" s="31" t="s">
        <v>251</v>
      </c>
      <c r="D574" s="32">
        <v>0.9</v>
      </c>
      <c r="E574" s="211" t="s">
        <v>44</v>
      </c>
      <c r="F574" s="216"/>
      <c r="G574" s="211">
        <v>2.3999999999999998E-3</v>
      </c>
      <c r="H574" s="211">
        <v>4</v>
      </c>
      <c r="I574" s="300">
        <f t="shared" si="32"/>
        <v>0.83397600000000016</v>
      </c>
      <c r="J574" s="230">
        <v>6</v>
      </c>
      <c r="K574" s="388">
        <v>454.87</v>
      </c>
      <c r="L574" s="302">
        <f t="shared" si="31"/>
        <v>1517.4026524800004</v>
      </c>
      <c r="M574" s="303"/>
      <c r="N574" s="216"/>
      <c r="O574" s="216"/>
      <c r="P574" s="26"/>
    </row>
    <row r="575" spans="1:16" x14ac:dyDescent="0.25">
      <c r="A575" s="565"/>
      <c r="B575" s="523"/>
      <c r="C575" s="31" t="s">
        <v>252</v>
      </c>
      <c r="D575" s="215">
        <v>0.21</v>
      </c>
      <c r="E575" s="211" t="s">
        <v>43</v>
      </c>
      <c r="F575" s="216"/>
      <c r="G575" s="211">
        <v>2.4E-2</v>
      </c>
      <c r="H575" s="211">
        <v>2</v>
      </c>
      <c r="I575" s="300">
        <f t="shared" si="32"/>
        <v>1.9459440000000003</v>
      </c>
      <c r="J575" s="230">
        <v>6</v>
      </c>
      <c r="K575" s="388">
        <v>454.87</v>
      </c>
      <c r="L575" s="302">
        <f t="shared" si="31"/>
        <v>1770.3030945600003</v>
      </c>
      <c r="M575" s="303"/>
      <c r="N575" s="216"/>
      <c r="O575" s="216"/>
      <c r="P575" s="26"/>
    </row>
    <row r="576" spans="1:16" x14ac:dyDescent="0.25">
      <c r="A576" s="565"/>
      <c r="B576" s="523"/>
      <c r="C576" s="31" t="s">
        <v>252</v>
      </c>
      <c r="D576" s="215">
        <v>0.21</v>
      </c>
      <c r="E576" s="211" t="s">
        <v>44</v>
      </c>
      <c r="F576" s="216"/>
      <c r="G576" s="211">
        <v>2.3999999999999998E-3</v>
      </c>
      <c r="H576" s="211">
        <v>4</v>
      </c>
      <c r="I576" s="300">
        <f t="shared" si="32"/>
        <v>0.19459439999999997</v>
      </c>
      <c r="J576" s="230">
        <v>6</v>
      </c>
      <c r="K576" s="388">
        <v>454.87</v>
      </c>
      <c r="L576" s="302">
        <f t="shared" si="31"/>
        <v>354.06061891199994</v>
      </c>
      <c r="M576" s="303"/>
      <c r="N576" s="216"/>
      <c r="O576" s="216"/>
      <c r="P576" s="26"/>
    </row>
    <row r="577" spans="1:16" x14ac:dyDescent="0.25">
      <c r="A577" s="565"/>
      <c r="B577" s="523"/>
      <c r="C577" s="31" t="s">
        <v>253</v>
      </c>
      <c r="D577" s="305">
        <v>0.15</v>
      </c>
      <c r="E577" s="211" t="s">
        <v>43</v>
      </c>
      <c r="F577" s="216"/>
      <c r="G577" s="211">
        <v>2.4E-2</v>
      </c>
      <c r="H577" s="211">
        <v>2</v>
      </c>
      <c r="I577" s="300">
        <f t="shared" si="32"/>
        <v>1.3899600000000001</v>
      </c>
      <c r="J577" s="230">
        <v>6</v>
      </c>
      <c r="K577" s="388">
        <v>454.87</v>
      </c>
      <c r="L577" s="302">
        <f t="shared" si="31"/>
        <v>1264.5022104000002</v>
      </c>
      <c r="M577" s="303"/>
      <c r="N577" s="216"/>
      <c r="O577" s="216"/>
      <c r="P577" s="26"/>
    </row>
    <row r="578" spans="1:16" x14ac:dyDescent="0.25">
      <c r="A578" s="565"/>
      <c r="B578" s="523"/>
      <c r="C578" s="31" t="s">
        <v>253</v>
      </c>
      <c r="D578" s="305">
        <v>0.15</v>
      </c>
      <c r="E578" s="211" t="s">
        <v>44</v>
      </c>
      <c r="F578" s="216"/>
      <c r="G578" s="211">
        <v>2.3999999999999998E-3</v>
      </c>
      <c r="H578" s="211">
        <v>4</v>
      </c>
      <c r="I578" s="300">
        <f t="shared" si="32"/>
        <v>0.13899600000000001</v>
      </c>
      <c r="J578" s="230">
        <v>6</v>
      </c>
      <c r="K578" s="388">
        <v>454.87</v>
      </c>
      <c r="L578" s="302">
        <f t="shared" si="31"/>
        <v>252.90044208</v>
      </c>
      <c r="M578" s="303"/>
      <c r="N578" s="216"/>
      <c r="O578" s="216"/>
      <c r="P578" s="26"/>
    </row>
    <row r="579" spans="1:16" x14ac:dyDescent="0.25">
      <c r="A579" s="565"/>
      <c r="B579" s="523"/>
      <c r="C579" s="31" t="s">
        <v>254</v>
      </c>
      <c r="D579" s="32">
        <v>0.4</v>
      </c>
      <c r="E579" s="211" t="s">
        <v>43</v>
      </c>
      <c r="F579" s="216"/>
      <c r="G579" s="211">
        <v>2.4E-2</v>
      </c>
      <c r="H579" s="211">
        <v>2</v>
      </c>
      <c r="I579" s="300">
        <f t="shared" si="32"/>
        <v>3.7065600000000005</v>
      </c>
      <c r="J579" s="230">
        <v>6</v>
      </c>
      <c r="K579" s="388">
        <v>454.87</v>
      </c>
      <c r="L579" s="302">
        <f t="shared" si="31"/>
        <v>3372.0058944000007</v>
      </c>
      <c r="M579" s="303"/>
      <c r="N579" s="216"/>
      <c r="O579" s="216"/>
      <c r="P579" s="26"/>
    </row>
    <row r="580" spans="1:16" x14ac:dyDescent="0.25">
      <c r="A580" s="565"/>
      <c r="B580" s="523"/>
      <c r="C580" s="31" t="s">
        <v>254</v>
      </c>
      <c r="D580" s="32">
        <v>0.4</v>
      </c>
      <c r="E580" s="211" t="s">
        <v>44</v>
      </c>
      <c r="F580" s="216"/>
      <c r="G580" s="211">
        <v>2.3999999999999998E-3</v>
      </c>
      <c r="H580" s="211">
        <v>4</v>
      </c>
      <c r="I580" s="300">
        <f t="shared" si="32"/>
        <v>0.37065599999999999</v>
      </c>
      <c r="J580" s="230">
        <v>6</v>
      </c>
      <c r="K580" s="388">
        <v>454.87</v>
      </c>
      <c r="L580" s="302">
        <f t="shared" si="31"/>
        <v>674.40117887999997</v>
      </c>
      <c r="M580" s="303"/>
      <c r="N580" s="216"/>
      <c r="O580" s="216"/>
      <c r="P580" s="26"/>
    </row>
    <row r="581" spans="1:16" x14ac:dyDescent="0.25">
      <c r="A581" s="565"/>
      <c r="B581" s="523"/>
      <c r="C581" s="31" t="s">
        <v>158</v>
      </c>
      <c r="D581" s="306">
        <v>0.35</v>
      </c>
      <c r="E581" s="211" t="s">
        <v>43</v>
      </c>
      <c r="F581" s="216"/>
      <c r="G581" s="211">
        <v>2.4E-2</v>
      </c>
      <c r="H581" s="211">
        <v>2</v>
      </c>
      <c r="I581" s="300">
        <f t="shared" si="32"/>
        <v>3.2432400000000001</v>
      </c>
      <c r="J581" s="230">
        <v>6</v>
      </c>
      <c r="K581" s="388">
        <v>454.87</v>
      </c>
      <c r="L581" s="302">
        <f t="shared" si="31"/>
        <v>2950.5051576000001</v>
      </c>
      <c r="M581" s="303"/>
      <c r="N581" s="216"/>
      <c r="O581" s="216"/>
      <c r="P581" s="26"/>
    </row>
    <row r="582" spans="1:16" x14ac:dyDescent="0.25">
      <c r="A582" s="565"/>
      <c r="B582" s="523"/>
      <c r="C582" s="31" t="s">
        <v>158</v>
      </c>
      <c r="D582" s="306">
        <v>0.35</v>
      </c>
      <c r="E582" s="211" t="s">
        <v>44</v>
      </c>
      <c r="F582" s="216"/>
      <c r="G582" s="211">
        <v>2.3999999999999998E-3</v>
      </c>
      <c r="H582" s="211">
        <v>4</v>
      </c>
      <c r="I582" s="300">
        <f t="shared" si="32"/>
        <v>0.324324</v>
      </c>
      <c r="J582" s="230">
        <v>6</v>
      </c>
      <c r="K582" s="388">
        <v>454.87</v>
      </c>
      <c r="L582" s="302">
        <f t="shared" si="31"/>
        <v>590.10103151999999</v>
      </c>
      <c r="M582" s="303"/>
      <c r="N582" s="216"/>
      <c r="O582" s="216"/>
      <c r="P582" s="26"/>
    </row>
    <row r="583" spans="1:16" x14ac:dyDescent="0.25">
      <c r="A583" s="565"/>
      <c r="B583" s="523"/>
      <c r="C583" s="31" t="s">
        <v>159</v>
      </c>
      <c r="D583" s="306">
        <v>0.2</v>
      </c>
      <c r="E583" s="211" t="s">
        <v>43</v>
      </c>
      <c r="F583" s="216"/>
      <c r="G583" s="211">
        <v>2.4E-2</v>
      </c>
      <c r="H583" s="211">
        <v>2</v>
      </c>
      <c r="I583" s="300">
        <f t="shared" si="32"/>
        <v>1.8532800000000003</v>
      </c>
      <c r="J583" s="230">
        <v>6</v>
      </c>
      <c r="K583" s="388">
        <v>454.87</v>
      </c>
      <c r="L583" s="302">
        <f t="shared" ref="L583:L646" si="37">H583*I583*K583</f>
        <v>1686.0029472000003</v>
      </c>
      <c r="M583" s="303"/>
      <c r="N583" s="216"/>
      <c r="O583" s="216"/>
      <c r="P583" s="26"/>
    </row>
    <row r="584" spans="1:16" x14ac:dyDescent="0.25">
      <c r="A584" s="565"/>
      <c r="B584" s="523"/>
      <c r="C584" s="31" t="s">
        <v>159</v>
      </c>
      <c r="D584" s="306">
        <v>0.2</v>
      </c>
      <c r="E584" s="211" t="s">
        <v>44</v>
      </c>
      <c r="F584" s="216"/>
      <c r="G584" s="211">
        <v>2.3999999999999998E-3</v>
      </c>
      <c r="H584" s="211">
        <v>4</v>
      </c>
      <c r="I584" s="300">
        <f t="shared" si="32"/>
        <v>0.18532799999999999</v>
      </c>
      <c r="J584" s="230">
        <v>6</v>
      </c>
      <c r="K584" s="388">
        <v>454.87</v>
      </c>
      <c r="L584" s="302">
        <f t="shared" si="37"/>
        <v>337.20058943999999</v>
      </c>
      <c r="M584" s="303"/>
      <c r="N584" s="216"/>
      <c r="O584" s="216"/>
      <c r="P584" s="26"/>
    </row>
    <row r="585" spans="1:16" x14ac:dyDescent="0.25">
      <c r="A585" s="565"/>
      <c r="B585" s="523"/>
      <c r="C585" s="31" t="s">
        <v>208</v>
      </c>
      <c r="D585" s="306">
        <v>0.2</v>
      </c>
      <c r="E585" s="211" t="s">
        <v>43</v>
      </c>
      <c r="F585" s="216"/>
      <c r="G585" s="211">
        <v>2.4E-2</v>
      </c>
      <c r="H585" s="211">
        <v>2</v>
      </c>
      <c r="I585" s="300">
        <f t="shared" si="32"/>
        <v>1.8532800000000003</v>
      </c>
      <c r="J585" s="230">
        <v>6</v>
      </c>
      <c r="K585" s="388">
        <v>454.87</v>
      </c>
      <c r="L585" s="302">
        <f t="shared" si="37"/>
        <v>1686.0029472000003</v>
      </c>
      <c r="M585" s="303"/>
      <c r="N585" s="216"/>
      <c r="O585" s="216"/>
      <c r="P585" s="26"/>
    </row>
    <row r="586" spans="1:16" x14ac:dyDescent="0.25">
      <c r="A586" s="565"/>
      <c r="B586" s="523"/>
      <c r="C586" s="31" t="s">
        <v>208</v>
      </c>
      <c r="D586" s="306">
        <v>0.2</v>
      </c>
      <c r="E586" s="211" t="s">
        <v>44</v>
      </c>
      <c r="F586" s="216"/>
      <c r="G586" s="211">
        <v>2.3999999999999998E-3</v>
      </c>
      <c r="H586" s="211">
        <v>4</v>
      </c>
      <c r="I586" s="300">
        <f t="shared" si="32"/>
        <v>0.18532799999999999</v>
      </c>
      <c r="J586" s="230">
        <v>6</v>
      </c>
      <c r="K586" s="388">
        <v>454.87</v>
      </c>
      <c r="L586" s="302">
        <f t="shared" si="37"/>
        <v>337.20058943999999</v>
      </c>
      <c r="M586" s="303"/>
      <c r="N586" s="216"/>
      <c r="O586" s="216"/>
      <c r="P586" s="26"/>
    </row>
    <row r="587" spans="1:16" x14ac:dyDescent="0.25">
      <c r="A587" s="526">
        <v>6</v>
      </c>
      <c r="B587" s="523" t="s">
        <v>1030</v>
      </c>
      <c r="C587" s="31" t="s">
        <v>255</v>
      </c>
      <c r="D587" s="215">
        <v>4</v>
      </c>
      <c r="E587" s="211" t="s">
        <v>43</v>
      </c>
      <c r="F587" s="216"/>
      <c r="G587" s="211">
        <v>1E-3</v>
      </c>
      <c r="H587" s="211">
        <v>2</v>
      </c>
      <c r="I587" s="300">
        <f t="shared" ref="I587:I650" si="38">D587*G587*351*1.1</f>
        <v>1.5444000000000002</v>
      </c>
      <c r="J587" s="230">
        <v>6</v>
      </c>
      <c r="K587" s="388">
        <v>454.87</v>
      </c>
      <c r="L587" s="302">
        <f t="shared" si="37"/>
        <v>1405.0024560000002</v>
      </c>
      <c r="M587" s="303"/>
      <c r="N587" s="216"/>
      <c r="O587" s="216"/>
      <c r="P587" s="26"/>
    </row>
    <row r="588" spans="1:16" x14ac:dyDescent="0.25">
      <c r="A588" s="526"/>
      <c r="B588" s="523"/>
      <c r="C588" s="31" t="s">
        <v>255</v>
      </c>
      <c r="D588" s="215">
        <v>4</v>
      </c>
      <c r="E588" s="211" t="s">
        <v>44</v>
      </c>
      <c r="F588" s="216"/>
      <c r="G588" s="211">
        <v>1E-4</v>
      </c>
      <c r="H588" s="211">
        <v>4</v>
      </c>
      <c r="I588" s="300">
        <f t="shared" si="38"/>
        <v>0.15444000000000002</v>
      </c>
      <c r="J588" s="230">
        <v>6</v>
      </c>
      <c r="K588" s="388">
        <v>454.87</v>
      </c>
      <c r="L588" s="302">
        <f t="shared" si="37"/>
        <v>281.00049120000006</v>
      </c>
      <c r="M588" s="303"/>
      <c r="N588" s="216"/>
      <c r="O588" s="216"/>
      <c r="P588" s="26"/>
    </row>
    <row r="589" spans="1:16" x14ac:dyDescent="0.25">
      <c r="A589" s="526"/>
      <c r="B589" s="523"/>
      <c r="C589" s="31" t="s">
        <v>256</v>
      </c>
      <c r="D589" s="215">
        <v>4</v>
      </c>
      <c r="E589" s="211" t="s">
        <v>43</v>
      </c>
      <c r="F589" s="216"/>
      <c r="G589" s="211">
        <v>1E-3</v>
      </c>
      <c r="H589" s="211">
        <v>2</v>
      </c>
      <c r="I589" s="300">
        <f t="shared" si="38"/>
        <v>1.5444000000000002</v>
      </c>
      <c r="J589" s="230">
        <v>6</v>
      </c>
      <c r="K589" s="388">
        <v>454.87</v>
      </c>
      <c r="L589" s="302">
        <f t="shared" si="37"/>
        <v>1405.0024560000002</v>
      </c>
      <c r="M589" s="303"/>
      <c r="N589" s="216"/>
      <c r="O589" s="216"/>
      <c r="P589" s="26"/>
    </row>
    <row r="590" spans="1:16" x14ac:dyDescent="0.25">
      <c r="A590" s="526"/>
      <c r="B590" s="523"/>
      <c r="C590" s="31" t="s">
        <v>256</v>
      </c>
      <c r="D590" s="215">
        <v>4</v>
      </c>
      <c r="E590" s="211" t="s">
        <v>44</v>
      </c>
      <c r="F590" s="216"/>
      <c r="G590" s="211">
        <v>1E-4</v>
      </c>
      <c r="H590" s="211">
        <v>4</v>
      </c>
      <c r="I590" s="300">
        <f t="shared" si="38"/>
        <v>0.15444000000000002</v>
      </c>
      <c r="J590" s="230">
        <v>6</v>
      </c>
      <c r="K590" s="388">
        <v>454.87</v>
      </c>
      <c r="L590" s="302">
        <f t="shared" si="37"/>
        <v>281.00049120000006</v>
      </c>
      <c r="M590" s="303"/>
      <c r="N590" s="216"/>
      <c r="O590" s="216"/>
      <c r="P590" s="26"/>
    </row>
    <row r="591" spans="1:16" x14ac:dyDescent="0.25">
      <c r="A591" s="526"/>
      <c r="B591" s="523"/>
      <c r="C591" s="31" t="s">
        <v>180</v>
      </c>
      <c r="D591" s="215">
        <v>4</v>
      </c>
      <c r="E591" s="211" t="s">
        <v>43</v>
      </c>
      <c r="F591" s="216"/>
      <c r="G591" s="211">
        <v>1E-3</v>
      </c>
      <c r="H591" s="211">
        <v>2</v>
      </c>
      <c r="I591" s="300">
        <f t="shared" si="38"/>
        <v>1.5444000000000002</v>
      </c>
      <c r="J591" s="230">
        <v>6</v>
      </c>
      <c r="K591" s="388">
        <v>454.87</v>
      </c>
      <c r="L591" s="302">
        <f t="shared" si="37"/>
        <v>1405.0024560000002</v>
      </c>
      <c r="M591" s="303"/>
      <c r="N591" s="216"/>
      <c r="O591" s="216"/>
      <c r="P591" s="26"/>
    </row>
    <row r="592" spans="1:16" x14ac:dyDescent="0.25">
      <c r="A592" s="526"/>
      <c r="B592" s="523"/>
      <c r="C592" s="31" t="s">
        <v>180</v>
      </c>
      <c r="D592" s="215">
        <v>4</v>
      </c>
      <c r="E592" s="211" t="s">
        <v>44</v>
      </c>
      <c r="F592" s="216"/>
      <c r="G592" s="211">
        <v>1E-4</v>
      </c>
      <c r="H592" s="211">
        <v>4</v>
      </c>
      <c r="I592" s="300">
        <f t="shared" si="38"/>
        <v>0.15444000000000002</v>
      </c>
      <c r="J592" s="230">
        <v>6</v>
      </c>
      <c r="K592" s="388">
        <v>454.87</v>
      </c>
      <c r="L592" s="302">
        <f t="shared" si="37"/>
        <v>281.00049120000006</v>
      </c>
      <c r="M592" s="303"/>
      <c r="N592" s="216"/>
      <c r="O592" s="216"/>
      <c r="P592" s="26"/>
    </row>
    <row r="593" spans="1:16" x14ac:dyDescent="0.25">
      <c r="A593" s="526"/>
      <c r="B593" s="523"/>
      <c r="C593" s="31" t="s">
        <v>182</v>
      </c>
      <c r="D593" s="215">
        <v>4</v>
      </c>
      <c r="E593" s="211" t="s">
        <v>43</v>
      </c>
      <c r="F593" s="216"/>
      <c r="G593" s="211">
        <v>1E-3</v>
      </c>
      <c r="H593" s="211">
        <v>2</v>
      </c>
      <c r="I593" s="300">
        <f t="shared" si="38"/>
        <v>1.5444000000000002</v>
      </c>
      <c r="J593" s="230">
        <v>6</v>
      </c>
      <c r="K593" s="388">
        <v>454.87</v>
      </c>
      <c r="L593" s="302">
        <f t="shared" si="37"/>
        <v>1405.0024560000002</v>
      </c>
      <c r="M593" s="303"/>
      <c r="N593" s="216"/>
      <c r="O593" s="216"/>
      <c r="P593" s="26"/>
    </row>
    <row r="594" spans="1:16" x14ac:dyDescent="0.25">
      <c r="A594" s="526"/>
      <c r="B594" s="523"/>
      <c r="C594" s="31" t="s">
        <v>182</v>
      </c>
      <c r="D594" s="215">
        <v>4</v>
      </c>
      <c r="E594" s="211" t="s">
        <v>44</v>
      </c>
      <c r="F594" s="216"/>
      <c r="G594" s="211">
        <v>1E-4</v>
      </c>
      <c r="H594" s="211">
        <v>4</v>
      </c>
      <c r="I594" s="300">
        <f t="shared" si="38"/>
        <v>0.15444000000000002</v>
      </c>
      <c r="J594" s="230">
        <v>6</v>
      </c>
      <c r="K594" s="388">
        <v>454.87</v>
      </c>
      <c r="L594" s="302">
        <f t="shared" si="37"/>
        <v>281.00049120000006</v>
      </c>
      <c r="M594" s="303"/>
      <c r="N594" s="216"/>
      <c r="O594" s="216"/>
      <c r="P594" s="26"/>
    </row>
    <row r="595" spans="1:16" x14ac:dyDescent="0.25">
      <c r="A595" s="526"/>
      <c r="B595" s="523"/>
      <c r="C595" s="31" t="s">
        <v>183</v>
      </c>
      <c r="D595" s="215">
        <v>4</v>
      </c>
      <c r="E595" s="211" t="s">
        <v>43</v>
      </c>
      <c r="F595" s="216"/>
      <c r="G595" s="211">
        <v>6.0000000000000001E-3</v>
      </c>
      <c r="H595" s="211">
        <v>2</v>
      </c>
      <c r="I595" s="300">
        <f t="shared" si="38"/>
        <v>9.2664000000000009</v>
      </c>
      <c r="J595" s="230">
        <v>6</v>
      </c>
      <c r="K595" s="388">
        <v>454.87</v>
      </c>
      <c r="L595" s="302">
        <f t="shared" si="37"/>
        <v>8430.014736000001</v>
      </c>
      <c r="M595" s="303"/>
      <c r="N595" s="216"/>
      <c r="O595" s="216"/>
      <c r="P595" s="26"/>
    </row>
    <row r="596" spans="1:16" x14ac:dyDescent="0.25">
      <c r="A596" s="526"/>
      <c r="B596" s="523"/>
      <c r="C596" s="31" t="s">
        <v>183</v>
      </c>
      <c r="D596" s="215">
        <v>4</v>
      </c>
      <c r="E596" s="211" t="s">
        <v>44</v>
      </c>
      <c r="F596" s="216"/>
      <c r="G596" s="211">
        <v>5.9999999999999995E-4</v>
      </c>
      <c r="H596" s="211">
        <v>4</v>
      </c>
      <c r="I596" s="300">
        <f t="shared" si="38"/>
        <v>0.92664000000000002</v>
      </c>
      <c r="J596" s="230">
        <v>6</v>
      </c>
      <c r="K596" s="388">
        <v>454.87</v>
      </c>
      <c r="L596" s="302">
        <f t="shared" si="37"/>
        <v>1686.0029472000001</v>
      </c>
      <c r="M596" s="303"/>
      <c r="N596" s="216"/>
      <c r="O596" s="216"/>
      <c r="P596" s="26"/>
    </row>
    <row r="597" spans="1:16" x14ac:dyDescent="0.25">
      <c r="A597" s="526"/>
      <c r="B597" s="523"/>
      <c r="C597" s="31" t="s">
        <v>257</v>
      </c>
      <c r="D597" s="215">
        <v>4</v>
      </c>
      <c r="E597" s="211" t="s">
        <v>43</v>
      </c>
      <c r="F597" s="216"/>
      <c r="G597" s="211">
        <v>3.0000000000000001E-3</v>
      </c>
      <c r="H597" s="211">
        <v>2</v>
      </c>
      <c r="I597" s="300">
        <f t="shared" si="38"/>
        <v>4.6332000000000004</v>
      </c>
      <c r="J597" s="230">
        <v>6</v>
      </c>
      <c r="K597" s="388">
        <v>454.87</v>
      </c>
      <c r="L597" s="302">
        <f t="shared" si="37"/>
        <v>4215.0073680000005</v>
      </c>
      <c r="M597" s="303"/>
      <c r="N597" s="216"/>
      <c r="O597" s="216"/>
      <c r="P597" s="26"/>
    </row>
    <row r="598" spans="1:16" x14ac:dyDescent="0.25">
      <c r="A598" s="526"/>
      <c r="B598" s="523"/>
      <c r="C598" s="31" t="s">
        <v>257</v>
      </c>
      <c r="D598" s="215">
        <v>4</v>
      </c>
      <c r="E598" s="211" t="s">
        <v>44</v>
      </c>
      <c r="F598" s="216"/>
      <c r="G598" s="211">
        <v>2.9999999999999997E-4</v>
      </c>
      <c r="H598" s="211">
        <v>4</v>
      </c>
      <c r="I598" s="300">
        <f t="shared" si="38"/>
        <v>0.46332000000000001</v>
      </c>
      <c r="J598" s="230">
        <v>6</v>
      </c>
      <c r="K598" s="388">
        <v>454.87</v>
      </c>
      <c r="L598" s="302">
        <f t="shared" si="37"/>
        <v>843.00147360000005</v>
      </c>
      <c r="M598" s="303"/>
      <c r="N598" s="216"/>
      <c r="O598" s="216"/>
      <c r="P598" s="26"/>
    </row>
    <row r="599" spans="1:16" x14ac:dyDescent="0.25">
      <c r="A599" s="526"/>
      <c r="B599" s="523"/>
      <c r="C599" s="31" t="s">
        <v>258</v>
      </c>
      <c r="D599" s="215">
        <v>4</v>
      </c>
      <c r="E599" s="211" t="s">
        <v>43</v>
      </c>
      <c r="F599" s="216"/>
      <c r="G599" s="211">
        <v>3.0000000000000001E-3</v>
      </c>
      <c r="H599" s="211">
        <v>2</v>
      </c>
      <c r="I599" s="300">
        <f t="shared" si="38"/>
        <v>4.6332000000000004</v>
      </c>
      <c r="J599" s="230">
        <v>6</v>
      </c>
      <c r="K599" s="388">
        <v>454.87</v>
      </c>
      <c r="L599" s="302">
        <f t="shared" si="37"/>
        <v>4215.0073680000005</v>
      </c>
      <c r="M599" s="303"/>
      <c r="N599" s="216"/>
      <c r="O599" s="216"/>
      <c r="P599" s="26"/>
    </row>
    <row r="600" spans="1:16" x14ac:dyDescent="0.25">
      <c r="A600" s="526"/>
      <c r="B600" s="523"/>
      <c r="C600" s="31" t="s">
        <v>258</v>
      </c>
      <c r="D600" s="215">
        <v>4</v>
      </c>
      <c r="E600" s="211" t="s">
        <v>44</v>
      </c>
      <c r="F600" s="216"/>
      <c r="G600" s="211">
        <v>2.9999999999999997E-4</v>
      </c>
      <c r="H600" s="211">
        <v>4</v>
      </c>
      <c r="I600" s="300">
        <f t="shared" si="38"/>
        <v>0.46332000000000001</v>
      </c>
      <c r="J600" s="230">
        <v>6</v>
      </c>
      <c r="K600" s="388">
        <v>454.87</v>
      </c>
      <c r="L600" s="302">
        <f t="shared" si="37"/>
        <v>843.00147360000005</v>
      </c>
      <c r="M600" s="303"/>
      <c r="N600" s="216"/>
      <c r="O600" s="216"/>
      <c r="P600" s="26"/>
    </row>
    <row r="601" spans="1:16" x14ac:dyDescent="0.25">
      <c r="A601" s="526"/>
      <c r="B601" s="523"/>
      <c r="C601" s="31" t="s">
        <v>259</v>
      </c>
      <c r="D601" s="215">
        <v>4</v>
      </c>
      <c r="E601" s="211" t="s">
        <v>43</v>
      </c>
      <c r="F601" s="216"/>
      <c r="G601" s="211">
        <v>1E-3</v>
      </c>
      <c r="H601" s="211">
        <v>2</v>
      </c>
      <c r="I601" s="300">
        <f t="shared" si="38"/>
        <v>1.5444000000000002</v>
      </c>
      <c r="J601" s="230">
        <v>6</v>
      </c>
      <c r="K601" s="388">
        <v>454.87</v>
      </c>
      <c r="L601" s="302">
        <f t="shared" si="37"/>
        <v>1405.0024560000002</v>
      </c>
      <c r="M601" s="303"/>
      <c r="N601" s="216"/>
      <c r="O601" s="216"/>
      <c r="P601" s="26"/>
    </row>
    <row r="602" spans="1:16" x14ac:dyDescent="0.25">
      <c r="A602" s="526"/>
      <c r="B602" s="523"/>
      <c r="C602" s="31" t="s">
        <v>259</v>
      </c>
      <c r="D602" s="215">
        <v>4</v>
      </c>
      <c r="E602" s="211" t="s">
        <v>44</v>
      </c>
      <c r="F602" s="216"/>
      <c r="G602" s="211">
        <v>1E-4</v>
      </c>
      <c r="H602" s="211">
        <v>4</v>
      </c>
      <c r="I602" s="300">
        <f t="shared" si="38"/>
        <v>0.15444000000000002</v>
      </c>
      <c r="J602" s="230">
        <v>6</v>
      </c>
      <c r="K602" s="388">
        <v>454.87</v>
      </c>
      <c r="L602" s="302">
        <f t="shared" si="37"/>
        <v>281.00049120000006</v>
      </c>
      <c r="M602" s="303"/>
      <c r="N602" s="216"/>
      <c r="O602" s="216"/>
      <c r="P602" s="26"/>
    </row>
    <row r="603" spans="1:16" x14ac:dyDescent="0.25">
      <c r="A603" s="526"/>
      <c r="B603" s="523"/>
      <c r="C603" s="31" t="s">
        <v>260</v>
      </c>
      <c r="D603" s="215">
        <v>2</v>
      </c>
      <c r="E603" s="211" t="s">
        <v>43</v>
      </c>
      <c r="F603" s="216"/>
      <c r="G603" s="211">
        <v>1E-3</v>
      </c>
      <c r="H603" s="211">
        <v>2</v>
      </c>
      <c r="I603" s="300">
        <f t="shared" si="38"/>
        <v>0.77220000000000011</v>
      </c>
      <c r="J603" s="230">
        <v>6</v>
      </c>
      <c r="K603" s="388">
        <v>454.87</v>
      </c>
      <c r="L603" s="302">
        <f t="shared" si="37"/>
        <v>702.50122800000008</v>
      </c>
      <c r="M603" s="303"/>
      <c r="N603" s="216"/>
      <c r="O603" s="216"/>
      <c r="P603" s="26"/>
    </row>
    <row r="604" spans="1:16" x14ac:dyDescent="0.25">
      <c r="A604" s="526"/>
      <c r="B604" s="523"/>
      <c r="C604" s="31" t="s">
        <v>260</v>
      </c>
      <c r="D604" s="215">
        <v>2</v>
      </c>
      <c r="E604" s="211" t="s">
        <v>44</v>
      </c>
      <c r="F604" s="216"/>
      <c r="G604" s="211">
        <v>1E-4</v>
      </c>
      <c r="H604" s="211">
        <v>4</v>
      </c>
      <c r="I604" s="300">
        <f t="shared" si="38"/>
        <v>7.7220000000000011E-2</v>
      </c>
      <c r="J604" s="230">
        <v>6</v>
      </c>
      <c r="K604" s="388">
        <v>454.87</v>
      </c>
      <c r="L604" s="302">
        <f t="shared" si="37"/>
        <v>140.50024560000003</v>
      </c>
      <c r="M604" s="303"/>
      <c r="N604" s="216"/>
      <c r="O604" s="216"/>
      <c r="P604" s="26"/>
    </row>
    <row r="605" spans="1:16" ht="31.5" x14ac:dyDescent="0.25">
      <c r="A605" s="526"/>
      <c r="B605" s="523"/>
      <c r="C605" s="31" t="s">
        <v>46</v>
      </c>
      <c r="D605" s="215">
        <v>2</v>
      </c>
      <c r="E605" s="211" t="s">
        <v>43</v>
      </c>
      <c r="F605" s="216"/>
      <c r="G605" s="211">
        <v>1E-3</v>
      </c>
      <c r="H605" s="211">
        <v>2</v>
      </c>
      <c r="I605" s="300">
        <f t="shared" si="38"/>
        <v>0.77220000000000011</v>
      </c>
      <c r="J605" s="230">
        <v>6</v>
      </c>
      <c r="K605" s="388">
        <v>454.87</v>
      </c>
      <c r="L605" s="302">
        <f t="shared" si="37"/>
        <v>702.50122800000008</v>
      </c>
      <c r="M605" s="303"/>
      <c r="N605" s="216"/>
      <c r="O605" s="216"/>
      <c r="P605" s="26"/>
    </row>
    <row r="606" spans="1:16" ht="31.5" x14ac:dyDescent="0.25">
      <c r="A606" s="526"/>
      <c r="B606" s="523"/>
      <c r="C606" s="31" t="s">
        <v>46</v>
      </c>
      <c r="D606" s="215">
        <v>2</v>
      </c>
      <c r="E606" s="211" t="s">
        <v>44</v>
      </c>
      <c r="F606" s="216"/>
      <c r="G606" s="211">
        <v>1E-4</v>
      </c>
      <c r="H606" s="211">
        <v>4</v>
      </c>
      <c r="I606" s="300">
        <f t="shared" si="38"/>
        <v>7.7220000000000011E-2</v>
      </c>
      <c r="J606" s="230">
        <v>6</v>
      </c>
      <c r="K606" s="388">
        <v>454.87</v>
      </c>
      <c r="L606" s="302">
        <f t="shared" si="37"/>
        <v>140.50024560000003</v>
      </c>
      <c r="M606" s="303"/>
      <c r="N606" s="216"/>
      <c r="O606" s="216"/>
      <c r="P606" s="26"/>
    </row>
    <row r="607" spans="1:16" x14ac:dyDescent="0.25">
      <c r="A607" s="526"/>
      <c r="B607" s="523"/>
      <c r="C607" s="31" t="s">
        <v>261</v>
      </c>
      <c r="D607" s="215">
        <v>2</v>
      </c>
      <c r="E607" s="211" t="s">
        <v>43</v>
      </c>
      <c r="F607" s="216"/>
      <c r="G607" s="211">
        <v>2E-3</v>
      </c>
      <c r="H607" s="211">
        <v>2</v>
      </c>
      <c r="I607" s="300">
        <f t="shared" si="38"/>
        <v>1.5444000000000002</v>
      </c>
      <c r="J607" s="230">
        <v>6</v>
      </c>
      <c r="K607" s="388">
        <v>454.87</v>
      </c>
      <c r="L607" s="302">
        <f t="shared" si="37"/>
        <v>1405.0024560000002</v>
      </c>
      <c r="M607" s="303"/>
      <c r="N607" s="216"/>
      <c r="O607" s="216"/>
      <c r="P607" s="26"/>
    </row>
    <row r="608" spans="1:16" x14ac:dyDescent="0.25">
      <c r="A608" s="526"/>
      <c r="B608" s="523"/>
      <c r="C608" s="31" t="s">
        <v>261</v>
      </c>
      <c r="D608" s="215">
        <v>2</v>
      </c>
      <c r="E608" s="211" t="s">
        <v>44</v>
      </c>
      <c r="F608" s="216"/>
      <c r="G608" s="211">
        <v>2.0000000000000001E-4</v>
      </c>
      <c r="H608" s="211">
        <v>4</v>
      </c>
      <c r="I608" s="300">
        <f t="shared" si="38"/>
        <v>0.15444000000000002</v>
      </c>
      <c r="J608" s="230">
        <v>6</v>
      </c>
      <c r="K608" s="388">
        <v>454.87</v>
      </c>
      <c r="L608" s="302">
        <f t="shared" si="37"/>
        <v>281.00049120000006</v>
      </c>
      <c r="M608" s="303"/>
      <c r="N608" s="216"/>
      <c r="O608" s="216"/>
      <c r="P608" s="26"/>
    </row>
    <row r="609" spans="1:16" ht="31.5" x14ac:dyDescent="0.25">
      <c r="A609" s="526"/>
      <c r="B609" s="523"/>
      <c r="C609" s="31" t="s">
        <v>262</v>
      </c>
      <c r="D609" s="215">
        <v>2</v>
      </c>
      <c r="E609" s="211" t="s">
        <v>43</v>
      </c>
      <c r="F609" s="216"/>
      <c r="G609" s="211">
        <v>1E-3</v>
      </c>
      <c r="H609" s="211">
        <v>2</v>
      </c>
      <c r="I609" s="300">
        <f t="shared" si="38"/>
        <v>0.77220000000000011</v>
      </c>
      <c r="J609" s="230">
        <v>6</v>
      </c>
      <c r="K609" s="388">
        <v>454.87</v>
      </c>
      <c r="L609" s="302">
        <f t="shared" si="37"/>
        <v>702.50122800000008</v>
      </c>
      <c r="M609" s="303"/>
      <c r="N609" s="216"/>
      <c r="O609" s="216"/>
      <c r="P609" s="26"/>
    </row>
    <row r="610" spans="1:16" ht="31.5" x14ac:dyDescent="0.25">
      <c r="A610" s="526"/>
      <c r="B610" s="523"/>
      <c r="C610" s="31" t="s">
        <v>262</v>
      </c>
      <c r="D610" s="215">
        <v>2</v>
      </c>
      <c r="E610" s="211" t="s">
        <v>44</v>
      </c>
      <c r="F610" s="216"/>
      <c r="G610" s="211">
        <v>1E-4</v>
      </c>
      <c r="H610" s="211">
        <v>4</v>
      </c>
      <c r="I610" s="300">
        <f t="shared" si="38"/>
        <v>7.7220000000000011E-2</v>
      </c>
      <c r="J610" s="230">
        <v>6</v>
      </c>
      <c r="K610" s="388">
        <v>454.87</v>
      </c>
      <c r="L610" s="302">
        <f t="shared" si="37"/>
        <v>140.50024560000003</v>
      </c>
      <c r="M610" s="303"/>
      <c r="N610" s="216"/>
      <c r="O610" s="216"/>
      <c r="P610" s="26"/>
    </row>
    <row r="611" spans="1:16" x14ac:dyDescent="0.25">
      <c r="A611" s="526"/>
      <c r="B611" s="523"/>
      <c r="C611" s="31" t="s">
        <v>48</v>
      </c>
      <c r="D611" s="215">
        <v>2</v>
      </c>
      <c r="E611" s="211" t="s">
        <v>43</v>
      </c>
      <c r="F611" s="216"/>
      <c r="G611" s="211">
        <v>1E-3</v>
      </c>
      <c r="H611" s="211">
        <v>2</v>
      </c>
      <c r="I611" s="300">
        <f t="shared" si="38"/>
        <v>0.77220000000000011</v>
      </c>
      <c r="J611" s="230">
        <v>6</v>
      </c>
      <c r="K611" s="388">
        <v>454.87</v>
      </c>
      <c r="L611" s="302">
        <f t="shared" si="37"/>
        <v>702.50122800000008</v>
      </c>
      <c r="M611" s="303"/>
      <c r="N611" s="216"/>
      <c r="O611" s="216"/>
      <c r="P611" s="26"/>
    </row>
    <row r="612" spans="1:16" x14ac:dyDescent="0.25">
      <c r="A612" s="526"/>
      <c r="B612" s="523"/>
      <c r="C612" s="31" t="s">
        <v>48</v>
      </c>
      <c r="D612" s="215">
        <v>2</v>
      </c>
      <c r="E612" s="211" t="s">
        <v>44</v>
      </c>
      <c r="F612" s="216"/>
      <c r="G612" s="211">
        <v>1E-4</v>
      </c>
      <c r="H612" s="211">
        <v>4</v>
      </c>
      <c r="I612" s="300">
        <f t="shared" si="38"/>
        <v>7.7220000000000011E-2</v>
      </c>
      <c r="J612" s="230">
        <v>6</v>
      </c>
      <c r="K612" s="388">
        <v>454.87</v>
      </c>
      <c r="L612" s="302">
        <f t="shared" si="37"/>
        <v>140.50024560000003</v>
      </c>
      <c r="M612" s="303"/>
      <c r="N612" s="216"/>
      <c r="O612" s="216"/>
      <c r="P612" s="26"/>
    </row>
    <row r="613" spans="1:16" x14ac:dyDescent="0.25">
      <c r="A613" s="526"/>
      <c r="B613" s="523"/>
      <c r="C613" s="31" t="s">
        <v>190</v>
      </c>
      <c r="D613" s="215">
        <v>2</v>
      </c>
      <c r="E613" s="211" t="s">
        <v>43</v>
      </c>
      <c r="F613" s="216"/>
      <c r="G613" s="211">
        <v>1E-3</v>
      </c>
      <c r="H613" s="211">
        <v>2</v>
      </c>
      <c r="I613" s="300">
        <f t="shared" si="38"/>
        <v>0.77220000000000011</v>
      </c>
      <c r="J613" s="230">
        <v>6</v>
      </c>
      <c r="K613" s="388">
        <v>454.87</v>
      </c>
      <c r="L613" s="302">
        <f t="shared" si="37"/>
        <v>702.50122800000008</v>
      </c>
      <c r="M613" s="303"/>
      <c r="N613" s="216"/>
      <c r="O613" s="216"/>
      <c r="P613" s="26"/>
    </row>
    <row r="614" spans="1:16" x14ac:dyDescent="0.25">
      <c r="A614" s="526"/>
      <c r="B614" s="523"/>
      <c r="C614" s="31" t="s">
        <v>190</v>
      </c>
      <c r="D614" s="215">
        <v>2</v>
      </c>
      <c r="E614" s="211" t="s">
        <v>44</v>
      </c>
      <c r="F614" s="216"/>
      <c r="G614" s="211">
        <v>1E-4</v>
      </c>
      <c r="H614" s="211">
        <v>4</v>
      </c>
      <c r="I614" s="300">
        <f t="shared" si="38"/>
        <v>7.7220000000000011E-2</v>
      </c>
      <c r="J614" s="230">
        <v>6</v>
      </c>
      <c r="K614" s="388">
        <v>454.87</v>
      </c>
      <c r="L614" s="302">
        <f t="shared" si="37"/>
        <v>140.50024560000003</v>
      </c>
      <c r="M614" s="303"/>
      <c r="N614" s="216"/>
      <c r="O614" s="216"/>
      <c r="P614" s="26"/>
    </row>
    <row r="615" spans="1:16" x14ac:dyDescent="0.25">
      <c r="A615" s="526"/>
      <c r="B615" s="523"/>
      <c r="C615" s="31" t="s">
        <v>51</v>
      </c>
      <c r="D615" s="215">
        <v>2</v>
      </c>
      <c r="E615" s="211" t="s">
        <v>43</v>
      </c>
      <c r="F615" s="216"/>
      <c r="G615" s="211">
        <v>1E-3</v>
      </c>
      <c r="H615" s="211">
        <v>2</v>
      </c>
      <c r="I615" s="300">
        <f t="shared" si="38"/>
        <v>0.77220000000000011</v>
      </c>
      <c r="J615" s="230">
        <v>6</v>
      </c>
      <c r="K615" s="388">
        <v>454.87</v>
      </c>
      <c r="L615" s="302">
        <f t="shared" si="37"/>
        <v>702.50122800000008</v>
      </c>
      <c r="M615" s="303"/>
      <c r="N615" s="216"/>
      <c r="O615" s="216"/>
      <c r="P615" s="26"/>
    </row>
    <row r="616" spans="1:16" x14ac:dyDescent="0.25">
      <c r="A616" s="526"/>
      <c r="B616" s="523"/>
      <c r="C616" s="31" t="s">
        <v>51</v>
      </c>
      <c r="D616" s="215">
        <v>2</v>
      </c>
      <c r="E616" s="211" t="s">
        <v>44</v>
      </c>
      <c r="F616" s="216"/>
      <c r="G616" s="211">
        <v>1E-4</v>
      </c>
      <c r="H616" s="211">
        <v>4</v>
      </c>
      <c r="I616" s="300">
        <f t="shared" si="38"/>
        <v>7.7220000000000011E-2</v>
      </c>
      <c r="J616" s="230">
        <v>6</v>
      </c>
      <c r="K616" s="388">
        <v>454.87</v>
      </c>
      <c r="L616" s="302">
        <f t="shared" si="37"/>
        <v>140.50024560000003</v>
      </c>
      <c r="M616" s="303"/>
      <c r="N616" s="216"/>
      <c r="O616" s="216"/>
      <c r="P616" s="26"/>
    </row>
    <row r="617" spans="1:16" x14ac:dyDescent="0.25">
      <c r="A617" s="526"/>
      <c r="B617" s="523"/>
      <c r="C617" s="31" t="s">
        <v>50</v>
      </c>
      <c r="D617" s="215">
        <v>2</v>
      </c>
      <c r="E617" s="211" t="s">
        <v>43</v>
      </c>
      <c r="F617" s="216"/>
      <c r="G617" s="211">
        <v>1E-3</v>
      </c>
      <c r="H617" s="211">
        <v>2</v>
      </c>
      <c r="I617" s="300">
        <f t="shared" si="38"/>
        <v>0.77220000000000011</v>
      </c>
      <c r="J617" s="230">
        <v>6</v>
      </c>
      <c r="K617" s="388">
        <v>454.87</v>
      </c>
      <c r="L617" s="302">
        <f t="shared" si="37"/>
        <v>702.50122800000008</v>
      </c>
      <c r="M617" s="303"/>
      <c r="N617" s="216"/>
      <c r="O617" s="216"/>
      <c r="P617" s="26"/>
    </row>
    <row r="618" spans="1:16" x14ac:dyDescent="0.25">
      <c r="A618" s="526"/>
      <c r="B618" s="523"/>
      <c r="C618" s="31" t="s">
        <v>50</v>
      </c>
      <c r="D618" s="215">
        <v>2</v>
      </c>
      <c r="E618" s="211" t="s">
        <v>44</v>
      </c>
      <c r="F618" s="216"/>
      <c r="G618" s="211">
        <v>1E-4</v>
      </c>
      <c r="H618" s="211">
        <v>4</v>
      </c>
      <c r="I618" s="300">
        <f t="shared" si="38"/>
        <v>7.7220000000000011E-2</v>
      </c>
      <c r="J618" s="230">
        <v>6</v>
      </c>
      <c r="K618" s="388">
        <v>454.87</v>
      </c>
      <c r="L618" s="302">
        <f t="shared" si="37"/>
        <v>140.50024560000003</v>
      </c>
      <c r="M618" s="303"/>
      <c r="N618" s="216"/>
      <c r="O618" s="216"/>
      <c r="P618" s="26"/>
    </row>
    <row r="619" spans="1:16" x14ac:dyDescent="0.25">
      <c r="A619" s="526"/>
      <c r="B619" s="523"/>
      <c r="C619" s="31" t="s">
        <v>52</v>
      </c>
      <c r="D619" s="215">
        <v>2</v>
      </c>
      <c r="E619" s="211" t="s">
        <v>43</v>
      </c>
      <c r="F619" s="216"/>
      <c r="G619" s="211">
        <v>1E-3</v>
      </c>
      <c r="H619" s="211">
        <v>2</v>
      </c>
      <c r="I619" s="300">
        <f t="shared" si="38"/>
        <v>0.77220000000000011</v>
      </c>
      <c r="J619" s="230">
        <v>6</v>
      </c>
      <c r="K619" s="388">
        <v>454.87</v>
      </c>
      <c r="L619" s="302">
        <f t="shared" si="37"/>
        <v>702.50122800000008</v>
      </c>
      <c r="M619" s="303"/>
      <c r="N619" s="216"/>
      <c r="O619" s="216"/>
      <c r="P619" s="26"/>
    </row>
    <row r="620" spans="1:16" x14ac:dyDescent="0.25">
      <c r="A620" s="526"/>
      <c r="B620" s="523"/>
      <c r="C620" s="31" t="s">
        <v>52</v>
      </c>
      <c r="D620" s="215">
        <v>2</v>
      </c>
      <c r="E620" s="211" t="s">
        <v>44</v>
      </c>
      <c r="F620" s="216"/>
      <c r="G620" s="211">
        <v>1E-4</v>
      </c>
      <c r="H620" s="211">
        <v>4</v>
      </c>
      <c r="I620" s="300">
        <f t="shared" si="38"/>
        <v>7.7220000000000011E-2</v>
      </c>
      <c r="J620" s="230">
        <v>6</v>
      </c>
      <c r="K620" s="388">
        <v>454.87</v>
      </c>
      <c r="L620" s="302">
        <f t="shared" si="37"/>
        <v>140.50024560000003</v>
      </c>
      <c r="M620" s="303"/>
      <c r="N620" s="216"/>
      <c r="O620" s="216"/>
      <c r="P620" s="26"/>
    </row>
    <row r="621" spans="1:16" ht="31.5" x14ac:dyDescent="0.25">
      <c r="A621" s="526"/>
      <c r="B621" s="523"/>
      <c r="C621" s="31" t="s">
        <v>53</v>
      </c>
      <c r="D621" s="215">
        <v>8</v>
      </c>
      <c r="E621" s="211" t="s">
        <v>43</v>
      </c>
      <c r="F621" s="216"/>
      <c r="G621" s="211">
        <v>1E-3</v>
      </c>
      <c r="H621" s="211">
        <v>2</v>
      </c>
      <c r="I621" s="300">
        <f t="shared" si="38"/>
        <v>3.0888000000000004</v>
      </c>
      <c r="J621" s="230">
        <v>6</v>
      </c>
      <c r="K621" s="388">
        <v>454.87</v>
      </c>
      <c r="L621" s="302">
        <f t="shared" si="37"/>
        <v>2810.0049120000003</v>
      </c>
      <c r="M621" s="303"/>
      <c r="N621" s="216"/>
      <c r="O621" s="216"/>
      <c r="P621" s="26"/>
    </row>
    <row r="622" spans="1:16" ht="31.5" x14ac:dyDescent="0.25">
      <c r="A622" s="526"/>
      <c r="B622" s="523"/>
      <c r="C622" s="31" t="s">
        <v>53</v>
      </c>
      <c r="D622" s="215">
        <v>8</v>
      </c>
      <c r="E622" s="211" t="s">
        <v>44</v>
      </c>
      <c r="F622" s="216"/>
      <c r="G622" s="211">
        <v>1E-4</v>
      </c>
      <c r="H622" s="211">
        <v>4</v>
      </c>
      <c r="I622" s="300">
        <f t="shared" si="38"/>
        <v>0.30888000000000004</v>
      </c>
      <c r="J622" s="230">
        <v>6</v>
      </c>
      <c r="K622" s="388">
        <v>454.87</v>
      </c>
      <c r="L622" s="302">
        <f t="shared" si="37"/>
        <v>562.00098240000011</v>
      </c>
      <c r="M622" s="303"/>
      <c r="N622" s="216"/>
      <c r="O622" s="216"/>
      <c r="P622" s="26"/>
    </row>
    <row r="623" spans="1:16" x14ac:dyDescent="0.25">
      <c r="A623" s="526"/>
      <c r="B623" s="523"/>
      <c r="C623" s="31" t="s">
        <v>263</v>
      </c>
      <c r="D623" s="215">
        <v>2</v>
      </c>
      <c r="E623" s="211" t="s">
        <v>43</v>
      </c>
      <c r="F623" s="216"/>
      <c r="G623" s="211">
        <v>2E-3</v>
      </c>
      <c r="H623" s="211">
        <v>2</v>
      </c>
      <c r="I623" s="300">
        <f t="shared" si="38"/>
        <v>1.5444000000000002</v>
      </c>
      <c r="J623" s="230">
        <v>6</v>
      </c>
      <c r="K623" s="388">
        <v>454.87</v>
      </c>
      <c r="L623" s="302">
        <f t="shared" si="37"/>
        <v>1405.0024560000002</v>
      </c>
      <c r="M623" s="211" t="s">
        <v>55</v>
      </c>
      <c r="N623" s="211">
        <f>0.04*D623</f>
        <v>0.08</v>
      </c>
      <c r="O623" s="211">
        <v>207</v>
      </c>
      <c r="P623" s="211">
        <f t="shared" ref="P623" si="39">N623*O623</f>
        <v>16.559999999999999</v>
      </c>
    </row>
    <row r="624" spans="1:16" x14ac:dyDescent="0.25">
      <c r="A624" s="526"/>
      <c r="B624" s="523"/>
      <c r="C624" s="31" t="s">
        <v>263</v>
      </c>
      <c r="D624" s="215">
        <v>8</v>
      </c>
      <c r="E624" s="211" t="s">
        <v>44</v>
      </c>
      <c r="F624" s="216"/>
      <c r="G624" s="211">
        <v>2.0000000000000001E-4</v>
      </c>
      <c r="H624" s="211">
        <v>4</v>
      </c>
      <c r="I624" s="300">
        <f t="shared" si="38"/>
        <v>0.61776000000000009</v>
      </c>
      <c r="J624" s="230">
        <v>6</v>
      </c>
      <c r="K624" s="388">
        <v>454.87</v>
      </c>
      <c r="L624" s="302">
        <f t="shared" si="37"/>
        <v>1124.0019648000002</v>
      </c>
      <c r="M624" s="303"/>
      <c r="N624" s="216"/>
      <c r="O624" s="216"/>
      <c r="P624" s="26"/>
    </row>
    <row r="625" spans="1:16" ht="31.5" x14ac:dyDescent="0.25">
      <c r="A625" s="526"/>
      <c r="B625" s="523"/>
      <c r="C625" s="31" t="s">
        <v>53</v>
      </c>
      <c r="D625" s="215">
        <v>9</v>
      </c>
      <c r="E625" s="211" t="s">
        <v>43</v>
      </c>
      <c r="F625" s="216"/>
      <c r="G625" s="211">
        <v>1E-3</v>
      </c>
      <c r="H625" s="211">
        <v>2</v>
      </c>
      <c r="I625" s="300">
        <f t="shared" si="38"/>
        <v>3.4749000000000008</v>
      </c>
      <c r="J625" s="230">
        <v>6</v>
      </c>
      <c r="K625" s="388">
        <v>454.87</v>
      </c>
      <c r="L625" s="302">
        <f t="shared" si="37"/>
        <v>3161.2555260000008</v>
      </c>
      <c r="M625" s="303"/>
      <c r="N625" s="216"/>
      <c r="O625" s="216"/>
      <c r="P625" s="26"/>
    </row>
    <row r="626" spans="1:16" ht="31.5" x14ac:dyDescent="0.25">
      <c r="A626" s="526"/>
      <c r="B626" s="523"/>
      <c r="C626" s="31" t="s">
        <v>53</v>
      </c>
      <c r="D626" s="215">
        <v>9</v>
      </c>
      <c r="E626" s="211" t="s">
        <v>44</v>
      </c>
      <c r="F626" s="216"/>
      <c r="G626" s="211">
        <v>1E-4</v>
      </c>
      <c r="H626" s="211">
        <v>4</v>
      </c>
      <c r="I626" s="300">
        <f t="shared" si="38"/>
        <v>0.34749000000000002</v>
      </c>
      <c r="J626" s="230">
        <v>6</v>
      </c>
      <c r="K626" s="388">
        <v>454.87</v>
      </c>
      <c r="L626" s="302">
        <f t="shared" si="37"/>
        <v>632.2511052000001</v>
      </c>
      <c r="M626" s="303"/>
      <c r="N626" s="216"/>
      <c r="O626" s="216"/>
      <c r="P626" s="26"/>
    </row>
    <row r="627" spans="1:16" ht="31.5" x14ac:dyDescent="0.25">
      <c r="A627" s="526"/>
      <c r="B627" s="523"/>
      <c r="C627" s="31" t="s">
        <v>59</v>
      </c>
      <c r="D627" s="215">
        <v>13</v>
      </c>
      <c r="E627" s="211" t="s">
        <v>43</v>
      </c>
      <c r="F627" s="216"/>
      <c r="G627" s="211">
        <v>1E-3</v>
      </c>
      <c r="H627" s="211">
        <v>2</v>
      </c>
      <c r="I627" s="300">
        <f t="shared" si="38"/>
        <v>5.0193000000000012</v>
      </c>
      <c r="J627" s="230">
        <v>6</v>
      </c>
      <c r="K627" s="388">
        <v>454.87</v>
      </c>
      <c r="L627" s="302">
        <f t="shared" si="37"/>
        <v>4566.257982000001</v>
      </c>
      <c r="M627" s="303"/>
      <c r="N627" s="216"/>
      <c r="O627" s="216"/>
      <c r="P627" s="26"/>
    </row>
    <row r="628" spans="1:16" ht="31.5" x14ac:dyDescent="0.25">
      <c r="A628" s="526"/>
      <c r="B628" s="523"/>
      <c r="C628" s="31" t="s">
        <v>59</v>
      </c>
      <c r="D628" s="215">
        <v>13</v>
      </c>
      <c r="E628" s="211" t="s">
        <v>44</v>
      </c>
      <c r="F628" s="216"/>
      <c r="G628" s="211">
        <v>1E-4</v>
      </c>
      <c r="H628" s="211">
        <v>4</v>
      </c>
      <c r="I628" s="300">
        <f t="shared" si="38"/>
        <v>0.5019300000000001</v>
      </c>
      <c r="J628" s="230">
        <v>6</v>
      </c>
      <c r="K628" s="388">
        <v>454.87</v>
      </c>
      <c r="L628" s="302">
        <f t="shared" si="37"/>
        <v>913.25159640000015</v>
      </c>
      <c r="M628" s="303"/>
      <c r="N628" s="216"/>
      <c r="O628" s="216"/>
      <c r="P628" s="26"/>
    </row>
    <row r="629" spans="1:16" ht="31.5" x14ac:dyDescent="0.25">
      <c r="A629" s="526"/>
      <c r="B629" s="523"/>
      <c r="C629" s="31" t="s">
        <v>60</v>
      </c>
      <c r="D629" s="215">
        <v>5</v>
      </c>
      <c r="E629" s="211" t="s">
        <v>43</v>
      </c>
      <c r="F629" s="216"/>
      <c r="G629" s="211">
        <v>1E-3</v>
      </c>
      <c r="H629" s="211">
        <v>2</v>
      </c>
      <c r="I629" s="300">
        <f t="shared" si="38"/>
        <v>1.9305000000000003</v>
      </c>
      <c r="J629" s="230">
        <v>6</v>
      </c>
      <c r="K629" s="388">
        <v>454.87</v>
      </c>
      <c r="L629" s="302">
        <f t="shared" si="37"/>
        <v>1756.2530700000002</v>
      </c>
      <c r="M629" s="303"/>
      <c r="N629" s="216"/>
      <c r="O629" s="216"/>
      <c r="P629" s="26"/>
    </row>
    <row r="630" spans="1:16" ht="31.5" x14ac:dyDescent="0.25">
      <c r="A630" s="526"/>
      <c r="B630" s="523"/>
      <c r="C630" s="31" t="s">
        <v>60</v>
      </c>
      <c r="D630" s="215">
        <v>5</v>
      </c>
      <c r="E630" s="211" t="s">
        <v>44</v>
      </c>
      <c r="F630" s="216"/>
      <c r="G630" s="211">
        <v>1E-4</v>
      </c>
      <c r="H630" s="211">
        <v>4</v>
      </c>
      <c r="I630" s="300">
        <f t="shared" si="38"/>
        <v>0.19305000000000003</v>
      </c>
      <c r="J630" s="230">
        <v>6</v>
      </c>
      <c r="K630" s="388">
        <v>454.87</v>
      </c>
      <c r="L630" s="302">
        <f t="shared" si="37"/>
        <v>351.25061400000004</v>
      </c>
      <c r="M630" s="303"/>
      <c r="N630" s="216"/>
      <c r="O630" s="216"/>
      <c r="P630" s="26"/>
    </row>
    <row r="631" spans="1:16" ht="31.5" x14ac:dyDescent="0.25">
      <c r="A631" s="526"/>
      <c r="B631" s="523"/>
      <c r="C631" s="31" t="s">
        <v>195</v>
      </c>
      <c r="D631" s="215">
        <v>2</v>
      </c>
      <c r="E631" s="211" t="s">
        <v>43</v>
      </c>
      <c r="F631" s="216"/>
      <c r="G631" s="211">
        <v>1E-3</v>
      </c>
      <c r="H631" s="211">
        <v>2</v>
      </c>
      <c r="I631" s="300">
        <f t="shared" si="38"/>
        <v>0.77220000000000011</v>
      </c>
      <c r="J631" s="230">
        <v>6</v>
      </c>
      <c r="K631" s="388">
        <v>454.87</v>
      </c>
      <c r="L631" s="302">
        <f t="shared" si="37"/>
        <v>702.50122800000008</v>
      </c>
      <c r="M631" s="303"/>
      <c r="N631" s="216"/>
      <c r="O631" s="216"/>
      <c r="P631" s="26"/>
    </row>
    <row r="632" spans="1:16" ht="31.5" x14ac:dyDescent="0.25">
      <c r="A632" s="526"/>
      <c r="B632" s="523"/>
      <c r="C632" s="31" t="s">
        <v>195</v>
      </c>
      <c r="D632" s="215">
        <v>2</v>
      </c>
      <c r="E632" s="211" t="s">
        <v>44</v>
      </c>
      <c r="F632" s="216"/>
      <c r="G632" s="211">
        <v>1E-4</v>
      </c>
      <c r="H632" s="211">
        <v>4</v>
      </c>
      <c r="I632" s="300">
        <f t="shared" si="38"/>
        <v>7.7220000000000011E-2</v>
      </c>
      <c r="J632" s="230">
        <v>6</v>
      </c>
      <c r="K632" s="388">
        <v>454.87</v>
      </c>
      <c r="L632" s="302">
        <f t="shared" si="37"/>
        <v>140.50024560000003</v>
      </c>
      <c r="M632" s="303"/>
      <c r="N632" s="216"/>
      <c r="O632" s="216"/>
      <c r="P632" s="26"/>
    </row>
    <row r="633" spans="1:16" x14ac:dyDescent="0.25">
      <c r="A633" s="526"/>
      <c r="B633" s="523"/>
      <c r="C633" s="31" t="s">
        <v>198</v>
      </c>
      <c r="D633" s="215">
        <v>1</v>
      </c>
      <c r="E633" s="211" t="s">
        <v>43</v>
      </c>
      <c r="F633" s="216"/>
      <c r="G633" s="211">
        <v>1E-3</v>
      </c>
      <c r="H633" s="211">
        <v>2</v>
      </c>
      <c r="I633" s="300">
        <f t="shared" si="38"/>
        <v>0.38610000000000005</v>
      </c>
      <c r="J633" s="230">
        <v>6</v>
      </c>
      <c r="K633" s="388">
        <v>454.87</v>
      </c>
      <c r="L633" s="302">
        <f t="shared" si="37"/>
        <v>351.25061400000004</v>
      </c>
      <c r="M633" s="303"/>
      <c r="N633" s="216"/>
      <c r="O633" s="216"/>
      <c r="P633" s="26"/>
    </row>
    <row r="634" spans="1:16" x14ac:dyDescent="0.25">
      <c r="A634" s="526"/>
      <c r="B634" s="523"/>
      <c r="C634" s="31" t="s">
        <v>198</v>
      </c>
      <c r="D634" s="215">
        <v>1</v>
      </c>
      <c r="E634" s="211" t="s">
        <v>44</v>
      </c>
      <c r="F634" s="216"/>
      <c r="G634" s="211">
        <v>1E-4</v>
      </c>
      <c r="H634" s="211">
        <v>4</v>
      </c>
      <c r="I634" s="300">
        <f t="shared" si="38"/>
        <v>3.8610000000000005E-2</v>
      </c>
      <c r="J634" s="230">
        <v>6</v>
      </c>
      <c r="K634" s="388">
        <v>454.87</v>
      </c>
      <c r="L634" s="302">
        <f t="shared" si="37"/>
        <v>70.250122800000014</v>
      </c>
      <c r="M634" s="303"/>
      <c r="N634" s="216"/>
      <c r="O634" s="216"/>
      <c r="P634" s="26"/>
    </row>
    <row r="635" spans="1:16" x14ac:dyDescent="0.25">
      <c r="A635" s="526"/>
      <c r="B635" s="523"/>
      <c r="C635" s="31" t="s">
        <v>196</v>
      </c>
      <c r="D635" s="215">
        <v>1</v>
      </c>
      <c r="E635" s="211" t="s">
        <v>43</v>
      </c>
      <c r="F635" s="216"/>
      <c r="G635" s="211">
        <v>1E-3</v>
      </c>
      <c r="H635" s="211">
        <v>2</v>
      </c>
      <c r="I635" s="300">
        <f t="shared" si="38"/>
        <v>0.38610000000000005</v>
      </c>
      <c r="J635" s="230">
        <v>6</v>
      </c>
      <c r="K635" s="388">
        <v>454.87</v>
      </c>
      <c r="L635" s="302">
        <f t="shared" si="37"/>
        <v>351.25061400000004</v>
      </c>
      <c r="M635" s="303"/>
      <c r="N635" s="216"/>
      <c r="O635" s="216"/>
      <c r="P635" s="26"/>
    </row>
    <row r="636" spans="1:16" x14ac:dyDescent="0.25">
      <c r="A636" s="526"/>
      <c r="B636" s="523"/>
      <c r="C636" s="31" t="s">
        <v>196</v>
      </c>
      <c r="D636" s="215">
        <v>1</v>
      </c>
      <c r="E636" s="211" t="s">
        <v>44</v>
      </c>
      <c r="F636" s="216"/>
      <c r="G636" s="211">
        <v>1E-4</v>
      </c>
      <c r="H636" s="211">
        <v>4</v>
      </c>
      <c r="I636" s="300">
        <f t="shared" si="38"/>
        <v>3.8610000000000005E-2</v>
      </c>
      <c r="J636" s="230">
        <v>6</v>
      </c>
      <c r="K636" s="388">
        <v>454.87</v>
      </c>
      <c r="L636" s="302">
        <f t="shared" si="37"/>
        <v>70.250122800000014</v>
      </c>
      <c r="M636" s="303"/>
      <c r="N636" s="216"/>
      <c r="O636" s="216"/>
      <c r="P636" s="26"/>
    </row>
    <row r="637" spans="1:16" x14ac:dyDescent="0.25">
      <c r="A637" s="526"/>
      <c r="B637" s="523"/>
      <c r="C637" s="31" t="s">
        <v>197</v>
      </c>
      <c r="D637" s="215">
        <v>1</v>
      </c>
      <c r="E637" s="211" t="s">
        <v>43</v>
      </c>
      <c r="F637" s="216"/>
      <c r="G637" s="211">
        <v>1E-3</v>
      </c>
      <c r="H637" s="211">
        <v>2</v>
      </c>
      <c r="I637" s="300">
        <f t="shared" si="38"/>
        <v>0.38610000000000005</v>
      </c>
      <c r="J637" s="230">
        <v>6</v>
      </c>
      <c r="K637" s="388">
        <v>454.87</v>
      </c>
      <c r="L637" s="302">
        <f t="shared" si="37"/>
        <v>351.25061400000004</v>
      </c>
      <c r="M637" s="303"/>
      <c r="N637" s="216"/>
      <c r="O637" s="216"/>
      <c r="P637" s="26"/>
    </row>
    <row r="638" spans="1:16" x14ac:dyDescent="0.25">
      <c r="A638" s="526"/>
      <c r="B638" s="523"/>
      <c r="C638" s="31" t="s">
        <v>197</v>
      </c>
      <c r="D638" s="215">
        <v>1</v>
      </c>
      <c r="E638" s="211" t="s">
        <v>44</v>
      </c>
      <c r="F638" s="216"/>
      <c r="G638" s="211">
        <v>1E-4</v>
      </c>
      <c r="H638" s="211">
        <v>4</v>
      </c>
      <c r="I638" s="300">
        <f t="shared" si="38"/>
        <v>3.8610000000000005E-2</v>
      </c>
      <c r="J638" s="230">
        <v>6</v>
      </c>
      <c r="K638" s="388">
        <v>454.87</v>
      </c>
      <c r="L638" s="302">
        <f t="shared" si="37"/>
        <v>70.250122800000014</v>
      </c>
      <c r="M638" s="303"/>
      <c r="N638" s="216"/>
      <c r="O638" s="216"/>
      <c r="P638" s="26"/>
    </row>
    <row r="639" spans="1:16" x14ac:dyDescent="0.25">
      <c r="A639" s="526"/>
      <c r="B639" s="523"/>
      <c r="C639" s="31" t="s">
        <v>199</v>
      </c>
      <c r="D639" s="215">
        <v>1</v>
      </c>
      <c r="E639" s="211" t="s">
        <v>43</v>
      </c>
      <c r="F639" s="216"/>
      <c r="G639" s="211">
        <v>1E-3</v>
      </c>
      <c r="H639" s="211">
        <v>2</v>
      </c>
      <c r="I639" s="300">
        <f t="shared" si="38"/>
        <v>0.38610000000000005</v>
      </c>
      <c r="J639" s="230">
        <v>6</v>
      </c>
      <c r="K639" s="388">
        <v>454.87</v>
      </c>
      <c r="L639" s="302">
        <f t="shared" si="37"/>
        <v>351.25061400000004</v>
      </c>
      <c r="M639" s="303"/>
      <c r="N639" s="216"/>
      <c r="O639" s="216"/>
      <c r="P639" s="26"/>
    </row>
    <row r="640" spans="1:16" x14ac:dyDescent="0.25">
      <c r="A640" s="526"/>
      <c r="B640" s="523"/>
      <c r="C640" s="31" t="s">
        <v>199</v>
      </c>
      <c r="D640" s="215">
        <v>1</v>
      </c>
      <c r="E640" s="211" t="s">
        <v>44</v>
      </c>
      <c r="F640" s="216"/>
      <c r="G640" s="211">
        <v>1E-4</v>
      </c>
      <c r="H640" s="211">
        <v>4</v>
      </c>
      <c r="I640" s="300">
        <f t="shared" si="38"/>
        <v>3.8610000000000005E-2</v>
      </c>
      <c r="J640" s="230">
        <v>6</v>
      </c>
      <c r="K640" s="388">
        <v>454.87</v>
      </c>
      <c r="L640" s="302">
        <f t="shared" si="37"/>
        <v>70.250122800000014</v>
      </c>
      <c r="M640" s="303"/>
      <c r="N640" s="216"/>
      <c r="O640" s="216"/>
      <c r="P640" s="26"/>
    </row>
    <row r="641" spans="1:16" x14ac:dyDescent="0.25">
      <c r="A641" s="526"/>
      <c r="B641" s="523"/>
      <c r="C641" s="31" t="s">
        <v>200</v>
      </c>
      <c r="D641" s="215">
        <v>2</v>
      </c>
      <c r="E641" s="211" t="s">
        <v>43</v>
      </c>
      <c r="F641" s="216"/>
      <c r="G641" s="211">
        <v>1E-3</v>
      </c>
      <c r="H641" s="211">
        <v>2</v>
      </c>
      <c r="I641" s="300">
        <f t="shared" si="38"/>
        <v>0.77220000000000011</v>
      </c>
      <c r="J641" s="230">
        <v>6</v>
      </c>
      <c r="K641" s="388">
        <v>454.87</v>
      </c>
      <c r="L641" s="302">
        <f t="shared" si="37"/>
        <v>702.50122800000008</v>
      </c>
      <c r="M641" s="303"/>
      <c r="N641" s="216"/>
      <c r="O641" s="216"/>
      <c r="P641" s="26"/>
    </row>
    <row r="642" spans="1:16" x14ac:dyDescent="0.25">
      <c r="A642" s="526"/>
      <c r="B642" s="523"/>
      <c r="C642" s="31" t="s">
        <v>200</v>
      </c>
      <c r="D642" s="215">
        <v>2</v>
      </c>
      <c r="E642" s="211" t="s">
        <v>44</v>
      </c>
      <c r="F642" s="216"/>
      <c r="G642" s="211">
        <v>1E-4</v>
      </c>
      <c r="H642" s="211">
        <v>4</v>
      </c>
      <c r="I642" s="300">
        <f t="shared" si="38"/>
        <v>7.7220000000000011E-2</v>
      </c>
      <c r="J642" s="230">
        <v>6</v>
      </c>
      <c r="K642" s="388">
        <v>454.87</v>
      </c>
      <c r="L642" s="302">
        <f t="shared" si="37"/>
        <v>140.50024560000003</v>
      </c>
      <c r="M642" s="303"/>
      <c r="N642" s="216"/>
      <c r="O642" s="216"/>
      <c r="P642" s="26"/>
    </row>
    <row r="643" spans="1:16" ht="31.5" x14ac:dyDescent="0.25">
      <c r="A643" s="526"/>
      <c r="B643" s="523"/>
      <c r="C643" s="31" t="s">
        <v>264</v>
      </c>
      <c r="D643" s="215">
        <v>1</v>
      </c>
      <c r="E643" s="211" t="s">
        <v>43</v>
      </c>
      <c r="F643" s="216"/>
      <c r="G643" s="211">
        <v>1E-3</v>
      </c>
      <c r="H643" s="211">
        <v>2</v>
      </c>
      <c r="I643" s="300">
        <f t="shared" si="38"/>
        <v>0.38610000000000005</v>
      </c>
      <c r="J643" s="230">
        <v>6</v>
      </c>
      <c r="K643" s="388">
        <v>454.87</v>
      </c>
      <c r="L643" s="302">
        <f t="shared" si="37"/>
        <v>351.25061400000004</v>
      </c>
      <c r="M643" s="303"/>
      <c r="N643" s="216"/>
      <c r="O643" s="216"/>
      <c r="P643" s="26"/>
    </row>
    <row r="644" spans="1:16" ht="31.5" x14ac:dyDescent="0.25">
      <c r="A644" s="526"/>
      <c r="B644" s="523"/>
      <c r="C644" s="31" t="s">
        <v>264</v>
      </c>
      <c r="D644" s="215">
        <v>1</v>
      </c>
      <c r="E644" s="211" t="s">
        <v>44</v>
      </c>
      <c r="F644" s="216"/>
      <c r="G644" s="211">
        <v>1E-4</v>
      </c>
      <c r="H644" s="211">
        <v>4</v>
      </c>
      <c r="I644" s="300">
        <f t="shared" si="38"/>
        <v>3.8610000000000005E-2</v>
      </c>
      <c r="J644" s="230">
        <v>6</v>
      </c>
      <c r="K644" s="388">
        <v>454.87</v>
      </c>
      <c r="L644" s="302">
        <f t="shared" si="37"/>
        <v>70.250122800000014</v>
      </c>
      <c r="M644" s="303"/>
      <c r="N644" s="216"/>
      <c r="O644" s="216"/>
      <c r="P644" s="26"/>
    </row>
    <row r="645" spans="1:16" x14ac:dyDescent="0.25">
      <c r="A645" s="526"/>
      <c r="B645" s="523"/>
      <c r="C645" s="31" t="s">
        <v>66</v>
      </c>
      <c r="D645" s="215">
        <v>4</v>
      </c>
      <c r="E645" s="211" t="s">
        <v>43</v>
      </c>
      <c r="F645" s="216"/>
      <c r="G645" s="211">
        <v>1E-3</v>
      </c>
      <c r="H645" s="211">
        <v>2</v>
      </c>
      <c r="I645" s="300">
        <f t="shared" si="38"/>
        <v>1.5444000000000002</v>
      </c>
      <c r="J645" s="230">
        <v>6</v>
      </c>
      <c r="K645" s="388">
        <v>454.87</v>
      </c>
      <c r="L645" s="302">
        <f t="shared" si="37"/>
        <v>1405.0024560000002</v>
      </c>
      <c r="M645" s="303"/>
      <c r="N645" s="216"/>
      <c r="O645" s="216"/>
      <c r="P645" s="26"/>
    </row>
    <row r="646" spans="1:16" x14ac:dyDescent="0.25">
      <c r="A646" s="526"/>
      <c r="B646" s="523"/>
      <c r="C646" s="31" t="s">
        <v>66</v>
      </c>
      <c r="D646" s="215">
        <v>4</v>
      </c>
      <c r="E646" s="211" t="s">
        <v>44</v>
      </c>
      <c r="F646" s="216"/>
      <c r="G646" s="211">
        <v>1E-4</v>
      </c>
      <c r="H646" s="211">
        <v>4</v>
      </c>
      <c r="I646" s="300">
        <f t="shared" si="38"/>
        <v>0.15444000000000002</v>
      </c>
      <c r="J646" s="230">
        <v>6</v>
      </c>
      <c r="K646" s="388">
        <v>454.87</v>
      </c>
      <c r="L646" s="302">
        <f t="shared" si="37"/>
        <v>281.00049120000006</v>
      </c>
      <c r="M646" s="303"/>
      <c r="N646" s="216"/>
      <c r="O646" s="216"/>
      <c r="P646" s="26"/>
    </row>
    <row r="647" spans="1:16" x14ac:dyDescent="0.25">
      <c r="A647" s="526"/>
      <c r="B647" s="523"/>
      <c r="C647" s="31" t="s">
        <v>201</v>
      </c>
      <c r="D647" s="215">
        <v>4</v>
      </c>
      <c r="E647" s="211" t="s">
        <v>43</v>
      </c>
      <c r="F647" s="216"/>
      <c r="G647" s="211">
        <v>1E-3</v>
      </c>
      <c r="H647" s="211">
        <v>2</v>
      </c>
      <c r="I647" s="300">
        <f t="shared" si="38"/>
        <v>1.5444000000000002</v>
      </c>
      <c r="J647" s="230">
        <v>6</v>
      </c>
      <c r="K647" s="388">
        <v>454.87</v>
      </c>
      <c r="L647" s="302">
        <f t="shared" ref="L647:L710" si="40">H647*I647*K647</f>
        <v>1405.0024560000002</v>
      </c>
      <c r="M647" s="303"/>
      <c r="N647" s="216"/>
      <c r="O647" s="216"/>
      <c r="P647" s="26"/>
    </row>
    <row r="648" spans="1:16" x14ac:dyDescent="0.25">
      <c r="A648" s="526"/>
      <c r="B648" s="523"/>
      <c r="C648" s="31" t="s">
        <v>201</v>
      </c>
      <c r="D648" s="215">
        <v>4</v>
      </c>
      <c r="E648" s="211" t="s">
        <v>44</v>
      </c>
      <c r="F648" s="216"/>
      <c r="G648" s="211">
        <v>1E-4</v>
      </c>
      <c r="H648" s="211">
        <v>4</v>
      </c>
      <c r="I648" s="300">
        <f t="shared" si="38"/>
        <v>0.15444000000000002</v>
      </c>
      <c r="J648" s="230">
        <v>6</v>
      </c>
      <c r="K648" s="388">
        <v>454.87</v>
      </c>
      <c r="L648" s="302">
        <f t="shared" si="40"/>
        <v>281.00049120000006</v>
      </c>
      <c r="M648" s="303"/>
      <c r="N648" s="216"/>
      <c r="O648" s="216"/>
      <c r="P648" s="26"/>
    </row>
    <row r="649" spans="1:16" x14ac:dyDescent="0.25">
      <c r="A649" s="526"/>
      <c r="B649" s="523"/>
      <c r="C649" s="31" t="s">
        <v>202</v>
      </c>
      <c r="D649" s="215">
        <v>7</v>
      </c>
      <c r="E649" s="211" t="s">
        <v>43</v>
      </c>
      <c r="F649" s="216"/>
      <c r="G649" s="211">
        <v>1E-3</v>
      </c>
      <c r="H649" s="211">
        <v>2</v>
      </c>
      <c r="I649" s="300">
        <f t="shared" si="38"/>
        <v>2.7027000000000001</v>
      </c>
      <c r="J649" s="230">
        <v>6</v>
      </c>
      <c r="K649" s="388">
        <v>454.87</v>
      </c>
      <c r="L649" s="302">
        <f t="shared" si="40"/>
        <v>2458.7542980000003</v>
      </c>
      <c r="M649" s="303"/>
      <c r="N649" s="216"/>
      <c r="O649" s="216"/>
      <c r="P649" s="26"/>
    </row>
    <row r="650" spans="1:16" x14ac:dyDescent="0.25">
      <c r="A650" s="526"/>
      <c r="B650" s="523"/>
      <c r="C650" s="31" t="s">
        <v>202</v>
      </c>
      <c r="D650" s="215">
        <v>7</v>
      </c>
      <c r="E650" s="211" t="s">
        <v>44</v>
      </c>
      <c r="F650" s="216"/>
      <c r="G650" s="211">
        <v>1E-4</v>
      </c>
      <c r="H650" s="211">
        <v>4</v>
      </c>
      <c r="I650" s="300">
        <f t="shared" si="38"/>
        <v>0.27027000000000001</v>
      </c>
      <c r="J650" s="230">
        <v>6</v>
      </c>
      <c r="K650" s="388">
        <v>454.87</v>
      </c>
      <c r="L650" s="302">
        <f t="shared" si="40"/>
        <v>491.75085960000001</v>
      </c>
      <c r="M650" s="303"/>
      <c r="N650" s="216"/>
      <c r="O650" s="216"/>
      <c r="P650" s="26"/>
    </row>
    <row r="651" spans="1:16" x14ac:dyDescent="0.25">
      <c r="A651" s="526"/>
      <c r="B651" s="523"/>
      <c r="C651" s="31" t="s">
        <v>265</v>
      </c>
      <c r="D651" s="215">
        <v>1</v>
      </c>
      <c r="E651" s="211" t="s">
        <v>43</v>
      </c>
      <c r="F651" s="216"/>
      <c r="G651" s="211">
        <v>1E-3</v>
      </c>
      <c r="H651" s="211">
        <v>2</v>
      </c>
      <c r="I651" s="300">
        <f t="shared" ref="I651:I723" si="41">D651*G651*351*1.1</f>
        <v>0.38610000000000005</v>
      </c>
      <c r="J651" s="230">
        <v>6</v>
      </c>
      <c r="K651" s="388">
        <v>454.87</v>
      </c>
      <c r="L651" s="302">
        <f t="shared" si="40"/>
        <v>351.25061400000004</v>
      </c>
      <c r="M651" s="303"/>
      <c r="N651" s="216"/>
      <c r="O651" s="216"/>
      <c r="P651" s="26"/>
    </row>
    <row r="652" spans="1:16" x14ac:dyDescent="0.25">
      <c r="A652" s="526"/>
      <c r="B652" s="523"/>
      <c r="C652" s="31" t="s">
        <v>265</v>
      </c>
      <c r="D652" s="215">
        <v>1</v>
      </c>
      <c r="E652" s="211" t="s">
        <v>44</v>
      </c>
      <c r="F652" s="216"/>
      <c r="G652" s="211">
        <v>1E-4</v>
      </c>
      <c r="H652" s="211">
        <v>4</v>
      </c>
      <c r="I652" s="300">
        <f t="shared" si="41"/>
        <v>3.8610000000000005E-2</v>
      </c>
      <c r="J652" s="230">
        <v>6</v>
      </c>
      <c r="K652" s="388">
        <v>454.87</v>
      </c>
      <c r="L652" s="302">
        <f t="shared" si="40"/>
        <v>70.250122800000014</v>
      </c>
      <c r="M652" s="303"/>
      <c r="N652" s="216"/>
      <c r="O652" s="216"/>
      <c r="P652" s="26"/>
    </row>
    <row r="653" spans="1:16" x14ac:dyDescent="0.25">
      <c r="A653" s="526"/>
      <c r="B653" s="523"/>
      <c r="C653" s="31" t="s">
        <v>266</v>
      </c>
      <c r="D653" s="215">
        <v>2</v>
      </c>
      <c r="E653" s="211" t="s">
        <v>43</v>
      </c>
      <c r="F653" s="216"/>
      <c r="G653" s="211">
        <v>1E-3</v>
      </c>
      <c r="H653" s="211">
        <v>2</v>
      </c>
      <c r="I653" s="300">
        <f t="shared" si="41"/>
        <v>0.77220000000000011</v>
      </c>
      <c r="J653" s="230">
        <v>6</v>
      </c>
      <c r="K653" s="388">
        <v>454.87</v>
      </c>
      <c r="L653" s="302">
        <f t="shared" si="40"/>
        <v>702.50122800000008</v>
      </c>
      <c r="M653" s="303"/>
      <c r="N653" s="216"/>
      <c r="O653" s="216"/>
      <c r="P653" s="26"/>
    </row>
    <row r="654" spans="1:16" x14ac:dyDescent="0.25">
      <c r="A654" s="526"/>
      <c r="B654" s="523"/>
      <c r="C654" s="31" t="s">
        <v>266</v>
      </c>
      <c r="D654" s="215">
        <v>2</v>
      </c>
      <c r="E654" s="211" t="s">
        <v>44</v>
      </c>
      <c r="F654" s="216"/>
      <c r="G654" s="211">
        <v>1E-4</v>
      </c>
      <c r="H654" s="211">
        <v>4</v>
      </c>
      <c r="I654" s="300">
        <f t="shared" si="41"/>
        <v>7.7220000000000011E-2</v>
      </c>
      <c r="J654" s="230">
        <v>6</v>
      </c>
      <c r="K654" s="388">
        <v>454.87</v>
      </c>
      <c r="L654" s="302">
        <f t="shared" si="40"/>
        <v>140.50024560000003</v>
      </c>
      <c r="M654" s="303"/>
      <c r="N654" s="216"/>
      <c r="O654" s="216"/>
      <c r="P654" s="26"/>
    </row>
    <row r="655" spans="1:16" x14ac:dyDescent="0.25">
      <c r="A655" s="526"/>
      <c r="B655" s="523"/>
      <c r="C655" s="31" t="s">
        <v>71</v>
      </c>
      <c r="D655" s="215">
        <v>4</v>
      </c>
      <c r="E655" s="211" t="s">
        <v>43</v>
      </c>
      <c r="F655" s="216"/>
      <c r="G655" s="211">
        <v>1E-3</v>
      </c>
      <c r="H655" s="211">
        <v>2</v>
      </c>
      <c r="I655" s="300">
        <f t="shared" si="41"/>
        <v>1.5444000000000002</v>
      </c>
      <c r="J655" s="230">
        <v>6</v>
      </c>
      <c r="K655" s="388">
        <v>454.87</v>
      </c>
      <c r="L655" s="302">
        <f t="shared" si="40"/>
        <v>1405.0024560000002</v>
      </c>
      <c r="M655" s="303"/>
      <c r="N655" s="216"/>
      <c r="O655" s="216"/>
      <c r="P655" s="26"/>
    </row>
    <row r="656" spans="1:16" x14ac:dyDescent="0.25">
      <c r="A656" s="526"/>
      <c r="B656" s="523"/>
      <c r="C656" s="31" t="s">
        <v>71</v>
      </c>
      <c r="D656" s="215">
        <v>4</v>
      </c>
      <c r="E656" s="211" t="s">
        <v>44</v>
      </c>
      <c r="F656" s="216"/>
      <c r="G656" s="211">
        <v>1E-4</v>
      </c>
      <c r="H656" s="211">
        <v>4</v>
      </c>
      <c r="I656" s="300">
        <f t="shared" si="41"/>
        <v>0.15444000000000002</v>
      </c>
      <c r="J656" s="230">
        <v>6</v>
      </c>
      <c r="K656" s="388">
        <v>454.87</v>
      </c>
      <c r="L656" s="302">
        <f t="shared" si="40"/>
        <v>281.00049120000006</v>
      </c>
      <c r="M656" s="303"/>
      <c r="N656" s="216"/>
      <c r="O656" s="216"/>
      <c r="P656" s="26"/>
    </row>
    <row r="657" spans="1:16" ht="31.5" x14ac:dyDescent="0.25">
      <c r="A657" s="526"/>
      <c r="B657" s="523"/>
      <c r="C657" s="31" t="s">
        <v>205</v>
      </c>
      <c r="D657" s="215">
        <v>1</v>
      </c>
      <c r="E657" s="211" t="s">
        <v>43</v>
      </c>
      <c r="F657" s="216"/>
      <c r="G657" s="211">
        <v>1E-3</v>
      </c>
      <c r="H657" s="211">
        <v>2</v>
      </c>
      <c r="I657" s="300">
        <f t="shared" si="41"/>
        <v>0.38610000000000005</v>
      </c>
      <c r="J657" s="230">
        <v>6</v>
      </c>
      <c r="K657" s="388">
        <v>454.87</v>
      </c>
      <c r="L657" s="302">
        <f t="shared" si="40"/>
        <v>351.25061400000004</v>
      </c>
      <c r="M657" s="303"/>
      <c r="N657" s="216"/>
      <c r="O657" s="216"/>
      <c r="P657" s="26"/>
    </row>
    <row r="658" spans="1:16" ht="31.5" x14ac:dyDescent="0.25">
      <c r="A658" s="526"/>
      <c r="B658" s="523"/>
      <c r="C658" s="31" t="s">
        <v>205</v>
      </c>
      <c r="D658" s="215">
        <v>1</v>
      </c>
      <c r="E658" s="211" t="s">
        <v>44</v>
      </c>
      <c r="F658" s="216"/>
      <c r="G658" s="211">
        <v>1E-4</v>
      </c>
      <c r="H658" s="211">
        <v>4</v>
      </c>
      <c r="I658" s="300">
        <f t="shared" si="41"/>
        <v>3.8610000000000005E-2</v>
      </c>
      <c r="J658" s="230">
        <v>6</v>
      </c>
      <c r="K658" s="388">
        <v>454.87</v>
      </c>
      <c r="L658" s="302">
        <f t="shared" si="40"/>
        <v>70.250122800000014</v>
      </c>
      <c r="M658" s="303"/>
      <c r="N658" s="216"/>
      <c r="O658" s="216"/>
      <c r="P658" s="26"/>
    </row>
    <row r="659" spans="1:16" x14ac:dyDescent="0.25">
      <c r="A659" s="526"/>
      <c r="B659" s="523"/>
      <c r="C659" s="31" t="s">
        <v>72</v>
      </c>
      <c r="D659" s="215">
        <v>2</v>
      </c>
      <c r="E659" s="211" t="s">
        <v>43</v>
      </c>
      <c r="F659" s="216"/>
      <c r="G659" s="211">
        <v>1E-3</v>
      </c>
      <c r="H659" s="211">
        <v>2</v>
      </c>
      <c r="I659" s="300">
        <f t="shared" si="41"/>
        <v>0.77220000000000011</v>
      </c>
      <c r="J659" s="230">
        <v>6</v>
      </c>
      <c r="K659" s="388">
        <v>454.87</v>
      </c>
      <c r="L659" s="302">
        <f t="shared" si="40"/>
        <v>702.50122800000008</v>
      </c>
      <c r="M659" s="303"/>
      <c r="N659" s="216"/>
      <c r="O659" s="216"/>
      <c r="P659" s="26"/>
    </row>
    <row r="660" spans="1:16" x14ac:dyDescent="0.25">
      <c r="A660" s="526"/>
      <c r="B660" s="523"/>
      <c r="C660" s="31" t="s">
        <v>72</v>
      </c>
      <c r="D660" s="215">
        <v>2</v>
      </c>
      <c r="E660" s="211" t="s">
        <v>44</v>
      </c>
      <c r="F660" s="216"/>
      <c r="G660" s="211">
        <v>1E-4</v>
      </c>
      <c r="H660" s="211">
        <v>4</v>
      </c>
      <c r="I660" s="300">
        <f t="shared" si="41"/>
        <v>7.7220000000000011E-2</v>
      </c>
      <c r="J660" s="230">
        <v>6</v>
      </c>
      <c r="K660" s="388">
        <v>454.87</v>
      </c>
      <c r="L660" s="302">
        <f t="shared" si="40"/>
        <v>140.50024560000003</v>
      </c>
      <c r="M660" s="303"/>
      <c r="N660" s="216"/>
      <c r="O660" s="216"/>
      <c r="P660" s="26"/>
    </row>
    <row r="661" spans="1:16" x14ac:dyDescent="0.25">
      <c r="A661" s="526"/>
      <c r="B661" s="523"/>
      <c r="C661" s="31" t="s">
        <v>204</v>
      </c>
      <c r="D661" s="215">
        <v>1</v>
      </c>
      <c r="E661" s="211" t="s">
        <v>43</v>
      </c>
      <c r="F661" s="216"/>
      <c r="G661" s="211">
        <v>1E-3</v>
      </c>
      <c r="H661" s="211">
        <v>2</v>
      </c>
      <c r="I661" s="300">
        <f t="shared" si="41"/>
        <v>0.38610000000000005</v>
      </c>
      <c r="J661" s="230">
        <v>6</v>
      </c>
      <c r="K661" s="388">
        <v>454.87</v>
      </c>
      <c r="L661" s="302">
        <f t="shared" si="40"/>
        <v>351.25061400000004</v>
      </c>
      <c r="M661" s="303"/>
      <c r="N661" s="216"/>
      <c r="O661" s="216"/>
      <c r="P661" s="26"/>
    </row>
    <row r="662" spans="1:16" x14ac:dyDescent="0.25">
      <c r="A662" s="526"/>
      <c r="B662" s="523"/>
      <c r="C662" s="31" t="s">
        <v>204</v>
      </c>
      <c r="D662" s="215">
        <v>1</v>
      </c>
      <c r="E662" s="211" t="s">
        <v>44</v>
      </c>
      <c r="F662" s="216"/>
      <c r="G662" s="211">
        <v>1E-4</v>
      </c>
      <c r="H662" s="211">
        <v>4</v>
      </c>
      <c r="I662" s="300">
        <f t="shared" si="41"/>
        <v>3.8610000000000005E-2</v>
      </c>
      <c r="J662" s="230">
        <v>6</v>
      </c>
      <c r="K662" s="388">
        <v>454.87</v>
      </c>
      <c r="L662" s="302">
        <f t="shared" si="40"/>
        <v>70.250122800000014</v>
      </c>
      <c r="M662" s="303"/>
      <c r="N662" s="216"/>
      <c r="O662" s="216"/>
      <c r="P662" s="26"/>
    </row>
    <row r="663" spans="1:16" x14ac:dyDescent="0.25">
      <c r="A663" s="526"/>
      <c r="B663" s="523"/>
      <c r="C663" s="31" t="s">
        <v>267</v>
      </c>
      <c r="D663" s="215">
        <v>1</v>
      </c>
      <c r="E663" s="211" t="s">
        <v>43</v>
      </c>
      <c r="F663" s="216"/>
      <c r="G663" s="211">
        <v>3.0000000000000001E-3</v>
      </c>
      <c r="H663" s="211">
        <v>2</v>
      </c>
      <c r="I663" s="300">
        <f t="shared" si="41"/>
        <v>1.1583000000000001</v>
      </c>
      <c r="J663" s="230">
        <v>6</v>
      </c>
      <c r="K663" s="388">
        <v>454.87</v>
      </c>
      <c r="L663" s="302">
        <f t="shared" si="40"/>
        <v>1053.7518420000001</v>
      </c>
      <c r="M663" s="303"/>
      <c r="N663" s="216"/>
      <c r="O663" s="216"/>
      <c r="P663" s="26"/>
    </row>
    <row r="664" spans="1:16" x14ac:dyDescent="0.25">
      <c r="A664" s="526"/>
      <c r="B664" s="523"/>
      <c r="C664" s="31" t="s">
        <v>267</v>
      </c>
      <c r="D664" s="215">
        <v>1</v>
      </c>
      <c r="E664" s="211" t="s">
        <v>44</v>
      </c>
      <c r="F664" s="216"/>
      <c r="G664" s="211">
        <v>2.9999999999999997E-4</v>
      </c>
      <c r="H664" s="211">
        <v>4</v>
      </c>
      <c r="I664" s="300">
        <f t="shared" si="41"/>
        <v>0.11583</v>
      </c>
      <c r="J664" s="230">
        <v>6</v>
      </c>
      <c r="K664" s="388">
        <v>454.87</v>
      </c>
      <c r="L664" s="302">
        <f t="shared" si="40"/>
        <v>210.75036840000001</v>
      </c>
      <c r="M664" s="303"/>
      <c r="N664" s="216"/>
      <c r="O664" s="216"/>
      <c r="P664" s="26"/>
    </row>
    <row r="665" spans="1:16" ht="31.5" x14ac:dyDescent="0.25">
      <c r="A665" s="526"/>
      <c r="B665" s="523"/>
      <c r="C665" s="31" t="s">
        <v>74</v>
      </c>
      <c r="D665" s="215">
        <v>13</v>
      </c>
      <c r="E665" s="211" t="s">
        <v>43</v>
      </c>
      <c r="F665" s="216"/>
      <c r="G665" s="211">
        <v>1E-3</v>
      </c>
      <c r="H665" s="211">
        <v>2</v>
      </c>
      <c r="I665" s="300">
        <f t="shared" si="41"/>
        <v>5.0193000000000012</v>
      </c>
      <c r="J665" s="230">
        <v>6</v>
      </c>
      <c r="K665" s="388">
        <v>454.87</v>
      </c>
      <c r="L665" s="302">
        <f t="shared" si="40"/>
        <v>4566.257982000001</v>
      </c>
      <c r="M665" s="303"/>
      <c r="N665" s="216"/>
      <c r="O665" s="216"/>
      <c r="P665" s="26"/>
    </row>
    <row r="666" spans="1:16" ht="31.5" x14ac:dyDescent="0.25">
      <c r="A666" s="526"/>
      <c r="B666" s="523"/>
      <c r="C666" s="31" t="s">
        <v>74</v>
      </c>
      <c r="D666" s="215">
        <v>13</v>
      </c>
      <c r="E666" s="211" t="s">
        <v>44</v>
      </c>
      <c r="F666" s="216"/>
      <c r="G666" s="211">
        <v>1E-4</v>
      </c>
      <c r="H666" s="211">
        <v>4</v>
      </c>
      <c r="I666" s="300">
        <f t="shared" si="41"/>
        <v>0.5019300000000001</v>
      </c>
      <c r="J666" s="230">
        <v>6</v>
      </c>
      <c r="K666" s="388">
        <v>454.87</v>
      </c>
      <c r="L666" s="302">
        <f t="shared" si="40"/>
        <v>913.25159640000015</v>
      </c>
      <c r="M666" s="303"/>
      <c r="N666" s="216"/>
      <c r="O666" s="216"/>
      <c r="P666" s="26"/>
    </row>
    <row r="667" spans="1:16" x14ac:dyDescent="0.25">
      <c r="A667" s="526"/>
      <c r="B667" s="523"/>
      <c r="C667" s="31" t="s">
        <v>268</v>
      </c>
      <c r="D667" s="215">
        <v>1</v>
      </c>
      <c r="E667" s="211" t="s">
        <v>43</v>
      </c>
      <c r="F667" s="216"/>
      <c r="G667" s="211">
        <v>3.0000000000000001E-3</v>
      </c>
      <c r="H667" s="211">
        <v>2</v>
      </c>
      <c r="I667" s="300">
        <f t="shared" si="41"/>
        <v>1.1583000000000001</v>
      </c>
      <c r="J667" s="230">
        <v>6</v>
      </c>
      <c r="K667" s="388">
        <v>454.87</v>
      </c>
      <c r="L667" s="302">
        <f t="shared" si="40"/>
        <v>1053.7518420000001</v>
      </c>
      <c r="M667" s="303"/>
      <c r="N667" s="216"/>
      <c r="O667" s="216"/>
      <c r="P667" s="26"/>
    </row>
    <row r="668" spans="1:16" x14ac:dyDescent="0.25">
      <c r="A668" s="526"/>
      <c r="B668" s="523"/>
      <c r="C668" s="31" t="s">
        <v>268</v>
      </c>
      <c r="D668" s="215">
        <v>1</v>
      </c>
      <c r="E668" s="211" t="s">
        <v>44</v>
      </c>
      <c r="F668" s="216"/>
      <c r="G668" s="211">
        <v>2.9999999999999997E-4</v>
      </c>
      <c r="H668" s="211">
        <v>4</v>
      </c>
      <c r="I668" s="300">
        <f t="shared" si="41"/>
        <v>0.11583</v>
      </c>
      <c r="J668" s="230">
        <v>6</v>
      </c>
      <c r="K668" s="388">
        <v>454.87</v>
      </c>
      <c r="L668" s="302">
        <f t="shared" si="40"/>
        <v>210.75036840000001</v>
      </c>
      <c r="M668" s="303"/>
      <c r="N668" s="216"/>
      <c r="O668" s="216"/>
      <c r="P668" s="26"/>
    </row>
    <row r="669" spans="1:16" x14ac:dyDescent="0.25">
      <c r="A669" s="526"/>
      <c r="B669" s="523"/>
      <c r="C669" s="31" t="s">
        <v>269</v>
      </c>
      <c r="D669" s="215">
        <v>1</v>
      </c>
      <c r="E669" s="211" t="s">
        <v>43</v>
      </c>
      <c r="F669" s="216"/>
      <c r="G669" s="211">
        <v>3.0000000000000001E-3</v>
      </c>
      <c r="H669" s="211">
        <v>2</v>
      </c>
      <c r="I669" s="300">
        <f t="shared" si="41"/>
        <v>1.1583000000000001</v>
      </c>
      <c r="J669" s="230">
        <v>6</v>
      </c>
      <c r="K669" s="388">
        <v>454.87</v>
      </c>
      <c r="L669" s="302">
        <f t="shared" si="40"/>
        <v>1053.7518420000001</v>
      </c>
      <c r="M669" s="303"/>
      <c r="N669" s="216"/>
      <c r="O669" s="216"/>
      <c r="P669" s="26"/>
    </row>
    <row r="670" spans="1:16" x14ac:dyDescent="0.25">
      <c r="A670" s="526"/>
      <c r="B670" s="523"/>
      <c r="C670" s="31" t="s">
        <v>269</v>
      </c>
      <c r="D670" s="215">
        <v>1</v>
      </c>
      <c r="E670" s="211" t="s">
        <v>44</v>
      </c>
      <c r="F670" s="216"/>
      <c r="G670" s="211">
        <v>2.9999999999999997E-4</v>
      </c>
      <c r="H670" s="211">
        <v>4</v>
      </c>
      <c r="I670" s="300">
        <f t="shared" si="41"/>
        <v>0.11583</v>
      </c>
      <c r="J670" s="230">
        <v>6</v>
      </c>
      <c r="K670" s="388">
        <v>454.87</v>
      </c>
      <c r="L670" s="302">
        <f t="shared" si="40"/>
        <v>210.75036840000001</v>
      </c>
      <c r="M670" s="303"/>
      <c r="N670" s="216"/>
      <c r="O670" s="216"/>
      <c r="P670" s="26"/>
    </row>
    <row r="671" spans="1:16" x14ac:dyDescent="0.25">
      <c r="A671" s="526"/>
      <c r="B671" s="523"/>
      <c r="C671" s="31" t="s">
        <v>270</v>
      </c>
      <c r="D671" s="215">
        <v>1</v>
      </c>
      <c r="E671" s="211" t="s">
        <v>43</v>
      </c>
      <c r="F671" s="216"/>
      <c r="G671" s="211">
        <v>3.0000000000000001E-3</v>
      </c>
      <c r="H671" s="211">
        <v>2</v>
      </c>
      <c r="I671" s="300">
        <f t="shared" si="41"/>
        <v>1.1583000000000001</v>
      </c>
      <c r="J671" s="230">
        <v>6</v>
      </c>
      <c r="K671" s="388">
        <v>454.87</v>
      </c>
      <c r="L671" s="302">
        <f t="shared" si="40"/>
        <v>1053.7518420000001</v>
      </c>
      <c r="M671" s="303"/>
      <c r="N671" s="216"/>
      <c r="O671" s="216"/>
      <c r="P671" s="26"/>
    </row>
    <row r="672" spans="1:16" x14ac:dyDescent="0.25">
      <c r="A672" s="526"/>
      <c r="B672" s="523"/>
      <c r="C672" s="31" t="s">
        <v>270</v>
      </c>
      <c r="D672" s="215">
        <v>1</v>
      </c>
      <c r="E672" s="211" t="s">
        <v>44</v>
      </c>
      <c r="F672" s="216"/>
      <c r="G672" s="211">
        <v>2.9999999999999997E-4</v>
      </c>
      <c r="H672" s="211">
        <v>4</v>
      </c>
      <c r="I672" s="300">
        <f t="shared" si="41"/>
        <v>0.11583</v>
      </c>
      <c r="J672" s="230">
        <v>6</v>
      </c>
      <c r="K672" s="388">
        <v>454.87</v>
      </c>
      <c r="L672" s="302">
        <f t="shared" si="40"/>
        <v>210.75036840000001</v>
      </c>
      <c r="M672" s="303"/>
      <c r="N672" s="216"/>
      <c r="O672" s="216"/>
      <c r="P672" s="26"/>
    </row>
    <row r="673" spans="1:16" x14ac:dyDescent="0.25">
      <c r="A673" s="526"/>
      <c r="B673" s="523"/>
      <c r="C673" s="31" t="s">
        <v>90</v>
      </c>
      <c r="D673" s="215">
        <v>1</v>
      </c>
      <c r="E673" s="211" t="s">
        <v>43</v>
      </c>
      <c r="F673" s="216"/>
      <c r="G673" s="211">
        <v>3.0000000000000001E-3</v>
      </c>
      <c r="H673" s="211">
        <v>2</v>
      </c>
      <c r="I673" s="300">
        <f t="shared" si="41"/>
        <v>1.1583000000000001</v>
      </c>
      <c r="J673" s="230">
        <v>6</v>
      </c>
      <c r="K673" s="388">
        <v>454.87</v>
      </c>
      <c r="L673" s="302">
        <f t="shared" si="40"/>
        <v>1053.7518420000001</v>
      </c>
      <c r="M673" s="303"/>
      <c r="N673" s="216"/>
      <c r="O673" s="216"/>
      <c r="P673" s="26"/>
    </row>
    <row r="674" spans="1:16" x14ac:dyDescent="0.25">
      <c r="A674" s="526"/>
      <c r="B674" s="523"/>
      <c r="C674" s="31" t="s">
        <v>90</v>
      </c>
      <c r="D674" s="215">
        <v>1</v>
      </c>
      <c r="E674" s="211" t="s">
        <v>44</v>
      </c>
      <c r="F674" s="216"/>
      <c r="G674" s="211">
        <v>2.9999999999999997E-4</v>
      </c>
      <c r="H674" s="211">
        <v>4</v>
      </c>
      <c r="I674" s="300">
        <f t="shared" si="41"/>
        <v>0.11583</v>
      </c>
      <c r="J674" s="230">
        <v>6</v>
      </c>
      <c r="K674" s="388">
        <v>454.87</v>
      </c>
      <c r="L674" s="302">
        <f t="shared" si="40"/>
        <v>210.75036840000001</v>
      </c>
      <c r="M674" s="303"/>
      <c r="N674" s="216"/>
      <c r="O674" s="216"/>
      <c r="P674" s="26"/>
    </row>
    <row r="675" spans="1:16" x14ac:dyDescent="0.25">
      <c r="A675" s="526"/>
      <c r="B675" s="523"/>
      <c r="C675" s="31" t="s">
        <v>271</v>
      </c>
      <c r="D675" s="215">
        <v>1</v>
      </c>
      <c r="E675" s="211" t="s">
        <v>43</v>
      </c>
      <c r="F675" s="216"/>
      <c r="G675" s="211">
        <v>3.0000000000000001E-3</v>
      </c>
      <c r="H675" s="211">
        <v>2</v>
      </c>
      <c r="I675" s="300">
        <f t="shared" si="41"/>
        <v>1.1583000000000001</v>
      </c>
      <c r="J675" s="230">
        <v>6</v>
      </c>
      <c r="K675" s="388">
        <v>454.87</v>
      </c>
      <c r="L675" s="302">
        <f t="shared" si="40"/>
        <v>1053.7518420000001</v>
      </c>
      <c r="M675" s="303"/>
      <c r="N675" s="216"/>
      <c r="O675" s="216"/>
      <c r="P675" s="26"/>
    </row>
    <row r="676" spans="1:16" x14ac:dyDescent="0.25">
      <c r="A676" s="526"/>
      <c r="B676" s="523"/>
      <c r="C676" s="31" t="s">
        <v>271</v>
      </c>
      <c r="D676" s="215">
        <v>1</v>
      </c>
      <c r="E676" s="211" t="s">
        <v>44</v>
      </c>
      <c r="F676" s="216"/>
      <c r="G676" s="211">
        <v>2.9999999999999997E-4</v>
      </c>
      <c r="H676" s="211">
        <v>4</v>
      </c>
      <c r="I676" s="300">
        <f t="shared" si="41"/>
        <v>0.11583</v>
      </c>
      <c r="J676" s="230">
        <v>6</v>
      </c>
      <c r="K676" s="388">
        <v>454.87</v>
      </c>
      <c r="L676" s="302">
        <f t="shared" si="40"/>
        <v>210.75036840000001</v>
      </c>
      <c r="M676" s="303"/>
      <c r="N676" s="216"/>
      <c r="O676" s="216"/>
      <c r="P676" s="26"/>
    </row>
    <row r="677" spans="1:16" x14ac:dyDescent="0.25">
      <c r="A677" s="526"/>
      <c r="B677" s="523"/>
      <c r="C677" s="31" t="s">
        <v>272</v>
      </c>
      <c r="D677" s="215">
        <v>1</v>
      </c>
      <c r="E677" s="211" t="s">
        <v>43</v>
      </c>
      <c r="F677" s="216"/>
      <c r="G677" s="211">
        <v>3.0000000000000001E-3</v>
      </c>
      <c r="H677" s="211">
        <v>2</v>
      </c>
      <c r="I677" s="300">
        <f t="shared" si="41"/>
        <v>1.1583000000000001</v>
      </c>
      <c r="J677" s="230">
        <v>6</v>
      </c>
      <c r="K677" s="388">
        <v>454.87</v>
      </c>
      <c r="L677" s="302">
        <f t="shared" si="40"/>
        <v>1053.7518420000001</v>
      </c>
      <c r="M677" s="303"/>
      <c r="N677" s="216"/>
      <c r="O677" s="216"/>
      <c r="P677" s="26"/>
    </row>
    <row r="678" spans="1:16" x14ac:dyDescent="0.25">
      <c r="A678" s="526"/>
      <c r="B678" s="523"/>
      <c r="C678" s="31" t="s">
        <v>272</v>
      </c>
      <c r="D678" s="215">
        <v>1</v>
      </c>
      <c r="E678" s="211" t="s">
        <v>44</v>
      </c>
      <c r="F678" s="216"/>
      <c r="G678" s="211">
        <v>2.9999999999999997E-4</v>
      </c>
      <c r="H678" s="211">
        <v>4</v>
      </c>
      <c r="I678" s="300">
        <f t="shared" si="41"/>
        <v>0.11583</v>
      </c>
      <c r="J678" s="230">
        <v>6</v>
      </c>
      <c r="K678" s="388">
        <v>454.87</v>
      </c>
      <c r="L678" s="302">
        <f t="shared" si="40"/>
        <v>210.75036840000001</v>
      </c>
      <c r="M678" s="303"/>
      <c r="N678" s="216"/>
      <c r="O678" s="216"/>
      <c r="P678" s="26"/>
    </row>
    <row r="679" spans="1:16" x14ac:dyDescent="0.25">
      <c r="A679" s="526"/>
      <c r="B679" s="523"/>
      <c r="C679" s="31" t="s">
        <v>85</v>
      </c>
      <c r="D679" s="215">
        <v>2</v>
      </c>
      <c r="E679" s="211" t="s">
        <v>43</v>
      </c>
      <c r="F679" s="216"/>
      <c r="G679" s="211">
        <v>3.0000000000000001E-3</v>
      </c>
      <c r="H679" s="211">
        <v>2</v>
      </c>
      <c r="I679" s="300">
        <f t="shared" si="41"/>
        <v>2.3166000000000002</v>
      </c>
      <c r="J679" s="230">
        <v>6</v>
      </c>
      <c r="K679" s="388">
        <v>454.87</v>
      </c>
      <c r="L679" s="302">
        <f t="shared" si="40"/>
        <v>2107.5036840000002</v>
      </c>
      <c r="M679" s="303"/>
      <c r="N679" s="216"/>
      <c r="O679" s="216"/>
      <c r="P679" s="26"/>
    </row>
    <row r="680" spans="1:16" x14ac:dyDescent="0.25">
      <c r="A680" s="526"/>
      <c r="B680" s="523"/>
      <c r="C680" s="31" t="s">
        <v>85</v>
      </c>
      <c r="D680" s="215">
        <v>2</v>
      </c>
      <c r="E680" s="211" t="s">
        <v>44</v>
      </c>
      <c r="F680" s="216"/>
      <c r="G680" s="211">
        <v>2.9999999999999997E-4</v>
      </c>
      <c r="H680" s="211">
        <v>4</v>
      </c>
      <c r="I680" s="300">
        <f t="shared" si="41"/>
        <v>0.23166</v>
      </c>
      <c r="J680" s="230">
        <v>6</v>
      </c>
      <c r="K680" s="388">
        <v>454.87</v>
      </c>
      <c r="L680" s="302">
        <f t="shared" si="40"/>
        <v>421.50073680000003</v>
      </c>
      <c r="M680" s="303"/>
      <c r="N680" s="216"/>
      <c r="O680" s="216"/>
      <c r="P680" s="26"/>
    </row>
    <row r="681" spans="1:16" x14ac:dyDescent="0.25">
      <c r="A681" s="526"/>
      <c r="B681" s="523"/>
      <c r="C681" s="31" t="s">
        <v>91</v>
      </c>
      <c r="D681" s="215">
        <v>5</v>
      </c>
      <c r="E681" s="211" t="s">
        <v>43</v>
      </c>
      <c r="F681" s="216"/>
      <c r="G681" s="211">
        <v>3.0000000000000001E-3</v>
      </c>
      <c r="H681" s="211">
        <v>2</v>
      </c>
      <c r="I681" s="300">
        <f t="shared" si="41"/>
        <v>5.7915000000000001</v>
      </c>
      <c r="J681" s="230">
        <v>6</v>
      </c>
      <c r="K681" s="388">
        <v>454.87</v>
      </c>
      <c r="L681" s="302">
        <f t="shared" si="40"/>
        <v>5268.7592100000002</v>
      </c>
      <c r="M681" s="303"/>
      <c r="N681" s="216"/>
      <c r="O681" s="216"/>
      <c r="P681" s="26"/>
    </row>
    <row r="682" spans="1:16" x14ac:dyDescent="0.25">
      <c r="A682" s="526"/>
      <c r="B682" s="523"/>
      <c r="C682" s="31" t="s">
        <v>91</v>
      </c>
      <c r="D682" s="215">
        <v>5</v>
      </c>
      <c r="E682" s="211" t="s">
        <v>44</v>
      </c>
      <c r="F682" s="216"/>
      <c r="G682" s="211">
        <v>2.9999999999999997E-4</v>
      </c>
      <c r="H682" s="211">
        <v>4</v>
      </c>
      <c r="I682" s="300">
        <f t="shared" si="41"/>
        <v>0.57915000000000005</v>
      </c>
      <c r="J682" s="230">
        <v>6</v>
      </c>
      <c r="K682" s="388">
        <v>454.87</v>
      </c>
      <c r="L682" s="302">
        <f t="shared" si="40"/>
        <v>1053.7518420000001</v>
      </c>
      <c r="M682" s="303"/>
      <c r="N682" s="216"/>
      <c r="O682" s="216"/>
      <c r="P682" s="26"/>
    </row>
    <row r="683" spans="1:16" x14ac:dyDescent="0.25">
      <c r="A683" s="526"/>
      <c r="B683" s="523"/>
      <c r="C683" s="31" t="s">
        <v>92</v>
      </c>
      <c r="D683" s="215">
        <v>2</v>
      </c>
      <c r="E683" s="211" t="s">
        <v>43</v>
      </c>
      <c r="F683" s="216"/>
      <c r="G683" s="211">
        <v>1E-3</v>
      </c>
      <c r="H683" s="211">
        <v>2</v>
      </c>
      <c r="I683" s="300">
        <f t="shared" si="41"/>
        <v>0.77220000000000011</v>
      </c>
      <c r="J683" s="230">
        <v>6</v>
      </c>
      <c r="K683" s="388">
        <v>454.87</v>
      </c>
      <c r="L683" s="302">
        <f t="shared" si="40"/>
        <v>702.50122800000008</v>
      </c>
      <c r="M683" s="303"/>
      <c r="N683" s="216"/>
      <c r="O683" s="216"/>
      <c r="P683" s="26"/>
    </row>
    <row r="684" spans="1:16" x14ac:dyDescent="0.25">
      <c r="A684" s="526"/>
      <c r="B684" s="523"/>
      <c r="C684" s="31" t="s">
        <v>92</v>
      </c>
      <c r="D684" s="215">
        <v>2</v>
      </c>
      <c r="E684" s="211" t="s">
        <v>44</v>
      </c>
      <c r="F684" s="216"/>
      <c r="G684" s="211">
        <v>1E-4</v>
      </c>
      <c r="H684" s="211">
        <v>4</v>
      </c>
      <c r="I684" s="300">
        <f t="shared" si="41"/>
        <v>7.7220000000000011E-2</v>
      </c>
      <c r="J684" s="230">
        <v>6</v>
      </c>
      <c r="K684" s="388">
        <v>454.87</v>
      </c>
      <c r="L684" s="302">
        <f t="shared" si="40"/>
        <v>140.50024560000003</v>
      </c>
      <c r="M684" s="303"/>
      <c r="N684" s="216"/>
      <c r="O684" s="216"/>
      <c r="P684" s="26"/>
    </row>
    <row r="685" spans="1:16" x14ac:dyDescent="0.25">
      <c r="A685" s="526"/>
      <c r="B685" s="523"/>
      <c r="C685" s="31" t="s">
        <v>93</v>
      </c>
      <c r="D685" s="215">
        <v>1</v>
      </c>
      <c r="E685" s="211" t="s">
        <v>43</v>
      </c>
      <c r="F685" s="216"/>
      <c r="G685" s="211">
        <v>3.0000000000000001E-3</v>
      </c>
      <c r="H685" s="211">
        <v>2</v>
      </c>
      <c r="I685" s="300">
        <f t="shared" si="41"/>
        <v>1.1583000000000001</v>
      </c>
      <c r="J685" s="230">
        <v>6</v>
      </c>
      <c r="K685" s="388">
        <v>454.87</v>
      </c>
      <c r="L685" s="302">
        <f t="shared" si="40"/>
        <v>1053.7518420000001</v>
      </c>
      <c r="M685" s="303"/>
      <c r="N685" s="216"/>
      <c r="O685" s="216"/>
      <c r="P685" s="26"/>
    </row>
    <row r="686" spans="1:16" x14ac:dyDescent="0.25">
      <c r="A686" s="526"/>
      <c r="B686" s="523"/>
      <c r="C686" s="31" t="s">
        <v>93</v>
      </c>
      <c r="D686" s="215">
        <v>1</v>
      </c>
      <c r="E686" s="211" t="s">
        <v>44</v>
      </c>
      <c r="F686" s="216"/>
      <c r="G686" s="211">
        <v>2.9999999999999997E-4</v>
      </c>
      <c r="H686" s="211">
        <v>4</v>
      </c>
      <c r="I686" s="300">
        <f t="shared" si="41"/>
        <v>0.11583</v>
      </c>
      <c r="J686" s="230">
        <v>6</v>
      </c>
      <c r="K686" s="388">
        <v>454.87</v>
      </c>
      <c r="L686" s="302">
        <f t="shared" si="40"/>
        <v>210.75036840000001</v>
      </c>
      <c r="M686" s="303"/>
      <c r="N686" s="216"/>
      <c r="O686" s="216"/>
      <c r="P686" s="26"/>
    </row>
    <row r="687" spans="1:16" ht="31.5" x14ac:dyDescent="0.25">
      <c r="A687" s="526"/>
      <c r="B687" s="523"/>
      <c r="C687" s="532" t="s">
        <v>94</v>
      </c>
      <c r="D687" s="526">
        <v>2</v>
      </c>
      <c r="E687" s="566" t="s">
        <v>43</v>
      </c>
      <c r="F687" s="216"/>
      <c r="G687" s="566">
        <v>5.0000000000000001E-3</v>
      </c>
      <c r="H687" s="566">
        <v>2</v>
      </c>
      <c r="I687" s="563">
        <f>D687*G687*351*1.1</f>
        <v>3.8610000000000007</v>
      </c>
      <c r="J687" s="565">
        <v>6</v>
      </c>
      <c r="K687" s="564">
        <v>454.87</v>
      </c>
      <c r="L687" s="583">
        <f t="shared" si="40"/>
        <v>3512.5061400000004</v>
      </c>
      <c r="M687" s="304" t="s">
        <v>95</v>
      </c>
      <c r="N687" s="211">
        <v>2</v>
      </c>
      <c r="O687" s="211">
        <v>14</v>
      </c>
      <c r="P687" s="211">
        <f>N687*O687</f>
        <v>28</v>
      </c>
    </row>
    <row r="688" spans="1:16" x14ac:dyDescent="0.25">
      <c r="A688" s="526"/>
      <c r="B688" s="523"/>
      <c r="C688" s="532"/>
      <c r="D688" s="526"/>
      <c r="E688" s="566"/>
      <c r="F688" s="216"/>
      <c r="G688" s="566"/>
      <c r="H688" s="566"/>
      <c r="I688" s="563"/>
      <c r="J688" s="565"/>
      <c r="K688" s="564"/>
      <c r="L688" s="585"/>
      <c r="M688" s="304" t="s">
        <v>106</v>
      </c>
      <c r="N688" s="211">
        <f t="shared" ref="N688:N696" si="42">N687</f>
        <v>2</v>
      </c>
      <c r="O688" s="211">
        <v>12</v>
      </c>
      <c r="P688" s="211">
        <f t="shared" ref="P688:P696" si="43">N688*O688</f>
        <v>24</v>
      </c>
    </row>
    <row r="689" spans="1:16" ht="31.5" x14ac:dyDescent="0.25">
      <c r="A689" s="526"/>
      <c r="B689" s="523"/>
      <c r="C689" s="532"/>
      <c r="D689" s="526"/>
      <c r="E689" s="566"/>
      <c r="F689" s="216"/>
      <c r="G689" s="566"/>
      <c r="H689" s="566"/>
      <c r="I689" s="563"/>
      <c r="J689" s="565"/>
      <c r="K689" s="564"/>
      <c r="L689" s="585"/>
      <c r="M689" s="304" t="s">
        <v>97</v>
      </c>
      <c r="N689" s="211">
        <f t="shared" si="42"/>
        <v>2</v>
      </c>
      <c r="O689" s="211">
        <v>148</v>
      </c>
      <c r="P689" s="211">
        <f t="shared" si="43"/>
        <v>296</v>
      </c>
    </row>
    <row r="690" spans="1:16" x14ac:dyDescent="0.25">
      <c r="A690" s="526"/>
      <c r="B690" s="523"/>
      <c r="C690" s="532"/>
      <c r="D690" s="526"/>
      <c r="E690" s="566"/>
      <c r="F690" s="216"/>
      <c r="G690" s="566"/>
      <c r="H690" s="566"/>
      <c r="I690" s="563"/>
      <c r="J690" s="565"/>
      <c r="K690" s="564"/>
      <c r="L690" s="585"/>
      <c r="M690" s="304" t="s">
        <v>98</v>
      </c>
      <c r="N690" s="211">
        <f t="shared" si="42"/>
        <v>2</v>
      </c>
      <c r="O690" s="211">
        <v>14</v>
      </c>
      <c r="P690" s="211">
        <f t="shared" si="43"/>
        <v>28</v>
      </c>
    </row>
    <row r="691" spans="1:16" x14ac:dyDescent="0.25">
      <c r="A691" s="526"/>
      <c r="B691" s="523"/>
      <c r="C691" s="532"/>
      <c r="D691" s="526"/>
      <c r="E691" s="566"/>
      <c r="F691" s="216"/>
      <c r="G691" s="566"/>
      <c r="H691" s="566"/>
      <c r="I691" s="563"/>
      <c r="J691" s="565"/>
      <c r="K691" s="564"/>
      <c r="L691" s="585"/>
      <c r="M691" s="304" t="s">
        <v>99</v>
      </c>
      <c r="N691" s="211">
        <f t="shared" si="42"/>
        <v>2</v>
      </c>
      <c r="O691" s="211">
        <v>400</v>
      </c>
      <c r="P691" s="211">
        <f t="shared" si="43"/>
        <v>800</v>
      </c>
    </row>
    <row r="692" spans="1:16" x14ac:dyDescent="0.25">
      <c r="A692" s="526"/>
      <c r="B692" s="523"/>
      <c r="C692" s="532"/>
      <c r="D692" s="526"/>
      <c r="E692" s="566"/>
      <c r="F692" s="216"/>
      <c r="G692" s="566"/>
      <c r="H692" s="566"/>
      <c r="I692" s="563"/>
      <c r="J692" s="565"/>
      <c r="K692" s="564"/>
      <c r="L692" s="585"/>
      <c r="M692" s="304" t="s">
        <v>100</v>
      </c>
      <c r="N692" s="211">
        <f t="shared" si="42"/>
        <v>2</v>
      </c>
      <c r="O692" s="211">
        <v>1670</v>
      </c>
      <c r="P692" s="211">
        <f t="shared" si="43"/>
        <v>3340</v>
      </c>
    </row>
    <row r="693" spans="1:16" x14ac:dyDescent="0.25">
      <c r="A693" s="526"/>
      <c r="B693" s="523"/>
      <c r="C693" s="532"/>
      <c r="D693" s="526"/>
      <c r="E693" s="566"/>
      <c r="F693" s="216"/>
      <c r="G693" s="566"/>
      <c r="H693" s="566"/>
      <c r="I693" s="563"/>
      <c r="J693" s="565"/>
      <c r="K693" s="564"/>
      <c r="L693" s="585"/>
      <c r="M693" s="304" t="s">
        <v>101</v>
      </c>
      <c r="N693" s="211">
        <f t="shared" si="42"/>
        <v>2</v>
      </c>
      <c r="O693" s="211">
        <v>167</v>
      </c>
      <c r="P693" s="211">
        <f t="shared" si="43"/>
        <v>334</v>
      </c>
    </row>
    <row r="694" spans="1:16" x14ac:dyDescent="0.25">
      <c r="A694" s="526"/>
      <c r="B694" s="523"/>
      <c r="C694" s="532"/>
      <c r="D694" s="526"/>
      <c r="E694" s="566"/>
      <c r="F694" s="216"/>
      <c r="G694" s="566"/>
      <c r="H694" s="566"/>
      <c r="I694" s="563"/>
      <c r="J694" s="565"/>
      <c r="K694" s="564"/>
      <c r="L694" s="585"/>
      <c r="M694" s="304" t="s">
        <v>102</v>
      </c>
      <c r="N694" s="211">
        <f t="shared" si="42"/>
        <v>2</v>
      </c>
      <c r="O694" s="211">
        <v>72</v>
      </c>
      <c r="P694" s="211">
        <f t="shared" si="43"/>
        <v>144</v>
      </c>
    </row>
    <row r="695" spans="1:16" x14ac:dyDescent="0.25">
      <c r="A695" s="526"/>
      <c r="B695" s="523"/>
      <c r="C695" s="532"/>
      <c r="D695" s="526"/>
      <c r="E695" s="566"/>
      <c r="F695" s="216"/>
      <c r="G695" s="566"/>
      <c r="H695" s="566"/>
      <c r="I695" s="563"/>
      <c r="J695" s="565"/>
      <c r="K695" s="564"/>
      <c r="L695" s="585"/>
      <c r="M695" s="304" t="s">
        <v>103</v>
      </c>
      <c r="N695" s="211">
        <f t="shared" si="42"/>
        <v>2</v>
      </c>
      <c r="O695" s="211">
        <v>5.3</v>
      </c>
      <c r="P695" s="211">
        <f t="shared" si="43"/>
        <v>10.6</v>
      </c>
    </row>
    <row r="696" spans="1:16" x14ac:dyDescent="0.25">
      <c r="A696" s="526"/>
      <c r="B696" s="523"/>
      <c r="C696" s="532"/>
      <c r="D696" s="526"/>
      <c r="E696" s="566"/>
      <c r="F696" s="216"/>
      <c r="G696" s="566"/>
      <c r="H696" s="566"/>
      <c r="I696" s="563"/>
      <c r="J696" s="565"/>
      <c r="K696" s="564"/>
      <c r="L696" s="584"/>
      <c r="M696" s="304" t="s">
        <v>104</v>
      </c>
      <c r="N696" s="211">
        <f t="shared" si="42"/>
        <v>2</v>
      </c>
      <c r="O696" s="211">
        <v>190</v>
      </c>
      <c r="P696" s="211">
        <f t="shared" si="43"/>
        <v>380</v>
      </c>
    </row>
    <row r="697" spans="1:16" x14ac:dyDescent="0.25">
      <c r="A697" s="526"/>
      <c r="B697" s="523"/>
      <c r="C697" s="31" t="s">
        <v>94</v>
      </c>
      <c r="D697" s="215">
        <v>2</v>
      </c>
      <c r="E697" s="211" t="s">
        <v>44</v>
      </c>
      <c r="F697" s="216"/>
      <c r="G697" s="211">
        <v>5.0000000000000001E-4</v>
      </c>
      <c r="H697" s="211">
        <v>4</v>
      </c>
      <c r="I697" s="300">
        <f t="shared" si="41"/>
        <v>0.38610000000000005</v>
      </c>
      <c r="J697" s="230">
        <v>6</v>
      </c>
      <c r="K697" s="388">
        <v>454.87</v>
      </c>
      <c r="L697" s="302">
        <f t="shared" si="40"/>
        <v>702.50122800000008</v>
      </c>
      <c r="M697" s="303"/>
      <c r="N697" s="216"/>
      <c r="O697" s="216"/>
      <c r="P697" s="26"/>
    </row>
    <row r="698" spans="1:16" ht="31.5" x14ac:dyDescent="0.25">
      <c r="A698" s="526"/>
      <c r="B698" s="523"/>
      <c r="C698" s="31" t="s">
        <v>59</v>
      </c>
      <c r="D698" s="215">
        <v>3</v>
      </c>
      <c r="E698" s="211" t="s">
        <v>43</v>
      </c>
      <c r="F698" s="216"/>
      <c r="G698" s="211">
        <v>1E-3</v>
      </c>
      <c r="H698" s="211">
        <v>2</v>
      </c>
      <c r="I698" s="300">
        <f t="shared" si="41"/>
        <v>1.1583000000000001</v>
      </c>
      <c r="J698" s="230">
        <v>6</v>
      </c>
      <c r="K698" s="388">
        <v>454.87</v>
      </c>
      <c r="L698" s="302">
        <f t="shared" si="40"/>
        <v>1053.7518420000001</v>
      </c>
      <c r="M698" s="303"/>
      <c r="N698" s="216"/>
      <c r="O698" s="216"/>
      <c r="P698" s="26"/>
    </row>
    <row r="699" spans="1:16" ht="31.5" x14ac:dyDescent="0.25">
      <c r="A699" s="526"/>
      <c r="B699" s="523"/>
      <c r="C699" s="31" t="s">
        <v>59</v>
      </c>
      <c r="D699" s="215">
        <v>3</v>
      </c>
      <c r="E699" s="211" t="s">
        <v>44</v>
      </c>
      <c r="F699" s="216"/>
      <c r="G699" s="211">
        <v>1E-4</v>
      </c>
      <c r="H699" s="211">
        <v>4</v>
      </c>
      <c r="I699" s="300">
        <f t="shared" si="41"/>
        <v>0.11583000000000002</v>
      </c>
      <c r="J699" s="230">
        <v>6</v>
      </c>
      <c r="K699" s="388">
        <v>454.87</v>
      </c>
      <c r="L699" s="302">
        <f t="shared" si="40"/>
        <v>210.75036840000004</v>
      </c>
      <c r="M699" s="303"/>
      <c r="N699" s="216"/>
      <c r="O699" s="216"/>
      <c r="P699" s="26"/>
    </row>
    <row r="700" spans="1:16" ht="31.5" x14ac:dyDescent="0.25">
      <c r="A700" s="526"/>
      <c r="B700" s="523"/>
      <c r="C700" s="31" t="s">
        <v>108</v>
      </c>
      <c r="D700" s="215">
        <v>8</v>
      </c>
      <c r="E700" s="211" t="s">
        <v>43</v>
      </c>
      <c r="F700" s="216"/>
      <c r="G700" s="211">
        <v>1E-3</v>
      </c>
      <c r="H700" s="211">
        <v>2</v>
      </c>
      <c r="I700" s="300">
        <f t="shared" si="41"/>
        <v>3.0888000000000004</v>
      </c>
      <c r="J700" s="230">
        <v>6</v>
      </c>
      <c r="K700" s="388">
        <v>454.87</v>
      </c>
      <c r="L700" s="302">
        <f t="shared" si="40"/>
        <v>2810.0049120000003</v>
      </c>
      <c r="M700" s="303"/>
      <c r="N700" s="216"/>
      <c r="O700" s="216"/>
      <c r="P700" s="26"/>
    </row>
    <row r="701" spans="1:16" ht="31.5" x14ac:dyDescent="0.25">
      <c r="A701" s="526"/>
      <c r="B701" s="523"/>
      <c r="C701" s="31" t="s">
        <v>108</v>
      </c>
      <c r="D701" s="215">
        <v>8</v>
      </c>
      <c r="E701" s="211" t="s">
        <v>44</v>
      </c>
      <c r="F701" s="216"/>
      <c r="G701" s="211">
        <v>1E-4</v>
      </c>
      <c r="H701" s="211">
        <v>4</v>
      </c>
      <c r="I701" s="300">
        <f t="shared" si="41"/>
        <v>0.30888000000000004</v>
      </c>
      <c r="J701" s="230">
        <v>6</v>
      </c>
      <c r="K701" s="388">
        <v>454.87</v>
      </c>
      <c r="L701" s="302">
        <f t="shared" si="40"/>
        <v>562.00098240000011</v>
      </c>
      <c r="M701" s="303"/>
      <c r="N701" s="216"/>
      <c r="O701" s="216"/>
      <c r="P701" s="26"/>
    </row>
    <row r="702" spans="1:16" x14ac:dyDescent="0.25">
      <c r="A702" s="526"/>
      <c r="B702" s="523"/>
      <c r="C702" s="31" t="s">
        <v>201</v>
      </c>
      <c r="D702" s="215">
        <v>1</v>
      </c>
      <c r="E702" s="211" t="s">
        <v>43</v>
      </c>
      <c r="F702" s="216"/>
      <c r="G702" s="211">
        <v>1E-3</v>
      </c>
      <c r="H702" s="211">
        <v>2</v>
      </c>
      <c r="I702" s="300">
        <f t="shared" si="41"/>
        <v>0.38610000000000005</v>
      </c>
      <c r="J702" s="230">
        <v>6</v>
      </c>
      <c r="K702" s="388">
        <v>454.87</v>
      </c>
      <c r="L702" s="302">
        <f t="shared" si="40"/>
        <v>351.25061400000004</v>
      </c>
      <c r="M702" s="303"/>
      <c r="N702" s="216"/>
      <c r="O702" s="216"/>
      <c r="P702" s="26"/>
    </row>
    <row r="703" spans="1:16" x14ac:dyDescent="0.25">
      <c r="A703" s="526"/>
      <c r="B703" s="523"/>
      <c r="C703" s="31" t="s">
        <v>201</v>
      </c>
      <c r="D703" s="215">
        <v>1</v>
      </c>
      <c r="E703" s="211" t="s">
        <v>44</v>
      </c>
      <c r="F703" s="216"/>
      <c r="G703" s="211">
        <v>1E-4</v>
      </c>
      <c r="H703" s="211">
        <v>4</v>
      </c>
      <c r="I703" s="300">
        <f t="shared" si="41"/>
        <v>3.8610000000000005E-2</v>
      </c>
      <c r="J703" s="230">
        <v>6</v>
      </c>
      <c r="K703" s="388">
        <v>454.87</v>
      </c>
      <c r="L703" s="302">
        <f t="shared" si="40"/>
        <v>70.250122800000014</v>
      </c>
      <c r="M703" s="303"/>
      <c r="N703" s="216"/>
      <c r="O703" s="216"/>
      <c r="P703" s="26"/>
    </row>
    <row r="704" spans="1:16" x14ac:dyDescent="0.25">
      <c r="A704" s="526"/>
      <c r="B704" s="523"/>
      <c r="C704" s="31" t="s">
        <v>273</v>
      </c>
      <c r="D704" s="32">
        <v>0.7</v>
      </c>
      <c r="E704" s="211" t="s">
        <v>43</v>
      </c>
      <c r="F704" s="216"/>
      <c r="G704" s="211">
        <v>2.4E-2</v>
      </c>
      <c r="H704" s="211">
        <v>2</v>
      </c>
      <c r="I704" s="300">
        <f t="shared" si="41"/>
        <v>6.4864800000000002</v>
      </c>
      <c r="J704" s="230">
        <v>6</v>
      </c>
      <c r="K704" s="388">
        <v>454.87</v>
      </c>
      <c r="L704" s="302">
        <f t="shared" si="40"/>
        <v>5901.0103152000002</v>
      </c>
      <c r="M704" s="303"/>
      <c r="N704" s="216"/>
      <c r="O704" s="216"/>
      <c r="P704" s="26"/>
    </row>
    <row r="705" spans="1:16" x14ac:dyDescent="0.25">
      <c r="A705" s="526"/>
      <c r="B705" s="523"/>
      <c r="C705" s="31" t="s">
        <v>273</v>
      </c>
      <c r="D705" s="32">
        <v>0.7</v>
      </c>
      <c r="E705" s="211" t="s">
        <v>44</v>
      </c>
      <c r="F705" s="216"/>
      <c r="G705" s="211">
        <v>2.3999999999999998E-3</v>
      </c>
      <c r="H705" s="211">
        <v>4</v>
      </c>
      <c r="I705" s="300">
        <f t="shared" si="41"/>
        <v>0.648648</v>
      </c>
      <c r="J705" s="230">
        <v>6</v>
      </c>
      <c r="K705" s="388">
        <v>454.87</v>
      </c>
      <c r="L705" s="302">
        <f t="shared" si="40"/>
        <v>1180.20206304</v>
      </c>
      <c r="M705" s="303"/>
      <c r="N705" s="216"/>
      <c r="O705" s="216"/>
      <c r="P705" s="26"/>
    </row>
    <row r="706" spans="1:16" x14ac:dyDescent="0.25">
      <c r="A706" s="526"/>
      <c r="B706" s="523"/>
      <c r="C706" s="31" t="s">
        <v>274</v>
      </c>
      <c r="D706" s="305">
        <v>0.12</v>
      </c>
      <c r="E706" s="211" t="s">
        <v>43</v>
      </c>
      <c r="F706" s="216"/>
      <c r="G706" s="211">
        <v>2.4E-2</v>
      </c>
      <c r="H706" s="211">
        <v>2</v>
      </c>
      <c r="I706" s="300">
        <f t="shared" si="41"/>
        <v>1.1119680000000001</v>
      </c>
      <c r="J706" s="230">
        <v>6</v>
      </c>
      <c r="K706" s="388">
        <v>454.87</v>
      </c>
      <c r="L706" s="302">
        <f t="shared" si="40"/>
        <v>1011.60176832</v>
      </c>
      <c r="M706" s="303"/>
      <c r="N706" s="216"/>
      <c r="O706" s="216"/>
      <c r="P706" s="26"/>
    </row>
    <row r="707" spans="1:16" x14ac:dyDescent="0.25">
      <c r="A707" s="526"/>
      <c r="B707" s="523"/>
      <c r="C707" s="31" t="s">
        <v>274</v>
      </c>
      <c r="D707" s="305">
        <v>0.12</v>
      </c>
      <c r="E707" s="211" t="s">
        <v>44</v>
      </c>
      <c r="F707" s="216"/>
      <c r="G707" s="211">
        <v>2.3999999999999998E-3</v>
      </c>
      <c r="H707" s="211">
        <v>4</v>
      </c>
      <c r="I707" s="300">
        <f t="shared" si="41"/>
        <v>0.11119679999999998</v>
      </c>
      <c r="J707" s="230">
        <v>6</v>
      </c>
      <c r="K707" s="388">
        <v>454.87</v>
      </c>
      <c r="L707" s="302">
        <f t="shared" si="40"/>
        <v>202.32035366399998</v>
      </c>
      <c r="M707" s="303"/>
      <c r="N707" s="216"/>
      <c r="O707" s="216"/>
      <c r="P707" s="26"/>
    </row>
    <row r="708" spans="1:16" x14ac:dyDescent="0.25">
      <c r="A708" s="526"/>
      <c r="B708" s="523"/>
      <c r="C708" s="31" t="s">
        <v>153</v>
      </c>
      <c r="D708" s="305">
        <v>0.44</v>
      </c>
      <c r="E708" s="211" t="s">
        <v>43</v>
      </c>
      <c r="F708" s="216"/>
      <c r="G708" s="211">
        <v>2.4E-2</v>
      </c>
      <c r="H708" s="211">
        <v>2</v>
      </c>
      <c r="I708" s="300">
        <f t="shared" si="41"/>
        <v>4.0772160000000008</v>
      </c>
      <c r="J708" s="230">
        <v>6</v>
      </c>
      <c r="K708" s="388">
        <v>454.87</v>
      </c>
      <c r="L708" s="302">
        <f t="shared" si="40"/>
        <v>3709.2064838400006</v>
      </c>
      <c r="M708" s="303"/>
      <c r="N708" s="216"/>
      <c r="O708" s="216"/>
      <c r="P708" s="26"/>
    </row>
    <row r="709" spans="1:16" x14ac:dyDescent="0.25">
      <c r="A709" s="526"/>
      <c r="B709" s="523"/>
      <c r="C709" s="31" t="s">
        <v>153</v>
      </c>
      <c r="D709" s="305">
        <v>0.44</v>
      </c>
      <c r="E709" s="211" t="s">
        <v>44</v>
      </c>
      <c r="F709" s="216"/>
      <c r="G709" s="211">
        <v>2.3999999999999998E-3</v>
      </c>
      <c r="H709" s="211">
        <v>4</v>
      </c>
      <c r="I709" s="300">
        <f t="shared" si="41"/>
        <v>0.40772159999999996</v>
      </c>
      <c r="J709" s="230">
        <v>6</v>
      </c>
      <c r="K709" s="388">
        <v>454.87</v>
      </c>
      <c r="L709" s="302">
        <f t="shared" si="40"/>
        <v>741.84129676799989</v>
      </c>
      <c r="M709" s="303"/>
      <c r="N709" s="216"/>
      <c r="O709" s="216"/>
      <c r="P709" s="26"/>
    </row>
    <row r="710" spans="1:16" x14ac:dyDescent="0.25">
      <c r="A710" s="526"/>
      <c r="B710" s="523"/>
      <c r="C710" s="31" t="s">
        <v>247</v>
      </c>
      <c r="D710" s="305">
        <v>0.65</v>
      </c>
      <c r="E710" s="211" t="s">
        <v>43</v>
      </c>
      <c r="F710" s="216"/>
      <c r="G710" s="211">
        <v>2.4E-2</v>
      </c>
      <c r="H710" s="211">
        <v>2</v>
      </c>
      <c r="I710" s="300">
        <f t="shared" si="41"/>
        <v>6.0231600000000007</v>
      </c>
      <c r="J710" s="230">
        <v>6</v>
      </c>
      <c r="K710" s="388">
        <v>454.87</v>
      </c>
      <c r="L710" s="302">
        <f t="shared" si="40"/>
        <v>5479.5095784000005</v>
      </c>
      <c r="M710" s="303"/>
      <c r="N710" s="216"/>
      <c r="O710" s="216"/>
      <c r="P710" s="26"/>
    </row>
    <row r="711" spans="1:16" x14ac:dyDescent="0.25">
      <c r="A711" s="526"/>
      <c r="B711" s="523"/>
      <c r="C711" s="31" t="s">
        <v>247</v>
      </c>
      <c r="D711" s="305">
        <v>0.65</v>
      </c>
      <c r="E711" s="211" t="s">
        <v>44</v>
      </c>
      <c r="F711" s="216"/>
      <c r="G711" s="211">
        <v>2.3999999999999998E-3</v>
      </c>
      <c r="H711" s="211">
        <v>4</v>
      </c>
      <c r="I711" s="300">
        <f t="shared" si="41"/>
        <v>0.60231599999999996</v>
      </c>
      <c r="J711" s="230">
        <v>6</v>
      </c>
      <c r="K711" s="388">
        <v>454.87</v>
      </c>
      <c r="L711" s="302">
        <f t="shared" ref="L711:L752" si="44">H711*I711*K711</f>
        <v>1095.90191568</v>
      </c>
      <c r="M711" s="303"/>
      <c r="N711" s="216"/>
      <c r="O711" s="216"/>
      <c r="P711" s="26"/>
    </row>
    <row r="712" spans="1:16" x14ac:dyDescent="0.25">
      <c r="A712" s="526"/>
      <c r="B712" s="523"/>
      <c r="C712" s="31" t="s">
        <v>248</v>
      </c>
      <c r="D712" s="32">
        <v>0.7</v>
      </c>
      <c r="E712" s="211" t="s">
        <v>43</v>
      </c>
      <c r="F712" s="216"/>
      <c r="G712" s="211">
        <v>2.4E-2</v>
      </c>
      <c r="H712" s="211">
        <v>2</v>
      </c>
      <c r="I712" s="300">
        <f t="shared" si="41"/>
        <v>6.4864800000000002</v>
      </c>
      <c r="J712" s="230">
        <v>6</v>
      </c>
      <c r="K712" s="388">
        <v>454.87</v>
      </c>
      <c r="L712" s="302">
        <f t="shared" si="44"/>
        <v>5901.0103152000002</v>
      </c>
      <c r="M712" s="303"/>
      <c r="N712" s="216"/>
      <c r="O712" s="216"/>
      <c r="P712" s="26"/>
    </row>
    <row r="713" spans="1:16" x14ac:dyDescent="0.25">
      <c r="A713" s="526"/>
      <c r="B713" s="523"/>
      <c r="C713" s="31" t="s">
        <v>248</v>
      </c>
      <c r="D713" s="32">
        <v>0.7</v>
      </c>
      <c r="E713" s="211" t="s">
        <v>44</v>
      </c>
      <c r="F713" s="216"/>
      <c r="G713" s="211">
        <v>2.3999999999999998E-3</v>
      </c>
      <c r="H713" s="211">
        <v>4</v>
      </c>
      <c r="I713" s="300">
        <f t="shared" si="41"/>
        <v>0.648648</v>
      </c>
      <c r="J713" s="230">
        <v>6</v>
      </c>
      <c r="K713" s="388">
        <v>454.87</v>
      </c>
      <c r="L713" s="302">
        <f t="shared" si="44"/>
        <v>1180.20206304</v>
      </c>
      <c r="M713" s="303"/>
      <c r="N713" s="216"/>
      <c r="O713" s="216"/>
      <c r="P713" s="26"/>
    </row>
    <row r="714" spans="1:16" x14ac:dyDescent="0.25">
      <c r="A714" s="526"/>
      <c r="B714" s="523"/>
      <c r="C714" s="31" t="s">
        <v>249</v>
      </c>
      <c r="D714" s="305">
        <v>0.37</v>
      </c>
      <c r="E714" s="211" t="s">
        <v>43</v>
      </c>
      <c r="F714" s="216"/>
      <c r="G714" s="211">
        <v>2.4E-2</v>
      </c>
      <c r="H714" s="211">
        <v>2</v>
      </c>
      <c r="I714" s="300">
        <f t="shared" si="41"/>
        <v>3.4285680000000003</v>
      </c>
      <c r="J714" s="230">
        <v>6</v>
      </c>
      <c r="K714" s="388">
        <v>454.87</v>
      </c>
      <c r="L714" s="302">
        <f t="shared" si="44"/>
        <v>3119.1054523200005</v>
      </c>
      <c r="M714" s="303"/>
      <c r="N714" s="216"/>
      <c r="O714" s="216"/>
      <c r="P714" s="26"/>
    </row>
    <row r="715" spans="1:16" x14ac:dyDescent="0.25">
      <c r="A715" s="526"/>
      <c r="B715" s="523"/>
      <c r="C715" s="31" t="s">
        <v>249</v>
      </c>
      <c r="D715" s="305">
        <v>0.37</v>
      </c>
      <c r="E715" s="211" t="s">
        <v>44</v>
      </c>
      <c r="F715" s="216"/>
      <c r="G715" s="211">
        <v>2.3999999999999998E-3</v>
      </c>
      <c r="H715" s="211">
        <v>4</v>
      </c>
      <c r="I715" s="300">
        <f t="shared" si="41"/>
        <v>0.34285679999999996</v>
      </c>
      <c r="J715" s="230">
        <v>6</v>
      </c>
      <c r="K715" s="388">
        <v>454.87</v>
      </c>
      <c r="L715" s="302">
        <f t="shared" si="44"/>
        <v>623.82109046399989</v>
      </c>
      <c r="M715" s="303"/>
      <c r="N715" s="216"/>
      <c r="O715" s="216"/>
      <c r="P715" s="26"/>
    </row>
    <row r="716" spans="1:16" x14ac:dyDescent="0.25">
      <c r="A716" s="526"/>
      <c r="B716" s="523"/>
      <c r="C716" s="31" t="s">
        <v>275</v>
      </c>
      <c r="D716" s="305">
        <v>0.22</v>
      </c>
      <c r="E716" s="211" t="s">
        <v>43</v>
      </c>
      <c r="F716" s="216"/>
      <c r="G716" s="211">
        <v>2.4E-2</v>
      </c>
      <c r="H716" s="211">
        <v>2</v>
      </c>
      <c r="I716" s="300">
        <f t="shared" si="41"/>
        <v>2.0386080000000004</v>
      </c>
      <c r="J716" s="230">
        <v>6</v>
      </c>
      <c r="K716" s="388">
        <v>454.87</v>
      </c>
      <c r="L716" s="302">
        <f t="shared" si="44"/>
        <v>1854.6032419200003</v>
      </c>
      <c r="M716" s="303"/>
      <c r="N716" s="216"/>
      <c r="O716" s="216"/>
      <c r="P716" s="26"/>
    </row>
    <row r="717" spans="1:16" x14ac:dyDescent="0.25">
      <c r="A717" s="526"/>
      <c r="B717" s="523"/>
      <c r="C717" s="31" t="s">
        <v>275</v>
      </c>
      <c r="D717" s="305">
        <v>0.22</v>
      </c>
      <c r="E717" s="211" t="s">
        <v>44</v>
      </c>
      <c r="F717" s="216"/>
      <c r="G717" s="211">
        <v>2.3999999999999998E-3</v>
      </c>
      <c r="H717" s="211">
        <v>4</v>
      </c>
      <c r="I717" s="300">
        <f t="shared" si="41"/>
        <v>0.20386079999999998</v>
      </c>
      <c r="J717" s="230">
        <v>6</v>
      </c>
      <c r="K717" s="388">
        <v>454.87</v>
      </c>
      <c r="L717" s="302">
        <f t="shared" si="44"/>
        <v>370.92064838399995</v>
      </c>
      <c r="M717" s="303"/>
      <c r="N717" s="216"/>
      <c r="O717" s="216"/>
      <c r="P717" s="26"/>
    </row>
    <row r="718" spans="1:16" x14ac:dyDescent="0.25">
      <c r="A718" s="526"/>
      <c r="B718" s="523"/>
      <c r="C718" s="31" t="s">
        <v>276</v>
      </c>
      <c r="D718" s="32">
        <v>0.5</v>
      </c>
      <c r="E718" s="211" t="s">
        <v>43</v>
      </c>
      <c r="F718" s="216"/>
      <c r="G718" s="211">
        <v>2.4E-2</v>
      </c>
      <c r="H718" s="211">
        <v>2</v>
      </c>
      <c r="I718" s="300">
        <f t="shared" si="41"/>
        <v>4.6332000000000004</v>
      </c>
      <c r="J718" s="230">
        <v>6</v>
      </c>
      <c r="K718" s="388">
        <v>454.87</v>
      </c>
      <c r="L718" s="302">
        <f t="shared" si="44"/>
        <v>4215.0073680000005</v>
      </c>
      <c r="M718" s="303"/>
      <c r="N718" s="216"/>
      <c r="O718" s="216"/>
      <c r="P718" s="26"/>
    </row>
    <row r="719" spans="1:16" x14ac:dyDescent="0.25">
      <c r="A719" s="526"/>
      <c r="B719" s="523"/>
      <c r="C719" s="31" t="s">
        <v>276</v>
      </c>
      <c r="D719" s="32">
        <v>0.5</v>
      </c>
      <c r="E719" s="211" t="s">
        <v>44</v>
      </c>
      <c r="F719" s="216"/>
      <c r="G719" s="211">
        <v>2.3999999999999998E-3</v>
      </c>
      <c r="H719" s="211">
        <v>4</v>
      </c>
      <c r="I719" s="300">
        <f t="shared" si="41"/>
        <v>0.46332000000000001</v>
      </c>
      <c r="J719" s="230">
        <v>6</v>
      </c>
      <c r="K719" s="388">
        <v>454.87</v>
      </c>
      <c r="L719" s="302">
        <f t="shared" si="44"/>
        <v>843.00147360000005</v>
      </c>
      <c r="M719" s="303"/>
      <c r="N719" s="216"/>
      <c r="O719" s="216"/>
      <c r="P719" s="26"/>
    </row>
    <row r="720" spans="1:16" x14ac:dyDescent="0.25">
      <c r="A720" s="526"/>
      <c r="B720" s="523"/>
      <c r="C720" s="31" t="s">
        <v>254</v>
      </c>
      <c r="D720" s="32">
        <v>0.3</v>
      </c>
      <c r="E720" s="211" t="s">
        <v>43</v>
      </c>
      <c r="F720" s="216"/>
      <c r="G720" s="211">
        <v>2.4E-2</v>
      </c>
      <c r="H720" s="211">
        <v>2</v>
      </c>
      <c r="I720" s="300">
        <f t="shared" si="41"/>
        <v>2.7799200000000002</v>
      </c>
      <c r="J720" s="230">
        <v>6</v>
      </c>
      <c r="K720" s="388">
        <v>454.87</v>
      </c>
      <c r="L720" s="302">
        <f t="shared" si="44"/>
        <v>2529.0044208000004</v>
      </c>
      <c r="M720" s="303"/>
      <c r="N720" s="216"/>
      <c r="O720" s="216"/>
      <c r="P720" s="26"/>
    </row>
    <row r="721" spans="1:16" x14ac:dyDescent="0.25">
      <c r="A721" s="526"/>
      <c r="B721" s="523"/>
      <c r="C721" s="31" t="s">
        <v>254</v>
      </c>
      <c r="D721" s="32">
        <v>0.3</v>
      </c>
      <c r="E721" s="211" t="s">
        <v>44</v>
      </c>
      <c r="F721" s="216"/>
      <c r="G721" s="211">
        <v>2.3999999999999998E-3</v>
      </c>
      <c r="H721" s="211">
        <v>4</v>
      </c>
      <c r="I721" s="300">
        <f t="shared" si="41"/>
        <v>0.27799200000000002</v>
      </c>
      <c r="J721" s="230">
        <v>6</v>
      </c>
      <c r="K721" s="388">
        <v>454.87</v>
      </c>
      <c r="L721" s="302">
        <f t="shared" si="44"/>
        <v>505.80088416000001</v>
      </c>
      <c r="M721" s="303"/>
      <c r="N721" s="216"/>
      <c r="O721" s="216"/>
      <c r="P721" s="26"/>
    </row>
    <row r="722" spans="1:16" x14ac:dyDescent="0.25">
      <c r="A722" s="526"/>
      <c r="B722" s="523"/>
      <c r="C722" s="31" t="s">
        <v>109</v>
      </c>
      <c r="D722" s="307">
        <v>4</v>
      </c>
      <c r="E722" s="211" t="s">
        <v>43</v>
      </c>
      <c r="F722" s="215"/>
      <c r="G722" s="211">
        <v>1E-3</v>
      </c>
      <c r="H722" s="211">
        <v>2</v>
      </c>
      <c r="I722" s="300">
        <f t="shared" si="41"/>
        <v>1.5444000000000002</v>
      </c>
      <c r="J722" s="230">
        <v>6</v>
      </c>
      <c r="K722" s="388">
        <v>454.87</v>
      </c>
      <c r="L722" s="302">
        <f t="shared" si="44"/>
        <v>1405.0024560000002</v>
      </c>
      <c r="M722" s="215"/>
      <c r="N722" s="215"/>
      <c r="O722" s="29"/>
      <c r="P722" s="309">
        <f t="shared" ref="P722:P855" si="45">N722*O722</f>
        <v>0</v>
      </c>
    </row>
    <row r="723" spans="1:16" x14ac:dyDescent="0.25">
      <c r="A723" s="526"/>
      <c r="B723" s="523"/>
      <c r="C723" s="31" t="s">
        <v>109</v>
      </c>
      <c r="D723" s="307">
        <v>4</v>
      </c>
      <c r="E723" s="211" t="s">
        <v>44</v>
      </c>
      <c r="F723" s="215"/>
      <c r="G723" s="211">
        <v>1E-4</v>
      </c>
      <c r="H723" s="211">
        <v>4</v>
      </c>
      <c r="I723" s="300">
        <f t="shared" si="41"/>
        <v>0.15444000000000002</v>
      </c>
      <c r="J723" s="230">
        <v>6</v>
      </c>
      <c r="K723" s="388">
        <v>454.87</v>
      </c>
      <c r="L723" s="302">
        <f t="shared" si="44"/>
        <v>281.00049120000006</v>
      </c>
      <c r="M723" s="215"/>
      <c r="N723" s="215"/>
      <c r="O723" s="29"/>
      <c r="P723" s="309"/>
    </row>
    <row r="724" spans="1:16" x14ac:dyDescent="0.25">
      <c r="A724" s="526"/>
      <c r="B724" s="523"/>
      <c r="C724" s="31" t="s">
        <v>110</v>
      </c>
      <c r="D724" s="307">
        <v>4</v>
      </c>
      <c r="E724" s="211" t="s">
        <v>43</v>
      </c>
      <c r="F724" s="215"/>
      <c r="G724" s="211">
        <v>1E-3</v>
      </c>
      <c r="H724" s="211">
        <v>2</v>
      </c>
      <c r="I724" s="300">
        <f t="shared" ref="I724:I726" si="46">D724*G724*351*1.1</f>
        <v>1.5444000000000002</v>
      </c>
      <c r="J724" s="230">
        <v>6</v>
      </c>
      <c r="K724" s="388">
        <v>454.87</v>
      </c>
      <c r="L724" s="302">
        <f t="shared" si="44"/>
        <v>1405.0024560000002</v>
      </c>
      <c r="M724" s="215"/>
      <c r="N724" s="215"/>
      <c r="O724" s="29"/>
      <c r="P724" s="309">
        <f t="shared" si="45"/>
        <v>0</v>
      </c>
    </row>
    <row r="725" spans="1:16" x14ac:dyDescent="0.25">
      <c r="A725" s="526"/>
      <c r="B725" s="523"/>
      <c r="C725" s="31" t="s">
        <v>110</v>
      </c>
      <c r="D725" s="307">
        <v>4</v>
      </c>
      <c r="E725" s="211" t="s">
        <v>44</v>
      </c>
      <c r="F725" s="215"/>
      <c r="G725" s="211">
        <v>1E-4</v>
      </c>
      <c r="H725" s="211">
        <v>4</v>
      </c>
      <c r="I725" s="300">
        <f t="shared" si="46"/>
        <v>0.15444000000000002</v>
      </c>
      <c r="J725" s="230">
        <v>6</v>
      </c>
      <c r="K725" s="388">
        <v>454.87</v>
      </c>
      <c r="L725" s="302">
        <f t="shared" si="44"/>
        <v>281.00049120000006</v>
      </c>
      <c r="M725" s="215"/>
      <c r="N725" s="215"/>
      <c r="O725" s="29"/>
      <c r="P725" s="309"/>
    </row>
    <row r="726" spans="1:16" x14ac:dyDescent="0.25">
      <c r="A726" s="526"/>
      <c r="B726" s="523"/>
      <c r="C726" s="31" t="s">
        <v>111</v>
      </c>
      <c r="D726" s="307">
        <v>4</v>
      </c>
      <c r="E726" s="211" t="s">
        <v>43</v>
      </c>
      <c r="F726" s="215"/>
      <c r="G726" s="211">
        <v>1E-3</v>
      </c>
      <c r="H726" s="211">
        <v>2</v>
      </c>
      <c r="I726" s="300">
        <f t="shared" si="46"/>
        <v>1.5444000000000002</v>
      </c>
      <c r="J726" s="230">
        <v>6</v>
      </c>
      <c r="K726" s="388">
        <v>454.87</v>
      </c>
      <c r="L726" s="302">
        <f t="shared" si="44"/>
        <v>1405.0024560000002</v>
      </c>
      <c r="M726" s="215"/>
      <c r="N726" s="215"/>
      <c r="O726" s="29"/>
      <c r="P726" s="309">
        <f t="shared" si="45"/>
        <v>0</v>
      </c>
    </row>
    <row r="727" spans="1:16" x14ac:dyDescent="0.25">
      <c r="A727" s="526"/>
      <c r="B727" s="523"/>
      <c r="C727" s="31" t="s">
        <v>111</v>
      </c>
      <c r="D727" s="307">
        <v>4</v>
      </c>
      <c r="E727" s="211" t="s">
        <v>44</v>
      </c>
      <c r="F727" s="215"/>
      <c r="G727" s="211">
        <v>1E-4</v>
      </c>
      <c r="H727" s="211">
        <v>4</v>
      </c>
      <c r="I727" s="300">
        <f>D727*G727*351*1.1</f>
        <v>0.15444000000000002</v>
      </c>
      <c r="J727" s="230">
        <v>6</v>
      </c>
      <c r="K727" s="388">
        <v>454.87</v>
      </c>
      <c r="L727" s="302">
        <f t="shared" si="44"/>
        <v>281.00049120000006</v>
      </c>
      <c r="M727" s="215"/>
      <c r="N727" s="215"/>
      <c r="O727" s="29"/>
      <c r="P727" s="309">
        <f t="shared" si="45"/>
        <v>0</v>
      </c>
    </row>
    <row r="728" spans="1:16" ht="13.9" customHeight="1" x14ac:dyDescent="0.25">
      <c r="A728" s="526">
        <v>7</v>
      </c>
      <c r="B728" s="533" t="s">
        <v>1032</v>
      </c>
      <c r="C728" s="569" t="s">
        <v>743</v>
      </c>
      <c r="D728" s="211">
        <v>3</v>
      </c>
      <c r="E728" s="215" t="s">
        <v>43</v>
      </c>
      <c r="F728" s="215"/>
      <c r="G728" s="215">
        <v>8.9999999999999993E-3</v>
      </c>
      <c r="H728" s="215">
        <v>2</v>
      </c>
      <c r="I728" s="300">
        <f t="shared" ref="I728:I767" si="47">D728*G728*351*1.1</f>
        <v>10.4247</v>
      </c>
      <c r="J728" s="230">
        <v>6</v>
      </c>
      <c r="K728" s="388">
        <v>454.87</v>
      </c>
      <c r="L728" s="302">
        <f t="shared" si="44"/>
        <v>9483.7665780000007</v>
      </c>
      <c r="M728" s="215"/>
      <c r="N728" s="215"/>
      <c r="O728" s="29"/>
      <c r="P728" s="309"/>
    </row>
    <row r="729" spans="1:16" ht="13.9" customHeight="1" x14ac:dyDescent="0.25">
      <c r="A729" s="526"/>
      <c r="B729" s="533"/>
      <c r="C729" s="569"/>
      <c r="D729" s="211">
        <v>3</v>
      </c>
      <c r="E729" s="215" t="s">
        <v>44</v>
      </c>
      <c r="F729" s="215"/>
      <c r="G729" s="215">
        <v>8.9999999999999998E-4</v>
      </c>
      <c r="H729" s="215">
        <v>4</v>
      </c>
      <c r="I729" s="300">
        <f t="shared" si="47"/>
        <v>1.0424700000000002</v>
      </c>
      <c r="J729" s="230">
        <v>6</v>
      </c>
      <c r="K729" s="388">
        <v>454.87</v>
      </c>
      <c r="L729" s="302">
        <f t="shared" si="44"/>
        <v>1896.7533156000004</v>
      </c>
      <c r="M729" s="215"/>
      <c r="N729" s="215"/>
      <c r="O729" s="29"/>
      <c r="P729" s="309"/>
    </row>
    <row r="730" spans="1:16" x14ac:dyDescent="0.25">
      <c r="A730" s="526"/>
      <c r="B730" s="533"/>
      <c r="C730" s="304" t="s">
        <v>744</v>
      </c>
      <c r="D730" s="211">
        <v>3</v>
      </c>
      <c r="E730" s="215" t="s">
        <v>43</v>
      </c>
      <c r="F730" s="215"/>
      <c r="G730" s="215">
        <v>4.0000000000000001E-3</v>
      </c>
      <c r="H730" s="215">
        <v>2</v>
      </c>
      <c r="I730" s="300">
        <f t="shared" si="47"/>
        <v>4.6332000000000004</v>
      </c>
      <c r="J730" s="230">
        <v>6</v>
      </c>
      <c r="K730" s="388">
        <v>454.87</v>
      </c>
      <c r="L730" s="302">
        <f t="shared" si="44"/>
        <v>4215.0073680000005</v>
      </c>
      <c r="M730" s="215"/>
      <c r="N730" s="215"/>
      <c r="O730" s="29"/>
      <c r="P730" s="309"/>
    </row>
    <row r="731" spans="1:16" x14ac:dyDescent="0.25">
      <c r="A731" s="526"/>
      <c r="B731" s="533"/>
      <c r="C731" s="304" t="s">
        <v>744</v>
      </c>
      <c r="D731" s="211">
        <v>3</v>
      </c>
      <c r="E731" s="215" t="s">
        <v>44</v>
      </c>
      <c r="F731" s="215"/>
      <c r="G731" s="215">
        <v>4.0000000000000002E-4</v>
      </c>
      <c r="H731" s="215">
        <v>4</v>
      </c>
      <c r="I731" s="300">
        <f t="shared" si="47"/>
        <v>0.46332000000000007</v>
      </c>
      <c r="J731" s="230">
        <v>6</v>
      </c>
      <c r="K731" s="388">
        <v>454.87</v>
      </c>
      <c r="L731" s="302">
        <f t="shared" si="44"/>
        <v>843.00147360000017</v>
      </c>
      <c r="M731" s="215"/>
      <c r="N731" s="215"/>
      <c r="O731" s="29"/>
      <c r="P731" s="309"/>
    </row>
    <row r="732" spans="1:16" x14ac:dyDescent="0.25">
      <c r="A732" s="526"/>
      <c r="B732" s="533"/>
      <c r="C732" s="304" t="s">
        <v>745</v>
      </c>
      <c r="D732" s="211">
        <v>30</v>
      </c>
      <c r="E732" s="215" t="s">
        <v>43</v>
      </c>
      <c r="F732" s="215"/>
      <c r="G732" s="215">
        <v>3.0000000000000001E-3</v>
      </c>
      <c r="H732" s="215">
        <v>2</v>
      </c>
      <c r="I732" s="300">
        <f t="shared" si="47"/>
        <v>34.749000000000002</v>
      </c>
      <c r="J732" s="230">
        <v>6</v>
      </c>
      <c r="K732" s="388">
        <v>454.87</v>
      </c>
      <c r="L732" s="302">
        <f t="shared" si="44"/>
        <v>31612.555260000001</v>
      </c>
      <c r="M732" s="215"/>
      <c r="N732" s="215"/>
      <c r="O732" s="29"/>
      <c r="P732" s="309"/>
    </row>
    <row r="733" spans="1:16" x14ac:dyDescent="0.25">
      <c r="A733" s="526"/>
      <c r="B733" s="533"/>
      <c r="C733" s="304" t="s">
        <v>745</v>
      </c>
      <c r="D733" s="211">
        <v>30</v>
      </c>
      <c r="E733" s="215" t="s">
        <v>44</v>
      </c>
      <c r="F733" s="215"/>
      <c r="G733" s="215">
        <v>2.9999999999999997E-4</v>
      </c>
      <c r="H733" s="215">
        <v>4</v>
      </c>
      <c r="I733" s="300">
        <f t="shared" si="47"/>
        <v>3.4748999999999999</v>
      </c>
      <c r="J733" s="230">
        <v>6</v>
      </c>
      <c r="K733" s="388">
        <v>454.87</v>
      </c>
      <c r="L733" s="302">
        <f t="shared" si="44"/>
        <v>6322.5110519999998</v>
      </c>
      <c r="M733" s="215"/>
      <c r="N733" s="215"/>
      <c r="O733" s="29"/>
      <c r="P733" s="309"/>
    </row>
    <row r="734" spans="1:16" x14ac:dyDescent="0.25">
      <c r="A734" s="526"/>
      <c r="B734" s="533"/>
      <c r="C734" s="304" t="s">
        <v>746</v>
      </c>
      <c r="D734" s="211">
        <v>22</v>
      </c>
      <c r="E734" s="215" t="s">
        <v>43</v>
      </c>
      <c r="F734" s="215"/>
      <c r="G734" s="215">
        <v>1E-3</v>
      </c>
      <c r="H734" s="215">
        <v>2</v>
      </c>
      <c r="I734" s="300">
        <f t="shared" si="47"/>
        <v>8.4941999999999993</v>
      </c>
      <c r="J734" s="230">
        <v>6</v>
      </c>
      <c r="K734" s="388">
        <v>454.87</v>
      </c>
      <c r="L734" s="302">
        <f t="shared" si="44"/>
        <v>7727.5135079999991</v>
      </c>
      <c r="M734" s="215"/>
      <c r="N734" s="215"/>
      <c r="O734" s="29"/>
      <c r="P734" s="309"/>
    </row>
    <row r="735" spans="1:16" x14ac:dyDescent="0.25">
      <c r="A735" s="526"/>
      <c r="B735" s="533"/>
      <c r="C735" s="304" t="s">
        <v>746</v>
      </c>
      <c r="D735" s="211">
        <v>22</v>
      </c>
      <c r="E735" s="215" t="s">
        <v>44</v>
      </c>
      <c r="F735" s="215"/>
      <c r="G735" s="215">
        <v>1E-4</v>
      </c>
      <c r="H735" s="215">
        <v>4</v>
      </c>
      <c r="I735" s="300">
        <f t="shared" si="47"/>
        <v>0.84942000000000006</v>
      </c>
      <c r="J735" s="230">
        <v>6</v>
      </c>
      <c r="K735" s="388">
        <v>454.87</v>
      </c>
      <c r="L735" s="302">
        <f t="shared" si="44"/>
        <v>1545.5027016000001</v>
      </c>
      <c r="M735" s="215"/>
      <c r="N735" s="215"/>
      <c r="O735" s="29"/>
      <c r="P735" s="309"/>
    </row>
    <row r="736" spans="1:16" x14ac:dyDescent="0.25">
      <c r="A736" s="526"/>
      <c r="B736" s="533"/>
      <c r="C736" s="304" t="s">
        <v>747</v>
      </c>
      <c r="D736" s="211">
        <v>27</v>
      </c>
      <c r="E736" s="215" t="s">
        <v>43</v>
      </c>
      <c r="F736" s="215"/>
      <c r="G736" s="215">
        <v>1E-3</v>
      </c>
      <c r="H736" s="215">
        <v>2</v>
      </c>
      <c r="I736" s="300">
        <f t="shared" si="47"/>
        <v>10.424700000000001</v>
      </c>
      <c r="J736" s="230">
        <v>6</v>
      </c>
      <c r="K736" s="388">
        <v>454.87</v>
      </c>
      <c r="L736" s="302">
        <f t="shared" si="44"/>
        <v>9483.7665780000007</v>
      </c>
      <c r="M736" s="215"/>
      <c r="N736" s="215"/>
      <c r="O736" s="29"/>
      <c r="P736" s="309"/>
    </row>
    <row r="737" spans="1:16" x14ac:dyDescent="0.25">
      <c r="A737" s="526"/>
      <c r="B737" s="533"/>
      <c r="C737" s="304" t="s">
        <v>747</v>
      </c>
      <c r="D737" s="211">
        <v>27</v>
      </c>
      <c r="E737" s="215" t="s">
        <v>44</v>
      </c>
      <c r="F737" s="215"/>
      <c r="G737" s="215">
        <v>1E-4</v>
      </c>
      <c r="H737" s="215">
        <v>4</v>
      </c>
      <c r="I737" s="300">
        <f t="shared" si="47"/>
        <v>1.0424700000000002</v>
      </c>
      <c r="J737" s="230">
        <v>6</v>
      </c>
      <c r="K737" s="388">
        <v>454.87</v>
      </c>
      <c r="L737" s="302">
        <f t="shared" si="44"/>
        <v>1896.7533156000004</v>
      </c>
      <c r="M737" s="215"/>
      <c r="N737" s="215"/>
      <c r="O737" s="29"/>
      <c r="P737" s="309"/>
    </row>
    <row r="738" spans="1:16" x14ac:dyDescent="0.25">
      <c r="A738" s="526"/>
      <c r="B738" s="533"/>
      <c r="C738" s="304" t="s">
        <v>748</v>
      </c>
      <c r="D738" s="211">
        <v>3</v>
      </c>
      <c r="E738" s="215" t="s">
        <v>43</v>
      </c>
      <c r="F738" s="215"/>
      <c r="G738" s="215">
        <v>4.0000000000000001E-3</v>
      </c>
      <c r="H738" s="215">
        <v>2</v>
      </c>
      <c r="I738" s="300">
        <f t="shared" si="47"/>
        <v>4.6332000000000004</v>
      </c>
      <c r="J738" s="230">
        <v>6</v>
      </c>
      <c r="K738" s="388">
        <v>454.87</v>
      </c>
      <c r="L738" s="302">
        <f t="shared" si="44"/>
        <v>4215.0073680000005</v>
      </c>
      <c r="M738" s="215"/>
      <c r="N738" s="215"/>
      <c r="O738" s="29"/>
      <c r="P738" s="309"/>
    </row>
    <row r="739" spans="1:16" x14ac:dyDescent="0.25">
      <c r="A739" s="526"/>
      <c r="B739" s="533"/>
      <c r="C739" s="304" t="s">
        <v>748</v>
      </c>
      <c r="D739" s="211">
        <v>3</v>
      </c>
      <c r="E739" s="215" t="s">
        <v>44</v>
      </c>
      <c r="F739" s="215"/>
      <c r="G739" s="215">
        <v>4.0000000000000002E-4</v>
      </c>
      <c r="H739" s="215">
        <v>4</v>
      </c>
      <c r="I739" s="300">
        <f t="shared" si="47"/>
        <v>0.46332000000000007</v>
      </c>
      <c r="J739" s="230">
        <v>6</v>
      </c>
      <c r="K739" s="388">
        <v>454.87</v>
      </c>
      <c r="L739" s="302">
        <f t="shared" si="44"/>
        <v>843.00147360000017</v>
      </c>
      <c r="M739" s="215"/>
      <c r="N739" s="215"/>
      <c r="O739" s="29"/>
      <c r="P739" s="309"/>
    </row>
    <row r="740" spans="1:16" x14ac:dyDescent="0.25">
      <c r="A740" s="526"/>
      <c r="B740" s="533"/>
      <c r="C740" s="304" t="s">
        <v>749</v>
      </c>
      <c r="D740" s="211">
        <v>3</v>
      </c>
      <c r="E740" s="215" t="s">
        <v>43</v>
      </c>
      <c r="F740" s="215"/>
      <c r="G740" s="215">
        <v>6.0000000000000001E-3</v>
      </c>
      <c r="H740" s="215">
        <v>2</v>
      </c>
      <c r="I740" s="300">
        <f t="shared" si="47"/>
        <v>6.9498000000000015</v>
      </c>
      <c r="J740" s="230">
        <v>6</v>
      </c>
      <c r="K740" s="388">
        <v>454.87</v>
      </c>
      <c r="L740" s="302">
        <f t="shared" si="44"/>
        <v>6322.5110520000017</v>
      </c>
      <c r="M740" s="215"/>
      <c r="N740" s="215"/>
      <c r="O740" s="29"/>
      <c r="P740" s="309"/>
    </row>
    <row r="741" spans="1:16" x14ac:dyDescent="0.25">
      <c r="A741" s="526"/>
      <c r="B741" s="533"/>
      <c r="C741" s="304" t="s">
        <v>749</v>
      </c>
      <c r="D741" s="211">
        <v>3</v>
      </c>
      <c r="E741" s="215" t="s">
        <v>44</v>
      </c>
      <c r="F741" s="215"/>
      <c r="G741" s="215">
        <v>5.9999999999999995E-4</v>
      </c>
      <c r="H741" s="215">
        <v>4</v>
      </c>
      <c r="I741" s="300">
        <f t="shared" si="47"/>
        <v>0.69498000000000004</v>
      </c>
      <c r="J741" s="230">
        <v>6</v>
      </c>
      <c r="K741" s="388">
        <v>454.87</v>
      </c>
      <c r="L741" s="302">
        <f t="shared" si="44"/>
        <v>1264.5022104000002</v>
      </c>
      <c r="M741" s="215"/>
      <c r="N741" s="215"/>
      <c r="O741" s="29"/>
      <c r="P741" s="309"/>
    </row>
    <row r="742" spans="1:16" x14ac:dyDescent="0.25">
      <c r="A742" s="526"/>
      <c r="B742" s="533"/>
      <c r="C742" s="304" t="s">
        <v>750</v>
      </c>
      <c r="D742" s="211">
        <v>3</v>
      </c>
      <c r="E742" s="215" t="s">
        <v>43</v>
      </c>
      <c r="F742" s="215"/>
      <c r="G742" s="215">
        <v>1E-3</v>
      </c>
      <c r="H742" s="215">
        <v>2</v>
      </c>
      <c r="I742" s="300">
        <f t="shared" si="47"/>
        <v>1.1583000000000001</v>
      </c>
      <c r="J742" s="230">
        <v>6</v>
      </c>
      <c r="K742" s="388">
        <v>454.87</v>
      </c>
      <c r="L742" s="302">
        <f t="shared" si="44"/>
        <v>1053.7518420000001</v>
      </c>
      <c r="M742" s="215"/>
      <c r="N742" s="215"/>
      <c r="O742" s="29"/>
      <c r="P742" s="309"/>
    </row>
    <row r="743" spans="1:16" x14ac:dyDescent="0.25">
      <c r="A743" s="526"/>
      <c r="B743" s="533"/>
      <c r="C743" s="304" t="s">
        <v>750</v>
      </c>
      <c r="D743" s="211">
        <v>3</v>
      </c>
      <c r="E743" s="215" t="s">
        <v>44</v>
      </c>
      <c r="F743" s="215"/>
      <c r="G743" s="215">
        <v>1E-4</v>
      </c>
      <c r="H743" s="215">
        <v>4</v>
      </c>
      <c r="I743" s="300">
        <f t="shared" si="47"/>
        <v>0.11583000000000002</v>
      </c>
      <c r="J743" s="230">
        <v>6</v>
      </c>
      <c r="K743" s="388">
        <v>454.87</v>
      </c>
      <c r="L743" s="302">
        <f t="shared" si="44"/>
        <v>210.75036840000004</v>
      </c>
      <c r="M743" s="215"/>
      <c r="N743" s="215"/>
      <c r="O743" s="29"/>
      <c r="P743" s="309"/>
    </row>
    <row r="744" spans="1:16" x14ac:dyDescent="0.25">
      <c r="A744" s="526"/>
      <c r="B744" s="533"/>
      <c r="C744" s="304" t="s">
        <v>751</v>
      </c>
      <c r="D744" s="211">
        <v>3</v>
      </c>
      <c r="E744" s="215" t="s">
        <v>43</v>
      </c>
      <c r="F744" s="215"/>
      <c r="G744" s="215">
        <v>1E-3</v>
      </c>
      <c r="H744" s="215">
        <v>2</v>
      </c>
      <c r="I744" s="300">
        <f t="shared" si="47"/>
        <v>1.1583000000000001</v>
      </c>
      <c r="J744" s="230">
        <v>6</v>
      </c>
      <c r="K744" s="388">
        <v>454.87</v>
      </c>
      <c r="L744" s="302">
        <f t="shared" si="44"/>
        <v>1053.7518420000001</v>
      </c>
      <c r="M744" s="215"/>
      <c r="N744" s="215"/>
      <c r="O744" s="29"/>
      <c r="P744" s="309"/>
    </row>
    <row r="745" spans="1:16" x14ac:dyDescent="0.25">
      <c r="A745" s="526"/>
      <c r="B745" s="533"/>
      <c r="C745" s="304" t="s">
        <v>751</v>
      </c>
      <c r="D745" s="211">
        <v>3</v>
      </c>
      <c r="E745" s="215" t="s">
        <v>44</v>
      </c>
      <c r="F745" s="215"/>
      <c r="G745" s="215">
        <v>1E-4</v>
      </c>
      <c r="H745" s="215">
        <v>4</v>
      </c>
      <c r="I745" s="300">
        <f t="shared" si="47"/>
        <v>0.11583000000000002</v>
      </c>
      <c r="J745" s="230">
        <v>6</v>
      </c>
      <c r="K745" s="388">
        <v>454.87</v>
      </c>
      <c r="L745" s="302">
        <f t="shared" si="44"/>
        <v>210.75036840000004</v>
      </c>
      <c r="M745" s="215"/>
      <c r="N745" s="215"/>
      <c r="O745" s="29"/>
      <c r="P745" s="309"/>
    </row>
    <row r="746" spans="1:16" x14ac:dyDescent="0.25">
      <c r="A746" s="526"/>
      <c r="B746" s="533"/>
      <c r="C746" s="304" t="s">
        <v>752</v>
      </c>
      <c r="D746" s="211">
        <v>9</v>
      </c>
      <c r="E746" s="215" t="s">
        <v>43</v>
      </c>
      <c r="F746" s="215"/>
      <c r="G746" s="215">
        <v>2E-3</v>
      </c>
      <c r="H746" s="215">
        <v>2</v>
      </c>
      <c r="I746" s="300">
        <f t="shared" si="47"/>
        <v>6.9498000000000015</v>
      </c>
      <c r="J746" s="230">
        <v>6</v>
      </c>
      <c r="K746" s="388">
        <v>454.87</v>
      </c>
      <c r="L746" s="302">
        <f t="shared" si="44"/>
        <v>6322.5110520000017</v>
      </c>
      <c r="M746" s="215"/>
      <c r="N746" s="215"/>
      <c r="O746" s="29"/>
      <c r="P746" s="309"/>
    </row>
    <row r="747" spans="1:16" x14ac:dyDescent="0.25">
      <c r="A747" s="526"/>
      <c r="B747" s="533"/>
      <c r="C747" s="304" t="s">
        <v>752</v>
      </c>
      <c r="D747" s="211">
        <v>9</v>
      </c>
      <c r="E747" s="215" t="s">
        <v>44</v>
      </c>
      <c r="F747" s="215"/>
      <c r="G747" s="215">
        <v>2.0000000000000001E-4</v>
      </c>
      <c r="H747" s="215">
        <v>4</v>
      </c>
      <c r="I747" s="300">
        <f t="shared" si="47"/>
        <v>0.69498000000000004</v>
      </c>
      <c r="J747" s="230">
        <v>6</v>
      </c>
      <c r="K747" s="388">
        <v>454.87</v>
      </c>
      <c r="L747" s="302">
        <f t="shared" si="44"/>
        <v>1264.5022104000002</v>
      </c>
      <c r="M747" s="215"/>
      <c r="N747" s="215"/>
      <c r="O747" s="29"/>
      <c r="P747" s="309"/>
    </row>
    <row r="748" spans="1:16" x14ac:dyDescent="0.25">
      <c r="A748" s="526"/>
      <c r="B748" s="533"/>
      <c r="C748" s="570" t="s">
        <v>753</v>
      </c>
      <c r="D748" s="393">
        <v>1</v>
      </c>
      <c r="E748" s="386" t="s">
        <v>43</v>
      </c>
      <c r="F748" s="386"/>
      <c r="G748" s="386">
        <v>3.0000000000000001E-3</v>
      </c>
      <c r="H748" s="386">
        <v>2</v>
      </c>
      <c r="I748" s="389">
        <f t="shared" si="47"/>
        <v>1.1583000000000001</v>
      </c>
      <c r="J748" s="390">
        <v>6</v>
      </c>
      <c r="K748" s="388">
        <v>454.87</v>
      </c>
      <c r="L748" s="397">
        <f t="shared" si="44"/>
        <v>1053.7518420000001</v>
      </c>
      <c r="M748" s="215"/>
      <c r="N748" s="215"/>
      <c r="O748" s="29"/>
      <c r="P748" s="309"/>
    </row>
    <row r="749" spans="1:16" x14ac:dyDescent="0.25">
      <c r="A749" s="526"/>
      <c r="B749" s="533"/>
      <c r="C749" s="571"/>
      <c r="D749" s="393">
        <v>1</v>
      </c>
      <c r="E749" s="386" t="s">
        <v>44</v>
      </c>
      <c r="F749" s="386"/>
      <c r="G749" s="386">
        <v>2.9999999999999997E-4</v>
      </c>
      <c r="H749" s="386">
        <v>4</v>
      </c>
      <c r="I749" s="389">
        <f t="shared" si="47"/>
        <v>0.11583</v>
      </c>
      <c r="J749" s="390">
        <v>6</v>
      </c>
      <c r="K749" s="388">
        <v>454.87</v>
      </c>
      <c r="L749" s="302">
        <f t="shared" si="44"/>
        <v>210.75036840000001</v>
      </c>
      <c r="M749" s="215"/>
      <c r="N749" s="215"/>
      <c r="O749" s="29"/>
      <c r="P749" s="309"/>
    </row>
    <row r="750" spans="1:16" x14ac:dyDescent="0.25">
      <c r="A750" s="526"/>
      <c r="B750" s="533"/>
      <c r="C750" s="455" t="s">
        <v>754</v>
      </c>
      <c r="D750" s="386">
        <v>1</v>
      </c>
      <c r="E750" s="386" t="s">
        <v>43</v>
      </c>
      <c r="F750" s="386"/>
      <c r="G750" s="386">
        <v>3.0000000000000001E-3</v>
      </c>
      <c r="H750" s="386">
        <v>2</v>
      </c>
      <c r="I750" s="389">
        <f t="shared" si="47"/>
        <v>1.1583000000000001</v>
      </c>
      <c r="J750" s="390">
        <v>6</v>
      </c>
      <c r="K750" s="388">
        <v>454.87</v>
      </c>
      <c r="L750" s="397">
        <f t="shared" si="44"/>
        <v>1053.7518420000001</v>
      </c>
      <c r="M750" s="215"/>
      <c r="N750" s="215"/>
      <c r="O750" s="29"/>
      <c r="P750" s="309"/>
    </row>
    <row r="751" spans="1:16" x14ac:dyDescent="0.25">
      <c r="A751" s="526"/>
      <c r="B751" s="533"/>
      <c r="C751" s="456"/>
      <c r="D751" s="386">
        <v>1</v>
      </c>
      <c r="E751" s="386" t="s">
        <v>44</v>
      </c>
      <c r="F751" s="386"/>
      <c r="G751" s="386">
        <v>2.9999999999999997E-4</v>
      </c>
      <c r="H751" s="386">
        <v>4</v>
      </c>
      <c r="I751" s="389">
        <f t="shared" si="47"/>
        <v>0.11583</v>
      </c>
      <c r="J751" s="390">
        <v>6</v>
      </c>
      <c r="K751" s="388">
        <v>454.87</v>
      </c>
      <c r="L751" s="302">
        <f t="shared" si="44"/>
        <v>210.75036840000001</v>
      </c>
      <c r="M751" s="215"/>
      <c r="N751" s="215"/>
      <c r="O751" s="29"/>
      <c r="P751" s="309"/>
    </row>
    <row r="752" spans="1:16" x14ac:dyDescent="0.25">
      <c r="A752" s="526"/>
      <c r="B752" s="533"/>
      <c r="C752" s="570" t="s">
        <v>755</v>
      </c>
      <c r="D752" s="393">
        <v>1</v>
      </c>
      <c r="E752" s="386" t="s">
        <v>43</v>
      </c>
      <c r="F752" s="386"/>
      <c r="G752" s="386">
        <v>3.0000000000000001E-3</v>
      </c>
      <c r="H752" s="386">
        <v>2</v>
      </c>
      <c r="I752" s="389">
        <f t="shared" si="47"/>
        <v>1.1583000000000001</v>
      </c>
      <c r="J752" s="390">
        <v>6</v>
      </c>
      <c r="K752" s="388">
        <v>454.87</v>
      </c>
      <c r="L752" s="397">
        <f t="shared" si="44"/>
        <v>1053.7518420000001</v>
      </c>
      <c r="M752" s="215"/>
      <c r="N752" s="215"/>
      <c r="O752" s="29"/>
      <c r="P752" s="309"/>
    </row>
    <row r="753" spans="1:16" x14ac:dyDescent="0.25">
      <c r="A753" s="526"/>
      <c r="B753" s="533"/>
      <c r="C753" s="571"/>
      <c r="D753" s="393">
        <v>1</v>
      </c>
      <c r="E753" s="386" t="s">
        <v>44</v>
      </c>
      <c r="F753" s="386"/>
      <c r="G753" s="386">
        <v>2.9999999999999997E-4</v>
      </c>
      <c r="H753" s="386">
        <v>4</v>
      </c>
      <c r="I753" s="389">
        <f t="shared" si="47"/>
        <v>0.11583</v>
      </c>
      <c r="J753" s="390">
        <v>6</v>
      </c>
      <c r="K753" s="388">
        <v>454.87</v>
      </c>
      <c r="L753" s="302">
        <f t="shared" ref="L753:L797" si="48">H753*I753*K753</f>
        <v>210.75036840000001</v>
      </c>
      <c r="M753" s="215"/>
      <c r="N753" s="215"/>
      <c r="O753" s="29"/>
      <c r="P753" s="309"/>
    </row>
    <row r="754" spans="1:16" x14ac:dyDescent="0.25">
      <c r="A754" s="526"/>
      <c r="B754" s="533"/>
      <c r="C754" s="569" t="s">
        <v>756</v>
      </c>
      <c r="D754" s="211">
        <v>2</v>
      </c>
      <c r="E754" s="214" t="s">
        <v>43</v>
      </c>
      <c r="F754" s="215"/>
      <c r="G754" s="214">
        <v>1.7000000000000001E-2</v>
      </c>
      <c r="H754" s="214">
        <v>2</v>
      </c>
      <c r="I754" s="300">
        <f t="shared" si="47"/>
        <v>13.127400000000002</v>
      </c>
      <c r="J754" s="230">
        <v>6</v>
      </c>
      <c r="K754" s="388">
        <v>454.87</v>
      </c>
      <c r="L754" s="302">
        <f t="shared" si="48"/>
        <v>11942.520876000002</v>
      </c>
      <c r="M754" s="215"/>
      <c r="N754" s="215"/>
      <c r="O754" s="29"/>
      <c r="P754" s="309"/>
    </row>
    <row r="755" spans="1:16" x14ac:dyDescent="0.25">
      <c r="A755" s="526"/>
      <c r="B755" s="533"/>
      <c r="C755" s="569"/>
      <c r="D755" s="211">
        <v>2</v>
      </c>
      <c r="E755" s="214" t="s">
        <v>44</v>
      </c>
      <c r="F755" s="215"/>
      <c r="G755" s="214">
        <v>1.6999999999999999E-3</v>
      </c>
      <c r="H755" s="214">
        <v>4</v>
      </c>
      <c r="I755" s="300">
        <f t="shared" si="47"/>
        <v>1.31274</v>
      </c>
      <c r="J755" s="230">
        <v>6</v>
      </c>
      <c r="K755" s="388">
        <v>454.87</v>
      </c>
      <c r="L755" s="302">
        <f t="shared" si="48"/>
        <v>2388.5041752000002</v>
      </c>
      <c r="M755" s="215"/>
      <c r="N755" s="215"/>
      <c r="O755" s="29"/>
      <c r="P755" s="309"/>
    </row>
    <row r="756" spans="1:16" x14ac:dyDescent="0.25">
      <c r="A756" s="526"/>
      <c r="B756" s="533"/>
      <c r="C756" s="454" t="s">
        <v>757</v>
      </c>
      <c r="D756" s="215">
        <v>1</v>
      </c>
      <c r="E756" s="215" t="s">
        <v>43</v>
      </c>
      <c r="F756" s="215"/>
      <c r="G756" s="215">
        <v>2E-3</v>
      </c>
      <c r="H756" s="215">
        <v>2</v>
      </c>
      <c r="I756" s="300">
        <f t="shared" si="47"/>
        <v>0.77220000000000011</v>
      </c>
      <c r="J756" s="230">
        <v>6</v>
      </c>
      <c r="K756" s="388">
        <v>454.87</v>
      </c>
      <c r="L756" s="302">
        <f t="shared" si="48"/>
        <v>702.50122800000008</v>
      </c>
      <c r="M756" s="215"/>
      <c r="N756" s="215"/>
      <c r="O756" s="29"/>
      <c r="P756" s="309"/>
    </row>
    <row r="757" spans="1:16" x14ac:dyDescent="0.25">
      <c r="A757" s="526"/>
      <c r="B757" s="533"/>
      <c r="C757" s="454"/>
      <c r="D757" s="215">
        <v>1</v>
      </c>
      <c r="E757" s="215" t="s">
        <v>44</v>
      </c>
      <c r="F757" s="215"/>
      <c r="G757" s="215">
        <v>2.0000000000000001E-4</v>
      </c>
      <c r="H757" s="215">
        <v>4</v>
      </c>
      <c r="I757" s="300">
        <f t="shared" si="47"/>
        <v>7.7220000000000011E-2</v>
      </c>
      <c r="J757" s="230">
        <v>6</v>
      </c>
      <c r="K757" s="388">
        <v>454.87</v>
      </c>
      <c r="L757" s="302">
        <f t="shared" si="48"/>
        <v>140.50024560000003</v>
      </c>
      <c r="M757" s="215"/>
      <c r="N757" s="215"/>
      <c r="O757" s="29"/>
      <c r="P757" s="309"/>
    </row>
    <row r="758" spans="1:16" x14ac:dyDescent="0.25">
      <c r="A758" s="526"/>
      <c r="B758" s="533"/>
      <c r="C758" s="304" t="s">
        <v>758</v>
      </c>
      <c r="D758" s="211">
        <v>5</v>
      </c>
      <c r="E758" s="215" t="s">
        <v>43</v>
      </c>
      <c r="F758" s="215"/>
      <c r="G758" s="215">
        <v>1E-3</v>
      </c>
      <c r="H758" s="215">
        <v>2</v>
      </c>
      <c r="I758" s="300">
        <f t="shared" si="47"/>
        <v>1.9305000000000003</v>
      </c>
      <c r="J758" s="230">
        <v>6</v>
      </c>
      <c r="K758" s="388">
        <v>454.87</v>
      </c>
      <c r="L758" s="302">
        <f t="shared" si="48"/>
        <v>1756.2530700000002</v>
      </c>
      <c r="M758" s="215"/>
      <c r="N758" s="215"/>
      <c r="O758" s="29"/>
      <c r="P758" s="309"/>
    </row>
    <row r="759" spans="1:16" x14ac:dyDescent="0.25">
      <c r="A759" s="526"/>
      <c r="B759" s="533"/>
      <c r="C759" s="304" t="s">
        <v>758</v>
      </c>
      <c r="D759" s="211">
        <v>5</v>
      </c>
      <c r="E759" s="215" t="s">
        <v>44</v>
      </c>
      <c r="F759" s="215"/>
      <c r="G759" s="215">
        <v>1E-4</v>
      </c>
      <c r="H759" s="215">
        <v>4</v>
      </c>
      <c r="I759" s="300">
        <f t="shared" si="47"/>
        <v>0.19305000000000003</v>
      </c>
      <c r="J759" s="230">
        <v>6</v>
      </c>
      <c r="K759" s="388">
        <v>454.87</v>
      </c>
      <c r="L759" s="302">
        <f t="shared" si="48"/>
        <v>351.25061400000004</v>
      </c>
      <c r="M759" s="215"/>
      <c r="N759" s="215"/>
      <c r="O759" s="29"/>
      <c r="P759" s="309"/>
    </row>
    <row r="760" spans="1:16" x14ac:dyDescent="0.25">
      <c r="A760" s="526"/>
      <c r="B760" s="533"/>
      <c r="C760" s="304" t="s">
        <v>759</v>
      </c>
      <c r="D760" s="211">
        <v>3</v>
      </c>
      <c r="E760" s="215" t="s">
        <v>43</v>
      </c>
      <c r="F760" s="215"/>
      <c r="G760" s="215">
        <v>1E-3</v>
      </c>
      <c r="H760" s="215">
        <v>2</v>
      </c>
      <c r="I760" s="300">
        <f t="shared" si="47"/>
        <v>1.1583000000000001</v>
      </c>
      <c r="J760" s="230">
        <v>6</v>
      </c>
      <c r="K760" s="388">
        <v>454.87</v>
      </c>
      <c r="L760" s="302">
        <f t="shared" si="48"/>
        <v>1053.7518420000001</v>
      </c>
      <c r="M760" s="215"/>
      <c r="N760" s="215"/>
      <c r="O760" s="29"/>
      <c r="P760" s="309"/>
    </row>
    <row r="761" spans="1:16" x14ac:dyDescent="0.25">
      <c r="A761" s="526"/>
      <c r="B761" s="533"/>
      <c r="C761" s="304" t="s">
        <v>759</v>
      </c>
      <c r="D761" s="211">
        <v>3</v>
      </c>
      <c r="E761" s="215" t="s">
        <v>44</v>
      </c>
      <c r="F761" s="215"/>
      <c r="G761" s="215">
        <v>1E-4</v>
      </c>
      <c r="H761" s="215">
        <v>4</v>
      </c>
      <c r="I761" s="300">
        <f t="shared" si="47"/>
        <v>0.11583000000000002</v>
      </c>
      <c r="J761" s="230">
        <v>6</v>
      </c>
      <c r="K761" s="388">
        <v>454.87</v>
      </c>
      <c r="L761" s="302">
        <f t="shared" si="48"/>
        <v>210.75036840000004</v>
      </c>
      <c r="M761" s="215"/>
      <c r="N761" s="215"/>
      <c r="O761" s="29"/>
      <c r="P761" s="309"/>
    </row>
    <row r="762" spans="1:16" x14ac:dyDescent="0.25">
      <c r="A762" s="526"/>
      <c r="B762" s="533"/>
      <c r="C762" s="304" t="s">
        <v>760</v>
      </c>
      <c r="D762" s="211">
        <v>3</v>
      </c>
      <c r="E762" s="215" t="s">
        <v>43</v>
      </c>
      <c r="F762" s="215"/>
      <c r="G762" s="215">
        <v>1E-3</v>
      </c>
      <c r="H762" s="215">
        <v>2</v>
      </c>
      <c r="I762" s="300">
        <f t="shared" si="47"/>
        <v>1.1583000000000001</v>
      </c>
      <c r="J762" s="230">
        <v>6</v>
      </c>
      <c r="K762" s="388">
        <v>454.87</v>
      </c>
      <c r="L762" s="302">
        <f t="shared" si="48"/>
        <v>1053.7518420000001</v>
      </c>
      <c r="M762" s="215"/>
      <c r="N762" s="215"/>
      <c r="O762" s="29"/>
      <c r="P762" s="309"/>
    </row>
    <row r="763" spans="1:16" x14ac:dyDescent="0.25">
      <c r="A763" s="526"/>
      <c r="B763" s="533"/>
      <c r="C763" s="304" t="s">
        <v>760</v>
      </c>
      <c r="D763" s="211">
        <v>3</v>
      </c>
      <c r="E763" s="215" t="s">
        <v>44</v>
      </c>
      <c r="F763" s="215"/>
      <c r="G763" s="215">
        <v>1E-4</v>
      </c>
      <c r="H763" s="215">
        <v>4</v>
      </c>
      <c r="I763" s="300">
        <f t="shared" si="47"/>
        <v>0.11583000000000002</v>
      </c>
      <c r="J763" s="230">
        <v>6</v>
      </c>
      <c r="K763" s="388">
        <v>454.87</v>
      </c>
      <c r="L763" s="302">
        <f t="shared" si="48"/>
        <v>210.75036840000004</v>
      </c>
      <c r="M763" s="215"/>
      <c r="N763" s="215"/>
      <c r="O763" s="29"/>
      <c r="P763" s="309"/>
    </row>
    <row r="764" spans="1:16" x14ac:dyDescent="0.25">
      <c r="A764" s="526"/>
      <c r="B764" s="533"/>
      <c r="C764" s="304" t="s">
        <v>761</v>
      </c>
      <c r="D764" s="211">
        <v>3</v>
      </c>
      <c r="E764" s="215" t="s">
        <v>43</v>
      </c>
      <c r="F764" s="215"/>
      <c r="G764" s="215">
        <v>1E-3</v>
      </c>
      <c r="H764" s="215">
        <v>2</v>
      </c>
      <c r="I764" s="300">
        <f t="shared" si="47"/>
        <v>1.1583000000000001</v>
      </c>
      <c r="J764" s="230">
        <v>6</v>
      </c>
      <c r="K764" s="388">
        <v>454.87</v>
      </c>
      <c r="L764" s="302">
        <f t="shared" si="48"/>
        <v>1053.7518420000001</v>
      </c>
      <c r="M764" s="215"/>
      <c r="N764" s="215"/>
      <c r="O764" s="29"/>
      <c r="P764" s="309"/>
    </row>
    <row r="765" spans="1:16" x14ac:dyDescent="0.25">
      <c r="A765" s="526"/>
      <c r="B765" s="533"/>
      <c r="C765" s="304" t="s">
        <v>761</v>
      </c>
      <c r="D765" s="211">
        <v>3</v>
      </c>
      <c r="E765" s="215" t="s">
        <v>44</v>
      </c>
      <c r="F765" s="215"/>
      <c r="G765" s="215">
        <v>1E-4</v>
      </c>
      <c r="H765" s="215">
        <v>4</v>
      </c>
      <c r="I765" s="300">
        <f t="shared" si="47"/>
        <v>0.11583000000000002</v>
      </c>
      <c r="J765" s="230">
        <v>6</v>
      </c>
      <c r="K765" s="388">
        <v>454.87</v>
      </c>
      <c r="L765" s="302">
        <f t="shared" si="48"/>
        <v>210.75036840000004</v>
      </c>
      <c r="M765" s="215"/>
      <c r="N765" s="215"/>
      <c r="O765" s="29"/>
      <c r="P765" s="309"/>
    </row>
    <row r="766" spans="1:16" x14ac:dyDescent="0.25">
      <c r="A766" s="526"/>
      <c r="B766" s="533"/>
      <c r="C766" s="304" t="s">
        <v>746</v>
      </c>
      <c r="D766" s="211">
        <v>26</v>
      </c>
      <c r="E766" s="215" t="s">
        <v>43</v>
      </c>
      <c r="F766" s="215"/>
      <c r="G766" s="215">
        <v>1E-3</v>
      </c>
      <c r="H766" s="215">
        <v>2</v>
      </c>
      <c r="I766" s="300">
        <f t="shared" si="47"/>
        <v>10.038600000000002</v>
      </c>
      <c r="J766" s="230">
        <v>6</v>
      </c>
      <c r="K766" s="388">
        <v>454.87</v>
      </c>
      <c r="L766" s="302">
        <f t="shared" si="48"/>
        <v>9132.515964000002</v>
      </c>
      <c r="M766" s="215"/>
      <c r="N766" s="215"/>
      <c r="O766" s="29"/>
      <c r="P766" s="309"/>
    </row>
    <row r="767" spans="1:16" x14ac:dyDescent="0.25">
      <c r="A767" s="526"/>
      <c r="B767" s="533"/>
      <c r="C767" s="304" t="s">
        <v>746</v>
      </c>
      <c r="D767" s="211">
        <v>26</v>
      </c>
      <c r="E767" s="215" t="s">
        <v>44</v>
      </c>
      <c r="F767" s="215"/>
      <c r="G767" s="215">
        <v>1E-4</v>
      </c>
      <c r="H767" s="215">
        <v>4</v>
      </c>
      <c r="I767" s="300">
        <f t="shared" si="47"/>
        <v>1.0038600000000002</v>
      </c>
      <c r="J767" s="230">
        <v>6</v>
      </c>
      <c r="K767" s="388">
        <v>454.87</v>
      </c>
      <c r="L767" s="302">
        <f t="shared" si="48"/>
        <v>1826.5031928000003</v>
      </c>
      <c r="M767" s="215"/>
      <c r="N767" s="215"/>
      <c r="O767" s="29"/>
      <c r="P767" s="309"/>
    </row>
    <row r="768" spans="1:16" x14ac:dyDescent="0.25">
      <c r="A768" s="526"/>
      <c r="B768" s="533"/>
      <c r="C768" s="304" t="s">
        <v>762</v>
      </c>
      <c r="D768" s="211">
        <v>39</v>
      </c>
      <c r="E768" s="215" t="s">
        <v>43</v>
      </c>
      <c r="F768" s="215"/>
      <c r="G768" s="215">
        <v>3.0000000000000001E-3</v>
      </c>
      <c r="H768" s="215">
        <v>2</v>
      </c>
      <c r="I768" s="300">
        <f t="shared" ref="I768:I776" si="49">D768*G768*351*1.1</f>
        <v>45.173700000000004</v>
      </c>
      <c r="J768" s="230">
        <v>6</v>
      </c>
      <c r="K768" s="388">
        <v>454.87</v>
      </c>
      <c r="L768" s="302">
        <f t="shared" si="48"/>
        <v>41096.321838000003</v>
      </c>
      <c r="M768" s="215"/>
      <c r="N768" s="215"/>
      <c r="O768" s="29"/>
      <c r="P768" s="309"/>
    </row>
    <row r="769" spans="1:16" x14ac:dyDescent="0.25">
      <c r="A769" s="526"/>
      <c r="B769" s="533"/>
      <c r="C769" s="304" t="s">
        <v>762</v>
      </c>
      <c r="D769" s="211">
        <v>39</v>
      </c>
      <c r="E769" s="215" t="s">
        <v>44</v>
      </c>
      <c r="F769" s="215"/>
      <c r="G769" s="215">
        <v>2.9999999999999997E-4</v>
      </c>
      <c r="H769" s="215">
        <v>4</v>
      </c>
      <c r="I769" s="300">
        <f t="shared" si="49"/>
        <v>4.5173699999999997</v>
      </c>
      <c r="J769" s="230">
        <v>6</v>
      </c>
      <c r="K769" s="388">
        <v>454.87</v>
      </c>
      <c r="L769" s="302">
        <f t="shared" si="48"/>
        <v>8219.2643675999989</v>
      </c>
      <c r="M769" s="215"/>
      <c r="N769" s="215"/>
      <c r="O769" s="29"/>
      <c r="P769" s="309"/>
    </row>
    <row r="770" spans="1:16" x14ac:dyDescent="0.25">
      <c r="A770" s="526"/>
      <c r="B770" s="533"/>
      <c r="C770" s="572" t="s">
        <v>763</v>
      </c>
      <c r="D770" s="391">
        <v>1</v>
      </c>
      <c r="E770" s="391" t="s">
        <v>43</v>
      </c>
      <c r="F770" s="386"/>
      <c r="G770" s="386">
        <v>5.0000000000000001E-3</v>
      </c>
      <c r="H770" s="392">
        <v>2</v>
      </c>
      <c r="I770" s="389">
        <f t="shared" si="49"/>
        <v>1.9305000000000003</v>
      </c>
      <c r="J770" s="390">
        <v>6</v>
      </c>
      <c r="K770" s="388">
        <v>454.87</v>
      </c>
      <c r="L770" s="397">
        <f t="shared" si="48"/>
        <v>1756.2530700000002</v>
      </c>
      <c r="M770" s="215"/>
      <c r="N770" s="215"/>
      <c r="O770" s="29"/>
      <c r="P770" s="309"/>
    </row>
    <row r="771" spans="1:16" x14ac:dyDescent="0.25">
      <c r="A771" s="526"/>
      <c r="B771" s="533"/>
      <c r="C771" s="573"/>
      <c r="D771" s="386">
        <v>1</v>
      </c>
      <c r="E771" s="391" t="s">
        <v>44</v>
      </c>
      <c r="F771" s="386"/>
      <c r="G771" s="391">
        <v>5.0000000000000001E-4</v>
      </c>
      <c r="H771" s="386">
        <v>4</v>
      </c>
      <c r="I771" s="389">
        <f t="shared" si="49"/>
        <v>0.19305000000000003</v>
      </c>
      <c r="J771" s="390">
        <v>6</v>
      </c>
      <c r="K771" s="388">
        <v>454.87</v>
      </c>
      <c r="L771" s="302">
        <f t="shared" si="48"/>
        <v>351.25061400000004</v>
      </c>
      <c r="M771" s="215"/>
      <c r="N771" s="215"/>
      <c r="O771" s="29"/>
      <c r="P771" s="309"/>
    </row>
    <row r="772" spans="1:16" x14ac:dyDescent="0.25">
      <c r="A772" s="526"/>
      <c r="B772" s="533"/>
      <c r="C772" s="304" t="s">
        <v>764</v>
      </c>
      <c r="D772" s="211">
        <v>12</v>
      </c>
      <c r="E772" s="215" t="s">
        <v>43</v>
      </c>
      <c r="F772" s="215"/>
      <c r="G772" s="215">
        <v>1E-3</v>
      </c>
      <c r="H772" s="215">
        <v>2</v>
      </c>
      <c r="I772" s="300">
        <f t="shared" si="49"/>
        <v>4.6332000000000004</v>
      </c>
      <c r="J772" s="230">
        <v>6</v>
      </c>
      <c r="K772" s="388">
        <v>454.87</v>
      </c>
      <c r="L772" s="302">
        <f t="shared" si="48"/>
        <v>4215.0073680000005</v>
      </c>
      <c r="M772" s="215"/>
      <c r="N772" s="215"/>
      <c r="O772" s="29"/>
      <c r="P772" s="309"/>
    </row>
    <row r="773" spans="1:16" x14ac:dyDescent="0.25">
      <c r="A773" s="526"/>
      <c r="B773" s="533"/>
      <c r="C773" s="304" t="s">
        <v>764</v>
      </c>
      <c r="D773" s="211">
        <v>12</v>
      </c>
      <c r="E773" s="215" t="s">
        <v>44</v>
      </c>
      <c r="F773" s="215"/>
      <c r="G773" s="215">
        <v>1E-4</v>
      </c>
      <c r="H773" s="215">
        <v>4</v>
      </c>
      <c r="I773" s="300">
        <f t="shared" si="49"/>
        <v>0.46332000000000007</v>
      </c>
      <c r="J773" s="230">
        <v>6</v>
      </c>
      <c r="K773" s="388">
        <v>454.87</v>
      </c>
      <c r="L773" s="302">
        <f t="shared" si="48"/>
        <v>843.00147360000017</v>
      </c>
      <c r="M773" s="215"/>
      <c r="N773" s="215"/>
      <c r="O773" s="29"/>
      <c r="P773" s="309"/>
    </row>
    <row r="774" spans="1:16" x14ac:dyDescent="0.25">
      <c r="A774" s="526"/>
      <c r="B774" s="533"/>
      <c r="C774" s="304" t="s">
        <v>765</v>
      </c>
      <c r="D774" s="211">
        <v>4</v>
      </c>
      <c r="E774" s="215" t="s">
        <v>43</v>
      </c>
      <c r="F774" s="215"/>
      <c r="G774" s="215">
        <v>2E-3</v>
      </c>
      <c r="H774" s="215">
        <v>2</v>
      </c>
      <c r="I774" s="300">
        <f t="shared" si="49"/>
        <v>3.0888000000000004</v>
      </c>
      <c r="J774" s="230">
        <v>6</v>
      </c>
      <c r="K774" s="388">
        <v>454.87</v>
      </c>
      <c r="L774" s="302">
        <f t="shared" si="48"/>
        <v>2810.0049120000003</v>
      </c>
      <c r="M774" s="215"/>
      <c r="N774" s="215"/>
      <c r="O774" s="29"/>
      <c r="P774" s="309"/>
    </row>
    <row r="775" spans="1:16" x14ac:dyDescent="0.25">
      <c r="A775" s="526"/>
      <c r="B775" s="533"/>
      <c r="C775" s="304" t="s">
        <v>765</v>
      </c>
      <c r="D775" s="211">
        <v>4</v>
      </c>
      <c r="E775" s="215" t="s">
        <v>44</v>
      </c>
      <c r="F775" s="215"/>
      <c r="G775" s="215">
        <v>2.0000000000000001E-4</v>
      </c>
      <c r="H775" s="215">
        <v>4</v>
      </c>
      <c r="I775" s="300">
        <f t="shared" si="49"/>
        <v>0.30888000000000004</v>
      </c>
      <c r="J775" s="230">
        <v>6</v>
      </c>
      <c r="K775" s="388">
        <v>454.87</v>
      </c>
      <c r="L775" s="302">
        <f t="shared" si="48"/>
        <v>562.00098240000011</v>
      </c>
      <c r="M775" s="215"/>
      <c r="N775" s="215"/>
      <c r="O775" s="29"/>
      <c r="P775" s="309"/>
    </row>
    <row r="776" spans="1:16" ht="13.9" customHeight="1" x14ac:dyDescent="0.25">
      <c r="A776" s="526">
        <v>8</v>
      </c>
      <c r="B776" s="567" t="s">
        <v>1034</v>
      </c>
      <c r="C776" s="454" t="s">
        <v>766</v>
      </c>
      <c r="D776" s="568">
        <v>2</v>
      </c>
      <c r="E776" s="574" t="s">
        <v>43</v>
      </c>
      <c r="F776" s="215"/>
      <c r="G776" s="574">
        <v>3.0000000000000001E-3</v>
      </c>
      <c r="H776" s="574">
        <v>2</v>
      </c>
      <c r="I776" s="563">
        <f t="shared" si="49"/>
        <v>2.3166000000000002</v>
      </c>
      <c r="J776" s="574">
        <v>6</v>
      </c>
      <c r="K776" s="388">
        <v>454.87</v>
      </c>
      <c r="L776" s="583">
        <f t="shared" si="48"/>
        <v>2107.5036840000002</v>
      </c>
      <c r="M776" s="215"/>
      <c r="N776" s="215"/>
      <c r="O776" s="29"/>
      <c r="P776" s="309"/>
    </row>
    <row r="777" spans="1:16" ht="13.9" customHeight="1" x14ac:dyDescent="0.25">
      <c r="A777" s="526"/>
      <c r="B777" s="567"/>
      <c r="C777" s="454"/>
      <c r="D777" s="568"/>
      <c r="E777" s="574"/>
      <c r="F777" s="215"/>
      <c r="G777" s="574"/>
      <c r="H777" s="574"/>
      <c r="I777" s="563"/>
      <c r="J777" s="574"/>
      <c r="K777" s="388">
        <v>454.87</v>
      </c>
      <c r="L777" s="584"/>
      <c r="M777" s="215"/>
      <c r="N777" s="215"/>
      <c r="O777" s="29"/>
      <c r="P777" s="309"/>
    </row>
    <row r="778" spans="1:16" x14ac:dyDescent="0.25">
      <c r="A778" s="526"/>
      <c r="B778" s="567"/>
      <c r="C778" s="36" t="s">
        <v>766</v>
      </c>
      <c r="D778" s="310">
        <v>2</v>
      </c>
      <c r="E778" s="294" t="s">
        <v>44</v>
      </c>
      <c r="F778" s="215"/>
      <c r="G778" s="294">
        <v>2.9999999999999997E-4</v>
      </c>
      <c r="H778" s="294">
        <v>4</v>
      </c>
      <c r="I778" s="300">
        <f t="shared" ref="I778:I797" si="50">D778*G778*351*1.1</f>
        <v>0.23166</v>
      </c>
      <c r="J778" s="211">
        <v>6</v>
      </c>
      <c r="K778" s="388">
        <v>454.87</v>
      </c>
      <c r="L778" s="302">
        <f t="shared" si="48"/>
        <v>421.50073680000003</v>
      </c>
      <c r="M778" s="215"/>
      <c r="N778" s="215"/>
      <c r="O778" s="29"/>
      <c r="P778" s="309"/>
    </row>
    <row r="779" spans="1:16" x14ac:dyDescent="0.25">
      <c r="A779" s="526"/>
      <c r="B779" s="567"/>
      <c r="C779" s="36" t="s">
        <v>767</v>
      </c>
      <c r="D779" s="310">
        <v>2</v>
      </c>
      <c r="E779" s="294" t="s">
        <v>43</v>
      </c>
      <c r="F779" s="215"/>
      <c r="G779" s="294">
        <v>1E-3</v>
      </c>
      <c r="H779" s="294">
        <v>2</v>
      </c>
      <c r="I779" s="300">
        <f t="shared" si="50"/>
        <v>0.77220000000000011</v>
      </c>
      <c r="J779" s="211">
        <v>6</v>
      </c>
      <c r="K779" s="388">
        <v>454.87</v>
      </c>
      <c r="L779" s="302">
        <f t="shared" si="48"/>
        <v>702.50122800000008</v>
      </c>
      <c r="M779" s="215"/>
      <c r="N779" s="215"/>
      <c r="O779" s="29"/>
      <c r="P779" s="309"/>
    </row>
    <row r="780" spans="1:16" x14ac:dyDescent="0.25">
      <c r="A780" s="526"/>
      <c r="B780" s="567"/>
      <c r="C780" s="36" t="s">
        <v>767</v>
      </c>
      <c r="D780" s="310">
        <v>2</v>
      </c>
      <c r="E780" s="294" t="s">
        <v>44</v>
      </c>
      <c r="F780" s="215"/>
      <c r="G780" s="294">
        <v>1E-4</v>
      </c>
      <c r="H780" s="294">
        <v>4</v>
      </c>
      <c r="I780" s="300">
        <f t="shared" si="50"/>
        <v>7.7220000000000011E-2</v>
      </c>
      <c r="J780" s="211">
        <v>6</v>
      </c>
      <c r="K780" s="388">
        <v>454.87</v>
      </c>
      <c r="L780" s="302">
        <f t="shared" si="48"/>
        <v>140.50024560000003</v>
      </c>
      <c r="M780" s="215"/>
      <c r="N780" s="215"/>
      <c r="O780" s="29"/>
      <c r="P780" s="309"/>
    </row>
    <row r="781" spans="1:16" x14ac:dyDescent="0.25">
      <c r="A781" s="526"/>
      <c r="B781" s="567"/>
      <c r="C781" s="36" t="s">
        <v>768</v>
      </c>
      <c r="D781" s="211">
        <v>2</v>
      </c>
      <c r="E781" s="294" t="s">
        <v>43</v>
      </c>
      <c r="F781" s="215"/>
      <c r="G781" s="294">
        <v>1E-3</v>
      </c>
      <c r="H781" s="294">
        <v>2</v>
      </c>
      <c r="I781" s="300">
        <f t="shared" si="50"/>
        <v>0.77220000000000011</v>
      </c>
      <c r="J781" s="211">
        <v>6</v>
      </c>
      <c r="K781" s="388">
        <v>454.87</v>
      </c>
      <c r="L781" s="302">
        <f t="shared" si="48"/>
        <v>702.50122800000008</v>
      </c>
      <c r="M781" s="215"/>
      <c r="N781" s="215"/>
      <c r="O781" s="29"/>
      <c r="P781" s="309"/>
    </row>
    <row r="782" spans="1:16" x14ac:dyDescent="0.25">
      <c r="A782" s="526"/>
      <c r="B782" s="567"/>
      <c r="C782" s="36" t="s">
        <v>768</v>
      </c>
      <c r="D782" s="211">
        <v>2</v>
      </c>
      <c r="E782" s="294" t="s">
        <v>44</v>
      </c>
      <c r="F782" s="215"/>
      <c r="G782" s="294">
        <v>1E-4</v>
      </c>
      <c r="H782" s="294">
        <v>4</v>
      </c>
      <c r="I782" s="300">
        <f t="shared" si="50"/>
        <v>7.7220000000000011E-2</v>
      </c>
      <c r="J782" s="211">
        <v>6</v>
      </c>
      <c r="K782" s="388">
        <v>454.87</v>
      </c>
      <c r="L782" s="302">
        <f t="shared" si="48"/>
        <v>140.50024560000003</v>
      </c>
      <c r="M782" s="215"/>
      <c r="N782" s="215"/>
      <c r="O782" s="29"/>
      <c r="P782" s="309"/>
    </row>
    <row r="783" spans="1:16" x14ac:dyDescent="0.25">
      <c r="A783" s="526"/>
      <c r="B783" s="567"/>
      <c r="C783" s="304" t="s">
        <v>114</v>
      </c>
      <c r="D783" s="211">
        <v>2</v>
      </c>
      <c r="E783" s="294" t="s">
        <v>43</v>
      </c>
      <c r="F783" s="215"/>
      <c r="G783" s="211">
        <v>6.0000000000000001E-3</v>
      </c>
      <c r="H783" s="294">
        <v>2</v>
      </c>
      <c r="I783" s="300">
        <f t="shared" si="50"/>
        <v>4.6332000000000004</v>
      </c>
      <c r="J783" s="211">
        <v>6</v>
      </c>
      <c r="K783" s="388">
        <v>454.87</v>
      </c>
      <c r="L783" s="302">
        <f t="shared" si="48"/>
        <v>4215.0073680000005</v>
      </c>
      <c r="M783" s="215"/>
      <c r="N783" s="215"/>
      <c r="O783" s="29"/>
      <c r="P783" s="309"/>
    </row>
    <row r="784" spans="1:16" x14ac:dyDescent="0.25">
      <c r="A784" s="526"/>
      <c r="B784" s="567"/>
      <c r="C784" s="304" t="s">
        <v>114</v>
      </c>
      <c r="D784" s="211">
        <v>2</v>
      </c>
      <c r="E784" s="294" t="s">
        <v>44</v>
      </c>
      <c r="F784" s="215"/>
      <c r="G784" s="211">
        <v>5.9999999999999995E-4</v>
      </c>
      <c r="H784" s="294">
        <v>4</v>
      </c>
      <c r="I784" s="300">
        <f t="shared" si="50"/>
        <v>0.46332000000000001</v>
      </c>
      <c r="J784" s="211">
        <v>6</v>
      </c>
      <c r="K784" s="388">
        <v>454.87</v>
      </c>
      <c r="L784" s="302">
        <f t="shared" si="48"/>
        <v>843.00147360000005</v>
      </c>
      <c r="M784" s="215"/>
      <c r="N784" s="215"/>
      <c r="O784" s="29"/>
      <c r="P784" s="309"/>
    </row>
    <row r="785" spans="1:16" x14ac:dyDescent="0.25">
      <c r="A785" s="526"/>
      <c r="B785" s="567"/>
      <c r="C785" s="311" t="s">
        <v>746</v>
      </c>
      <c r="D785" s="211">
        <v>2</v>
      </c>
      <c r="E785" s="211" t="s">
        <v>43</v>
      </c>
      <c r="F785" s="215"/>
      <c r="G785" s="211">
        <v>1E-3</v>
      </c>
      <c r="H785" s="211">
        <v>2</v>
      </c>
      <c r="I785" s="300">
        <f t="shared" si="50"/>
        <v>0.77220000000000011</v>
      </c>
      <c r="J785" s="211">
        <v>6</v>
      </c>
      <c r="K785" s="388">
        <v>454.87</v>
      </c>
      <c r="L785" s="302">
        <f t="shared" si="48"/>
        <v>702.50122800000008</v>
      </c>
      <c r="M785" s="215"/>
      <c r="N785" s="215"/>
      <c r="O785" s="29"/>
      <c r="P785" s="309"/>
    </row>
    <row r="786" spans="1:16" x14ac:dyDescent="0.25">
      <c r="A786" s="526"/>
      <c r="B786" s="567"/>
      <c r="C786" s="311" t="s">
        <v>746</v>
      </c>
      <c r="D786" s="211">
        <v>2</v>
      </c>
      <c r="E786" s="211" t="s">
        <v>44</v>
      </c>
      <c r="F786" s="215"/>
      <c r="G786" s="211">
        <v>1E-4</v>
      </c>
      <c r="H786" s="211">
        <v>4</v>
      </c>
      <c r="I786" s="300">
        <f t="shared" si="50"/>
        <v>7.7220000000000011E-2</v>
      </c>
      <c r="J786" s="211">
        <v>6</v>
      </c>
      <c r="K786" s="388">
        <v>454.87</v>
      </c>
      <c r="L786" s="302">
        <f t="shared" si="48"/>
        <v>140.50024560000003</v>
      </c>
      <c r="M786" s="215"/>
      <c r="N786" s="215"/>
      <c r="O786" s="29"/>
      <c r="P786" s="309"/>
    </row>
    <row r="787" spans="1:16" x14ac:dyDescent="0.25">
      <c r="A787" s="526"/>
      <c r="B787" s="567"/>
      <c r="C787" s="311" t="s">
        <v>745</v>
      </c>
      <c r="D787" s="211">
        <v>2</v>
      </c>
      <c r="E787" s="211" t="s">
        <v>43</v>
      </c>
      <c r="F787" s="215"/>
      <c r="G787" s="211">
        <v>3.0000000000000001E-3</v>
      </c>
      <c r="H787" s="211">
        <v>2</v>
      </c>
      <c r="I787" s="300">
        <f t="shared" si="50"/>
        <v>2.3166000000000002</v>
      </c>
      <c r="J787" s="211">
        <v>6</v>
      </c>
      <c r="K787" s="388">
        <v>454.87</v>
      </c>
      <c r="L787" s="302">
        <f t="shared" si="48"/>
        <v>2107.5036840000002</v>
      </c>
      <c r="M787" s="215"/>
      <c r="N787" s="215"/>
      <c r="O787" s="29"/>
      <c r="P787" s="309"/>
    </row>
    <row r="788" spans="1:16" x14ac:dyDescent="0.25">
      <c r="A788" s="526"/>
      <c r="B788" s="567"/>
      <c r="C788" s="311" t="s">
        <v>745</v>
      </c>
      <c r="D788" s="211">
        <v>2</v>
      </c>
      <c r="E788" s="211" t="s">
        <v>44</v>
      </c>
      <c r="F788" s="215"/>
      <c r="G788" s="211">
        <v>2.9999999999999997E-4</v>
      </c>
      <c r="H788" s="211">
        <v>4</v>
      </c>
      <c r="I788" s="300">
        <f t="shared" si="50"/>
        <v>0.23166</v>
      </c>
      <c r="J788" s="211">
        <v>6</v>
      </c>
      <c r="K788" s="388">
        <v>454.87</v>
      </c>
      <c r="L788" s="302">
        <f t="shared" si="48"/>
        <v>421.50073680000003</v>
      </c>
      <c r="M788" s="215"/>
      <c r="N788" s="215"/>
      <c r="O788" s="29"/>
      <c r="P788" s="309"/>
    </row>
    <row r="789" spans="1:16" x14ac:dyDescent="0.25">
      <c r="A789" s="526"/>
      <c r="B789" s="567"/>
      <c r="C789" s="312" t="s">
        <v>769</v>
      </c>
      <c r="D789" s="310">
        <v>4</v>
      </c>
      <c r="E789" s="294" t="s">
        <v>43</v>
      </c>
      <c r="F789" s="215"/>
      <c r="G789" s="294">
        <v>3.0000000000000001E-3</v>
      </c>
      <c r="H789" s="294">
        <v>2</v>
      </c>
      <c r="I789" s="300">
        <f t="shared" si="50"/>
        <v>4.6332000000000004</v>
      </c>
      <c r="J789" s="294">
        <v>6</v>
      </c>
      <c r="K789" s="388">
        <v>454.87</v>
      </c>
      <c r="L789" s="302">
        <f t="shared" si="48"/>
        <v>4215.0073680000005</v>
      </c>
      <c r="M789" s="215"/>
      <c r="N789" s="215"/>
      <c r="O789" s="29"/>
      <c r="P789" s="309"/>
    </row>
    <row r="790" spans="1:16" x14ac:dyDescent="0.25">
      <c r="A790" s="526"/>
      <c r="B790" s="567"/>
      <c r="C790" s="312" t="s">
        <v>769</v>
      </c>
      <c r="D790" s="310">
        <v>4</v>
      </c>
      <c r="E790" s="294" t="s">
        <v>44</v>
      </c>
      <c r="F790" s="215"/>
      <c r="G790" s="294">
        <v>2.9999999999999997E-4</v>
      </c>
      <c r="H790" s="294">
        <v>4</v>
      </c>
      <c r="I790" s="300">
        <f t="shared" si="50"/>
        <v>0.46332000000000001</v>
      </c>
      <c r="J790" s="294">
        <v>6</v>
      </c>
      <c r="K790" s="388">
        <v>454.87</v>
      </c>
      <c r="L790" s="302">
        <f t="shared" si="48"/>
        <v>843.00147360000005</v>
      </c>
      <c r="M790" s="215"/>
      <c r="N790" s="215"/>
      <c r="O790" s="29"/>
      <c r="P790" s="309"/>
    </row>
    <row r="791" spans="1:16" x14ac:dyDescent="0.25">
      <c r="A791" s="526"/>
      <c r="B791" s="567"/>
      <c r="C791" s="312" t="s">
        <v>770</v>
      </c>
      <c r="D791" s="310">
        <v>14</v>
      </c>
      <c r="E791" s="294" t="s">
        <v>43</v>
      </c>
      <c r="F791" s="215"/>
      <c r="G791" s="294">
        <v>1E-3</v>
      </c>
      <c r="H791" s="294">
        <v>2</v>
      </c>
      <c r="I791" s="300">
        <f t="shared" si="50"/>
        <v>5.4054000000000002</v>
      </c>
      <c r="J791" s="294">
        <v>6</v>
      </c>
      <c r="K791" s="388">
        <v>454.87</v>
      </c>
      <c r="L791" s="302">
        <f t="shared" si="48"/>
        <v>4917.5085960000006</v>
      </c>
      <c r="M791" s="215"/>
      <c r="N791" s="215"/>
      <c r="O791" s="29"/>
      <c r="P791" s="309"/>
    </row>
    <row r="792" spans="1:16" x14ac:dyDescent="0.25">
      <c r="A792" s="526"/>
      <c r="B792" s="567"/>
      <c r="C792" s="312" t="s">
        <v>770</v>
      </c>
      <c r="D792" s="310">
        <v>14</v>
      </c>
      <c r="E792" s="294" t="s">
        <v>44</v>
      </c>
      <c r="F792" s="215"/>
      <c r="G792" s="294">
        <v>1E-4</v>
      </c>
      <c r="H792" s="294">
        <v>4</v>
      </c>
      <c r="I792" s="300">
        <f t="shared" si="50"/>
        <v>0.54054000000000002</v>
      </c>
      <c r="J792" s="294">
        <v>6</v>
      </c>
      <c r="K792" s="388">
        <v>454.87</v>
      </c>
      <c r="L792" s="302">
        <f t="shared" si="48"/>
        <v>983.50171920000003</v>
      </c>
      <c r="M792" s="215"/>
      <c r="N792" s="215"/>
      <c r="O792" s="29"/>
      <c r="P792" s="309"/>
    </row>
    <row r="793" spans="1:16" x14ac:dyDescent="0.25">
      <c r="A793" s="526"/>
      <c r="B793" s="567"/>
      <c r="C793" s="31" t="s">
        <v>771</v>
      </c>
      <c r="D793" s="211">
        <v>2</v>
      </c>
      <c r="E793" s="294" t="s">
        <v>43</v>
      </c>
      <c r="F793" s="215"/>
      <c r="G793" s="294">
        <v>1E-3</v>
      </c>
      <c r="H793" s="294">
        <v>2</v>
      </c>
      <c r="I793" s="300">
        <f t="shared" si="50"/>
        <v>0.77220000000000011</v>
      </c>
      <c r="J793" s="294">
        <v>6</v>
      </c>
      <c r="K793" s="388">
        <v>454.87</v>
      </c>
      <c r="L793" s="302">
        <f t="shared" si="48"/>
        <v>702.50122800000008</v>
      </c>
      <c r="M793" s="215"/>
      <c r="N793" s="215"/>
      <c r="O793" s="29"/>
      <c r="P793" s="309"/>
    </row>
    <row r="794" spans="1:16" x14ac:dyDescent="0.25">
      <c r="A794" s="526"/>
      <c r="B794" s="567"/>
      <c r="C794" s="31" t="s">
        <v>771</v>
      </c>
      <c r="D794" s="211">
        <v>2</v>
      </c>
      <c r="E794" s="294" t="s">
        <v>44</v>
      </c>
      <c r="F794" s="215"/>
      <c r="G794" s="294">
        <v>1E-4</v>
      </c>
      <c r="H794" s="294">
        <v>4</v>
      </c>
      <c r="I794" s="300">
        <f t="shared" si="50"/>
        <v>7.7220000000000011E-2</v>
      </c>
      <c r="J794" s="294">
        <v>6</v>
      </c>
      <c r="K794" s="388">
        <v>454.87</v>
      </c>
      <c r="L794" s="302">
        <f t="shared" si="48"/>
        <v>140.50024560000003</v>
      </c>
      <c r="M794" s="215"/>
      <c r="N794" s="215"/>
      <c r="O794" s="29"/>
      <c r="P794" s="309"/>
    </row>
    <row r="795" spans="1:16" x14ac:dyDescent="0.25">
      <c r="A795" s="526"/>
      <c r="B795" s="567"/>
      <c r="C795" s="31" t="s">
        <v>772</v>
      </c>
      <c r="D795" s="294">
        <v>1</v>
      </c>
      <c r="E795" s="294" t="s">
        <v>43</v>
      </c>
      <c r="F795" s="215"/>
      <c r="G795" s="294">
        <v>1E-3</v>
      </c>
      <c r="H795" s="294">
        <v>2</v>
      </c>
      <c r="I795" s="300">
        <f t="shared" si="50"/>
        <v>0.38610000000000005</v>
      </c>
      <c r="J795" s="294">
        <v>6</v>
      </c>
      <c r="K795" s="388">
        <v>454.87</v>
      </c>
      <c r="L795" s="302">
        <f t="shared" si="48"/>
        <v>351.25061400000004</v>
      </c>
      <c r="M795" s="215"/>
      <c r="N795" s="215"/>
      <c r="O795" s="29"/>
      <c r="P795" s="309"/>
    </row>
    <row r="796" spans="1:16" x14ac:dyDescent="0.25">
      <c r="A796" s="526"/>
      <c r="B796" s="567"/>
      <c r="C796" s="31" t="s">
        <v>772</v>
      </c>
      <c r="D796" s="294">
        <v>1</v>
      </c>
      <c r="E796" s="294" t="s">
        <v>44</v>
      </c>
      <c r="F796" s="215"/>
      <c r="G796" s="294">
        <v>1E-4</v>
      </c>
      <c r="H796" s="294">
        <v>4</v>
      </c>
      <c r="I796" s="300">
        <f t="shared" si="50"/>
        <v>3.8610000000000005E-2</v>
      </c>
      <c r="J796" s="294">
        <v>6</v>
      </c>
      <c r="K796" s="388">
        <v>454.87</v>
      </c>
      <c r="L796" s="302">
        <f t="shared" si="48"/>
        <v>70.250122800000014</v>
      </c>
      <c r="M796" s="215"/>
      <c r="N796" s="215"/>
      <c r="O796" s="29"/>
      <c r="P796" s="309"/>
    </row>
    <row r="797" spans="1:16" ht="13.9" customHeight="1" x14ac:dyDescent="0.25">
      <c r="A797" s="526"/>
      <c r="B797" s="567"/>
      <c r="C797" s="575" t="s">
        <v>773</v>
      </c>
      <c r="D797" s="395">
        <v>1</v>
      </c>
      <c r="E797" s="395" t="s">
        <v>43</v>
      </c>
      <c r="F797" s="386"/>
      <c r="G797" s="395">
        <v>5.0000000000000001E-3</v>
      </c>
      <c r="H797" s="396">
        <v>2</v>
      </c>
      <c r="I797" s="389">
        <f t="shared" si="50"/>
        <v>1.9305000000000003</v>
      </c>
      <c r="J797" s="395">
        <v>6</v>
      </c>
      <c r="K797" s="388">
        <v>454.87</v>
      </c>
      <c r="L797" s="397">
        <f t="shared" si="48"/>
        <v>1756.2530700000002</v>
      </c>
      <c r="M797" s="215"/>
      <c r="N797" s="215"/>
      <c r="O797" s="29"/>
      <c r="P797" s="309"/>
    </row>
    <row r="798" spans="1:16" ht="13.9" customHeight="1" x14ac:dyDescent="0.25">
      <c r="A798" s="526"/>
      <c r="B798" s="567"/>
      <c r="C798" s="576"/>
      <c r="D798" s="395">
        <v>1</v>
      </c>
      <c r="E798" s="395" t="s">
        <v>44</v>
      </c>
      <c r="F798" s="386"/>
      <c r="G798" s="395">
        <v>5.0000000000000001E-4</v>
      </c>
      <c r="H798" s="395">
        <v>4</v>
      </c>
      <c r="I798" s="389">
        <f t="shared" ref="I798:I799" si="51">D798*G798*351*1.1</f>
        <v>0.19305000000000003</v>
      </c>
      <c r="J798" s="395">
        <v>6</v>
      </c>
      <c r="K798" s="388">
        <v>454.87</v>
      </c>
      <c r="L798" s="302">
        <f t="shared" ref="L798:L841" si="52">H798*I798*K798</f>
        <v>351.25061400000004</v>
      </c>
      <c r="M798" s="215"/>
      <c r="N798" s="215"/>
      <c r="O798" s="29"/>
      <c r="P798" s="309"/>
    </row>
    <row r="799" spans="1:16" ht="13.9" customHeight="1" x14ac:dyDescent="0.25">
      <c r="A799" s="526"/>
      <c r="B799" s="567"/>
      <c r="C799" s="575" t="s">
        <v>774</v>
      </c>
      <c r="D799" s="395">
        <v>2</v>
      </c>
      <c r="E799" s="395" t="s">
        <v>43</v>
      </c>
      <c r="F799" s="386"/>
      <c r="G799" s="395">
        <v>3.0000000000000001E-3</v>
      </c>
      <c r="H799" s="395">
        <v>2</v>
      </c>
      <c r="I799" s="389">
        <f t="shared" si="51"/>
        <v>2.3166000000000002</v>
      </c>
      <c r="J799" s="395">
        <v>6</v>
      </c>
      <c r="K799" s="388">
        <v>454.87</v>
      </c>
      <c r="L799" s="397">
        <f t="shared" si="52"/>
        <v>2107.5036840000002</v>
      </c>
      <c r="M799" s="215"/>
      <c r="N799" s="215"/>
      <c r="O799" s="29"/>
      <c r="P799" s="309"/>
    </row>
    <row r="800" spans="1:16" x14ac:dyDescent="0.25">
      <c r="A800" s="526"/>
      <c r="B800" s="567"/>
      <c r="C800" s="576"/>
      <c r="D800" s="395">
        <v>2</v>
      </c>
      <c r="E800" s="395" t="s">
        <v>44</v>
      </c>
      <c r="F800" s="386"/>
      <c r="G800" s="395">
        <v>2.9999999999999997E-4</v>
      </c>
      <c r="H800" s="395">
        <v>4</v>
      </c>
      <c r="I800" s="389">
        <f t="shared" ref="I800:I822" si="53">D800*G800*351*1.1</f>
        <v>0.23166</v>
      </c>
      <c r="J800" s="395">
        <v>6</v>
      </c>
      <c r="K800" s="388">
        <v>454.87</v>
      </c>
      <c r="L800" s="302">
        <f t="shared" si="52"/>
        <v>421.50073680000003</v>
      </c>
      <c r="M800" s="215"/>
      <c r="N800" s="215"/>
      <c r="O800" s="29"/>
      <c r="P800" s="309"/>
    </row>
    <row r="801" spans="1:16" ht="13.9" customHeight="1" x14ac:dyDescent="0.25">
      <c r="A801" s="526">
        <v>9</v>
      </c>
      <c r="B801" s="567" t="s">
        <v>845</v>
      </c>
      <c r="C801" s="383" t="s">
        <v>775</v>
      </c>
      <c r="D801" s="394">
        <v>2</v>
      </c>
      <c r="E801" s="395" t="s">
        <v>43</v>
      </c>
      <c r="F801" s="386"/>
      <c r="G801" s="395">
        <v>3.0000000000000001E-3</v>
      </c>
      <c r="H801" s="395">
        <v>2</v>
      </c>
      <c r="I801" s="389">
        <f t="shared" si="53"/>
        <v>2.3166000000000002</v>
      </c>
      <c r="J801" s="395">
        <v>6</v>
      </c>
      <c r="K801" s="388">
        <v>454.87</v>
      </c>
      <c r="L801" s="397">
        <f t="shared" si="52"/>
        <v>2107.5036840000002</v>
      </c>
      <c r="M801" s="215"/>
      <c r="N801" s="215"/>
      <c r="O801" s="29"/>
      <c r="P801" s="309"/>
    </row>
    <row r="802" spans="1:16" ht="13.9" customHeight="1" x14ac:dyDescent="0.25">
      <c r="A802" s="526"/>
      <c r="B802" s="567"/>
      <c r="C802" s="36" t="s">
        <v>775</v>
      </c>
      <c r="D802" s="310">
        <v>2</v>
      </c>
      <c r="E802" s="294" t="s">
        <v>44</v>
      </c>
      <c r="F802" s="215"/>
      <c r="G802" s="294">
        <v>2.9999999999999997E-4</v>
      </c>
      <c r="H802" s="294">
        <v>4</v>
      </c>
      <c r="I802" s="563">
        <f t="shared" si="53"/>
        <v>0.23166</v>
      </c>
      <c r="J802" s="211">
        <v>6</v>
      </c>
      <c r="K802" s="388">
        <v>454.87</v>
      </c>
      <c r="L802" s="583">
        <f t="shared" si="52"/>
        <v>421.50073680000003</v>
      </c>
      <c r="M802" s="215"/>
      <c r="N802" s="215"/>
      <c r="O802" s="29"/>
      <c r="P802" s="309"/>
    </row>
    <row r="803" spans="1:16" ht="13.9" customHeight="1" x14ac:dyDescent="0.25">
      <c r="A803" s="526"/>
      <c r="B803" s="567"/>
      <c r="C803" s="36" t="s">
        <v>767</v>
      </c>
      <c r="D803" s="310">
        <v>2</v>
      </c>
      <c r="E803" s="294" t="s">
        <v>43</v>
      </c>
      <c r="F803" s="215"/>
      <c r="G803" s="294">
        <v>1E-3</v>
      </c>
      <c r="H803" s="294">
        <v>2</v>
      </c>
      <c r="I803" s="563"/>
      <c r="J803" s="211">
        <v>6</v>
      </c>
      <c r="K803" s="388">
        <v>454.87</v>
      </c>
      <c r="L803" s="584"/>
      <c r="M803" s="215"/>
      <c r="N803" s="215"/>
      <c r="O803" s="29"/>
      <c r="P803" s="309"/>
    </row>
    <row r="804" spans="1:16" ht="13.9" customHeight="1" x14ac:dyDescent="0.25">
      <c r="A804" s="526"/>
      <c r="B804" s="567"/>
      <c r="C804" s="36" t="s">
        <v>767</v>
      </c>
      <c r="D804" s="310">
        <v>2</v>
      </c>
      <c r="E804" s="294" t="s">
        <v>44</v>
      </c>
      <c r="F804" s="215"/>
      <c r="G804" s="294">
        <v>1E-4</v>
      </c>
      <c r="H804" s="294">
        <v>4</v>
      </c>
      <c r="I804" s="563">
        <f t="shared" si="53"/>
        <v>7.7220000000000011E-2</v>
      </c>
      <c r="J804" s="211">
        <v>6</v>
      </c>
      <c r="K804" s="388">
        <v>454.87</v>
      </c>
      <c r="L804" s="583">
        <f t="shared" si="52"/>
        <v>140.50024560000003</v>
      </c>
      <c r="M804" s="215"/>
      <c r="N804" s="215"/>
      <c r="O804" s="29"/>
      <c r="P804" s="309"/>
    </row>
    <row r="805" spans="1:16" x14ac:dyDescent="0.25">
      <c r="A805" s="526"/>
      <c r="B805" s="567"/>
      <c r="C805" s="36" t="s">
        <v>776</v>
      </c>
      <c r="D805" s="211">
        <v>2</v>
      </c>
      <c r="E805" s="294" t="s">
        <v>43</v>
      </c>
      <c r="F805" s="215"/>
      <c r="G805" s="294">
        <v>1E-3</v>
      </c>
      <c r="H805" s="294">
        <v>2</v>
      </c>
      <c r="I805" s="563"/>
      <c r="J805" s="211">
        <v>6</v>
      </c>
      <c r="K805" s="388">
        <v>454.87</v>
      </c>
      <c r="L805" s="584"/>
      <c r="M805" s="215"/>
      <c r="N805" s="215"/>
      <c r="O805" s="29"/>
      <c r="P805" s="309"/>
    </row>
    <row r="806" spans="1:16" x14ac:dyDescent="0.25">
      <c r="A806" s="526"/>
      <c r="B806" s="567"/>
      <c r="C806" s="36" t="s">
        <v>776</v>
      </c>
      <c r="D806" s="211">
        <v>2</v>
      </c>
      <c r="E806" s="294" t="s">
        <v>44</v>
      </c>
      <c r="F806" s="215"/>
      <c r="G806" s="294">
        <v>1E-4</v>
      </c>
      <c r="H806" s="294">
        <v>4</v>
      </c>
      <c r="I806" s="563">
        <f t="shared" si="53"/>
        <v>7.7220000000000011E-2</v>
      </c>
      <c r="J806" s="211">
        <v>6</v>
      </c>
      <c r="K806" s="388">
        <v>454.87</v>
      </c>
      <c r="L806" s="583">
        <f t="shared" si="52"/>
        <v>140.50024560000003</v>
      </c>
      <c r="M806" s="215"/>
      <c r="N806" s="215"/>
      <c r="O806" s="29"/>
      <c r="P806" s="309"/>
    </row>
    <row r="807" spans="1:16" x14ac:dyDescent="0.25">
      <c r="A807" s="526"/>
      <c r="B807" s="567"/>
      <c r="C807" s="304" t="s">
        <v>114</v>
      </c>
      <c r="D807" s="211">
        <v>2</v>
      </c>
      <c r="E807" s="294" t="s">
        <v>43</v>
      </c>
      <c r="F807" s="215"/>
      <c r="G807" s="211">
        <v>6.0000000000000001E-3</v>
      </c>
      <c r="H807" s="294">
        <v>2</v>
      </c>
      <c r="I807" s="563"/>
      <c r="J807" s="211">
        <v>6</v>
      </c>
      <c r="K807" s="388">
        <v>454.87</v>
      </c>
      <c r="L807" s="584"/>
      <c r="M807" s="215"/>
      <c r="N807" s="215"/>
      <c r="O807" s="29"/>
      <c r="P807" s="309"/>
    </row>
    <row r="808" spans="1:16" x14ac:dyDescent="0.25">
      <c r="A808" s="526"/>
      <c r="B808" s="567"/>
      <c r="C808" s="304" t="s">
        <v>114</v>
      </c>
      <c r="D808" s="211">
        <v>2</v>
      </c>
      <c r="E808" s="294" t="s">
        <v>44</v>
      </c>
      <c r="F808" s="215"/>
      <c r="G808" s="211">
        <v>5.9999999999999995E-4</v>
      </c>
      <c r="H808" s="294">
        <v>4</v>
      </c>
      <c r="I808" s="563">
        <f t="shared" si="53"/>
        <v>0.46332000000000001</v>
      </c>
      <c r="J808" s="211">
        <v>6</v>
      </c>
      <c r="K808" s="388">
        <v>454.87</v>
      </c>
      <c r="L808" s="583">
        <f t="shared" si="52"/>
        <v>843.00147360000005</v>
      </c>
      <c r="M808" s="215"/>
      <c r="N808" s="215"/>
      <c r="O808" s="29"/>
      <c r="P808" s="309"/>
    </row>
    <row r="809" spans="1:16" x14ac:dyDescent="0.25">
      <c r="A809" s="526"/>
      <c r="B809" s="567"/>
      <c r="C809" s="311" t="s">
        <v>746</v>
      </c>
      <c r="D809" s="211">
        <v>2</v>
      </c>
      <c r="E809" s="211" t="s">
        <v>43</v>
      </c>
      <c r="F809" s="215"/>
      <c r="G809" s="211">
        <v>1E-3</v>
      </c>
      <c r="H809" s="211">
        <v>2</v>
      </c>
      <c r="I809" s="563"/>
      <c r="J809" s="211">
        <v>6</v>
      </c>
      <c r="K809" s="388">
        <v>454.87</v>
      </c>
      <c r="L809" s="584"/>
      <c r="M809" s="215"/>
      <c r="N809" s="215"/>
      <c r="O809" s="29"/>
      <c r="P809" s="309"/>
    </row>
    <row r="810" spans="1:16" x14ac:dyDescent="0.25">
      <c r="A810" s="526"/>
      <c r="B810" s="567"/>
      <c r="C810" s="311" t="s">
        <v>746</v>
      </c>
      <c r="D810" s="211">
        <v>2</v>
      </c>
      <c r="E810" s="211" t="s">
        <v>44</v>
      </c>
      <c r="F810" s="215"/>
      <c r="G810" s="211">
        <v>1E-4</v>
      </c>
      <c r="H810" s="211">
        <v>4</v>
      </c>
      <c r="I810" s="563">
        <f t="shared" si="53"/>
        <v>7.7220000000000011E-2</v>
      </c>
      <c r="J810" s="211">
        <v>6</v>
      </c>
      <c r="K810" s="388">
        <v>454.87</v>
      </c>
      <c r="L810" s="583">
        <f t="shared" si="52"/>
        <v>140.50024560000003</v>
      </c>
      <c r="M810" s="215"/>
      <c r="N810" s="215"/>
      <c r="O810" s="29"/>
      <c r="P810" s="309"/>
    </row>
    <row r="811" spans="1:16" x14ac:dyDescent="0.25">
      <c r="A811" s="526"/>
      <c r="B811" s="567"/>
      <c r="C811" s="311" t="s">
        <v>745</v>
      </c>
      <c r="D811" s="211">
        <v>2</v>
      </c>
      <c r="E811" s="211" t="s">
        <v>43</v>
      </c>
      <c r="F811" s="215"/>
      <c r="G811" s="211">
        <v>3.0000000000000001E-3</v>
      </c>
      <c r="H811" s="211">
        <v>2</v>
      </c>
      <c r="I811" s="563"/>
      <c r="J811" s="211">
        <v>6</v>
      </c>
      <c r="K811" s="388">
        <v>454.87</v>
      </c>
      <c r="L811" s="584"/>
      <c r="M811" s="215"/>
      <c r="N811" s="215"/>
      <c r="O811" s="29"/>
      <c r="P811" s="309"/>
    </row>
    <row r="812" spans="1:16" x14ac:dyDescent="0.25">
      <c r="A812" s="526"/>
      <c r="B812" s="567"/>
      <c r="C812" s="311" t="s">
        <v>745</v>
      </c>
      <c r="D812" s="211">
        <v>2</v>
      </c>
      <c r="E812" s="211" t="s">
        <v>44</v>
      </c>
      <c r="F812" s="215"/>
      <c r="G812" s="211">
        <v>2.9999999999999997E-4</v>
      </c>
      <c r="H812" s="211">
        <v>4</v>
      </c>
      <c r="I812" s="563">
        <f t="shared" si="53"/>
        <v>0.23166</v>
      </c>
      <c r="J812" s="211">
        <v>6</v>
      </c>
      <c r="K812" s="388">
        <v>454.87</v>
      </c>
      <c r="L812" s="583">
        <f t="shared" si="52"/>
        <v>421.50073680000003</v>
      </c>
      <c r="M812" s="215"/>
      <c r="N812" s="215"/>
      <c r="O812" s="29"/>
      <c r="P812" s="309"/>
    </row>
    <row r="813" spans="1:16" ht="13.9" customHeight="1" x14ac:dyDescent="0.25">
      <c r="A813" s="526"/>
      <c r="B813" s="567"/>
      <c r="C813" s="312" t="s">
        <v>777</v>
      </c>
      <c r="D813" s="310">
        <v>9</v>
      </c>
      <c r="E813" s="294" t="s">
        <v>43</v>
      </c>
      <c r="F813" s="215"/>
      <c r="G813" s="294">
        <v>3.0000000000000001E-3</v>
      </c>
      <c r="H813" s="294">
        <v>2</v>
      </c>
      <c r="I813" s="563"/>
      <c r="J813" s="294">
        <v>6</v>
      </c>
      <c r="K813" s="388">
        <v>454.87</v>
      </c>
      <c r="L813" s="584"/>
      <c r="M813" s="215"/>
      <c r="N813" s="215"/>
      <c r="O813" s="29"/>
      <c r="P813" s="309"/>
    </row>
    <row r="814" spans="1:16" ht="13.9" customHeight="1" x14ac:dyDescent="0.25">
      <c r="A814" s="526"/>
      <c r="B814" s="567"/>
      <c r="C814" s="312" t="s">
        <v>777</v>
      </c>
      <c r="D814" s="310">
        <v>9</v>
      </c>
      <c r="E814" s="294" t="s">
        <v>44</v>
      </c>
      <c r="F814" s="215"/>
      <c r="G814" s="294">
        <v>2.9999999999999997E-4</v>
      </c>
      <c r="H814" s="294">
        <v>4</v>
      </c>
      <c r="I814" s="563">
        <f t="shared" si="53"/>
        <v>1.04247</v>
      </c>
      <c r="J814" s="294">
        <v>6</v>
      </c>
      <c r="K814" s="388">
        <v>454.87</v>
      </c>
      <c r="L814" s="583">
        <f t="shared" si="52"/>
        <v>1896.7533156</v>
      </c>
      <c r="M814" s="215"/>
      <c r="N814" s="215"/>
      <c r="O814" s="29"/>
      <c r="P814" s="309"/>
    </row>
    <row r="815" spans="1:16" ht="13.9" customHeight="1" x14ac:dyDescent="0.25">
      <c r="A815" s="526"/>
      <c r="B815" s="567"/>
      <c r="C815" s="312" t="s">
        <v>778</v>
      </c>
      <c r="D815" s="310">
        <v>15</v>
      </c>
      <c r="E815" s="294" t="s">
        <v>43</v>
      </c>
      <c r="F815" s="215"/>
      <c r="G815" s="294">
        <v>3.0000000000000001E-3</v>
      </c>
      <c r="H815" s="294">
        <v>2</v>
      </c>
      <c r="I815" s="563"/>
      <c r="J815" s="294">
        <v>6</v>
      </c>
      <c r="K815" s="388">
        <v>454.87</v>
      </c>
      <c r="L815" s="584"/>
      <c r="M815" s="215"/>
      <c r="N815" s="215"/>
      <c r="O815" s="29"/>
      <c r="P815" s="309"/>
    </row>
    <row r="816" spans="1:16" ht="13.9" customHeight="1" x14ac:dyDescent="0.25">
      <c r="A816" s="526"/>
      <c r="B816" s="567"/>
      <c r="C816" s="312" t="s">
        <v>778</v>
      </c>
      <c r="D816" s="310">
        <v>15</v>
      </c>
      <c r="E816" s="294" t="s">
        <v>44</v>
      </c>
      <c r="F816" s="215"/>
      <c r="G816" s="294">
        <v>2.9999999999999997E-4</v>
      </c>
      <c r="H816" s="294">
        <v>4</v>
      </c>
      <c r="I816" s="563">
        <f t="shared" si="53"/>
        <v>1.7374499999999999</v>
      </c>
      <c r="J816" s="294">
        <v>6</v>
      </c>
      <c r="K816" s="388">
        <v>454.87</v>
      </c>
      <c r="L816" s="583">
        <f t="shared" si="52"/>
        <v>3161.2555259999999</v>
      </c>
      <c r="M816" s="215"/>
      <c r="N816" s="215"/>
      <c r="O816" s="29"/>
      <c r="P816" s="309"/>
    </row>
    <row r="817" spans="1:16" ht="13.9" customHeight="1" x14ac:dyDescent="0.25">
      <c r="A817" s="526"/>
      <c r="B817" s="567"/>
      <c r="C817" s="312" t="s">
        <v>770</v>
      </c>
      <c r="D817" s="310">
        <v>42</v>
      </c>
      <c r="E817" s="294" t="s">
        <v>43</v>
      </c>
      <c r="F817" s="215"/>
      <c r="G817" s="294">
        <v>1E-3</v>
      </c>
      <c r="H817" s="294">
        <v>2</v>
      </c>
      <c r="I817" s="563"/>
      <c r="J817" s="294">
        <v>6</v>
      </c>
      <c r="K817" s="388">
        <v>454.87</v>
      </c>
      <c r="L817" s="584"/>
      <c r="M817" s="215"/>
      <c r="N817" s="215"/>
      <c r="O817" s="29"/>
      <c r="P817" s="309"/>
    </row>
    <row r="818" spans="1:16" ht="13.9" customHeight="1" x14ac:dyDescent="0.25">
      <c r="A818" s="526"/>
      <c r="B818" s="567"/>
      <c r="C818" s="312" t="s">
        <v>770</v>
      </c>
      <c r="D818" s="310">
        <v>42</v>
      </c>
      <c r="E818" s="294" t="s">
        <v>44</v>
      </c>
      <c r="F818" s="215"/>
      <c r="G818" s="294">
        <v>1E-4</v>
      </c>
      <c r="H818" s="294">
        <v>4</v>
      </c>
      <c r="I818" s="563">
        <f t="shared" si="53"/>
        <v>1.6216200000000003</v>
      </c>
      <c r="J818" s="294">
        <v>6</v>
      </c>
      <c r="K818" s="388">
        <v>454.87</v>
      </c>
      <c r="L818" s="583">
        <f t="shared" si="52"/>
        <v>2950.5051576000005</v>
      </c>
      <c r="M818" s="215"/>
      <c r="N818" s="215"/>
      <c r="O818" s="29"/>
      <c r="P818" s="309"/>
    </row>
    <row r="819" spans="1:16" x14ac:dyDescent="0.25">
      <c r="A819" s="526"/>
      <c r="B819" s="567"/>
      <c r="C819" s="31" t="s">
        <v>771</v>
      </c>
      <c r="D819" s="294">
        <v>6</v>
      </c>
      <c r="E819" s="294" t="s">
        <v>43</v>
      </c>
      <c r="F819" s="215"/>
      <c r="G819" s="294">
        <v>1E-3</v>
      </c>
      <c r="H819" s="294">
        <v>2</v>
      </c>
      <c r="I819" s="563"/>
      <c r="J819" s="294">
        <v>6</v>
      </c>
      <c r="K819" s="388">
        <v>454.87</v>
      </c>
      <c r="L819" s="584"/>
      <c r="M819" s="215"/>
      <c r="N819" s="215"/>
      <c r="O819" s="29"/>
      <c r="P819" s="309"/>
    </row>
    <row r="820" spans="1:16" x14ac:dyDescent="0.25">
      <c r="A820" s="526"/>
      <c r="B820" s="567"/>
      <c r="C820" s="31" t="s">
        <v>771</v>
      </c>
      <c r="D820" s="294">
        <v>6</v>
      </c>
      <c r="E820" s="294" t="s">
        <v>44</v>
      </c>
      <c r="F820" s="215"/>
      <c r="G820" s="294">
        <v>1E-4</v>
      </c>
      <c r="H820" s="294">
        <v>4</v>
      </c>
      <c r="I820" s="563">
        <f t="shared" si="53"/>
        <v>0.23166000000000003</v>
      </c>
      <c r="J820" s="294">
        <v>6</v>
      </c>
      <c r="K820" s="388">
        <v>454.87</v>
      </c>
      <c r="L820" s="583">
        <f t="shared" si="52"/>
        <v>421.50073680000008</v>
      </c>
      <c r="M820" s="215"/>
      <c r="N820" s="215"/>
      <c r="O820" s="29"/>
      <c r="P820" s="309"/>
    </row>
    <row r="821" spans="1:16" x14ac:dyDescent="0.25">
      <c r="A821" s="526"/>
      <c r="B821" s="567"/>
      <c r="C821" s="31" t="s">
        <v>779</v>
      </c>
      <c r="D821" s="294">
        <v>13</v>
      </c>
      <c r="E821" s="294" t="s">
        <v>43</v>
      </c>
      <c r="F821" s="215"/>
      <c r="G821" s="294">
        <v>1E-3</v>
      </c>
      <c r="H821" s="294">
        <v>2</v>
      </c>
      <c r="I821" s="563"/>
      <c r="J821" s="294">
        <v>6</v>
      </c>
      <c r="K821" s="388">
        <v>454.87</v>
      </c>
      <c r="L821" s="584"/>
      <c r="M821" s="215"/>
      <c r="N821" s="215"/>
      <c r="O821" s="29"/>
      <c r="P821" s="309"/>
    </row>
    <row r="822" spans="1:16" x14ac:dyDescent="0.25">
      <c r="A822" s="526"/>
      <c r="B822" s="567"/>
      <c r="C822" s="31" t="s">
        <v>779</v>
      </c>
      <c r="D822" s="294">
        <v>13</v>
      </c>
      <c r="E822" s="294" t="s">
        <v>44</v>
      </c>
      <c r="F822" s="215"/>
      <c r="G822" s="294">
        <v>1E-4</v>
      </c>
      <c r="H822" s="294">
        <v>4</v>
      </c>
      <c r="I822" s="563">
        <f t="shared" si="53"/>
        <v>0.5019300000000001</v>
      </c>
      <c r="J822" s="294">
        <v>6</v>
      </c>
      <c r="K822" s="388">
        <v>454.87</v>
      </c>
      <c r="L822" s="583">
        <f t="shared" si="52"/>
        <v>913.25159640000015</v>
      </c>
      <c r="M822" s="215"/>
      <c r="N822" s="215"/>
      <c r="O822" s="29"/>
      <c r="P822" s="309"/>
    </row>
    <row r="823" spans="1:16" x14ac:dyDescent="0.25">
      <c r="A823" s="526"/>
      <c r="B823" s="567"/>
      <c r="C823" s="312" t="s">
        <v>780</v>
      </c>
      <c r="D823" s="294">
        <v>9</v>
      </c>
      <c r="E823" s="294" t="s">
        <v>43</v>
      </c>
      <c r="F823" s="215"/>
      <c r="G823" s="294">
        <v>2E-3</v>
      </c>
      <c r="H823" s="294">
        <v>2</v>
      </c>
      <c r="I823" s="563"/>
      <c r="J823" s="294">
        <v>6</v>
      </c>
      <c r="K823" s="388">
        <v>454.87</v>
      </c>
      <c r="L823" s="584"/>
      <c r="M823" s="215"/>
      <c r="N823" s="215"/>
      <c r="O823" s="29"/>
      <c r="P823" s="309"/>
    </row>
    <row r="824" spans="1:16" x14ac:dyDescent="0.25">
      <c r="A824" s="526"/>
      <c r="B824" s="567"/>
      <c r="C824" s="312" t="s">
        <v>780</v>
      </c>
      <c r="D824" s="294">
        <v>9</v>
      </c>
      <c r="E824" s="294" t="s">
        <v>44</v>
      </c>
      <c r="F824" s="215"/>
      <c r="G824" s="294">
        <v>2.0000000000000001E-4</v>
      </c>
      <c r="H824" s="294">
        <v>4</v>
      </c>
      <c r="I824" s="300">
        <f t="shared" ref="I824" si="54">D824*G824*351*1.1</f>
        <v>0.69498000000000004</v>
      </c>
      <c r="J824" s="294">
        <v>6</v>
      </c>
      <c r="K824" s="388">
        <v>454.87</v>
      </c>
      <c r="L824" s="302">
        <f t="shared" si="52"/>
        <v>1264.5022104000002</v>
      </c>
      <c r="M824" s="215"/>
      <c r="N824" s="215"/>
      <c r="O824" s="29"/>
      <c r="P824" s="309"/>
    </row>
    <row r="825" spans="1:16" ht="13.9" customHeight="1" x14ac:dyDescent="0.25">
      <c r="A825" s="526"/>
      <c r="B825" s="567"/>
      <c r="C825" s="575" t="s">
        <v>773</v>
      </c>
      <c r="D825" s="395">
        <v>9</v>
      </c>
      <c r="E825" s="395" t="s">
        <v>43</v>
      </c>
      <c r="F825" s="386"/>
      <c r="G825" s="395">
        <v>5.0000000000000001E-3</v>
      </c>
      <c r="H825" s="398">
        <v>2</v>
      </c>
      <c r="I825" s="389">
        <f>D825*G825*351*1.1</f>
        <v>17.374500000000001</v>
      </c>
      <c r="J825" s="395">
        <v>6</v>
      </c>
      <c r="K825" s="388">
        <v>454.87</v>
      </c>
      <c r="L825" s="397">
        <f t="shared" si="52"/>
        <v>15806.27763</v>
      </c>
      <c r="M825" s="215"/>
      <c r="N825" s="215"/>
      <c r="O825" s="29"/>
      <c r="P825" s="309"/>
    </row>
    <row r="826" spans="1:16" ht="13.9" customHeight="1" x14ac:dyDescent="0.25">
      <c r="A826" s="526"/>
      <c r="B826" s="567"/>
      <c r="C826" s="576"/>
      <c r="D826" s="395">
        <v>9</v>
      </c>
      <c r="E826" s="395" t="s">
        <v>44</v>
      </c>
      <c r="F826" s="386"/>
      <c r="G826" s="395">
        <v>5.0000000000000001E-4</v>
      </c>
      <c r="H826" s="395">
        <v>4</v>
      </c>
      <c r="I826" s="389">
        <f t="shared" ref="I826:I851" si="55">D826*G826*351*1.1</f>
        <v>1.7374500000000004</v>
      </c>
      <c r="J826" s="395">
        <v>6</v>
      </c>
      <c r="K826" s="388">
        <v>454.87</v>
      </c>
      <c r="L826" s="302">
        <f t="shared" si="52"/>
        <v>3161.2555260000008</v>
      </c>
      <c r="M826" s="215"/>
      <c r="N826" s="215"/>
      <c r="O826" s="29"/>
      <c r="P826" s="309"/>
    </row>
    <row r="827" spans="1:16" ht="13.9" customHeight="1" x14ac:dyDescent="0.25">
      <c r="A827" s="526"/>
      <c r="B827" s="567"/>
      <c r="C827" s="575" t="s">
        <v>774</v>
      </c>
      <c r="D827" s="395">
        <v>4</v>
      </c>
      <c r="E827" s="395" t="s">
        <v>43</v>
      </c>
      <c r="F827" s="386"/>
      <c r="G827" s="395">
        <v>3.0000000000000001E-3</v>
      </c>
      <c r="H827" s="395">
        <v>2</v>
      </c>
      <c r="I827" s="389">
        <f t="shared" si="55"/>
        <v>4.6332000000000004</v>
      </c>
      <c r="J827" s="395">
        <v>6</v>
      </c>
      <c r="K827" s="388">
        <v>454.87</v>
      </c>
      <c r="L827" s="397">
        <f t="shared" si="52"/>
        <v>4215.0073680000005</v>
      </c>
      <c r="M827" s="215"/>
      <c r="N827" s="215"/>
      <c r="O827" s="29"/>
      <c r="P827" s="309"/>
    </row>
    <row r="828" spans="1:16" ht="13.9" customHeight="1" x14ac:dyDescent="0.25">
      <c r="A828" s="526"/>
      <c r="B828" s="567"/>
      <c r="C828" s="576"/>
      <c r="D828" s="294">
        <v>4</v>
      </c>
      <c r="E828" s="294" t="s">
        <v>44</v>
      </c>
      <c r="F828" s="215"/>
      <c r="G828" s="294">
        <v>2.9999999999999997E-4</v>
      </c>
      <c r="H828" s="294">
        <v>4</v>
      </c>
      <c r="I828" s="300">
        <f t="shared" si="55"/>
        <v>0.46332000000000001</v>
      </c>
      <c r="J828" s="294">
        <v>6</v>
      </c>
      <c r="K828" s="388">
        <v>454.87</v>
      </c>
      <c r="L828" s="302">
        <f t="shared" si="52"/>
        <v>843.00147360000005</v>
      </c>
      <c r="M828" s="215"/>
      <c r="N828" s="215"/>
      <c r="O828" s="29"/>
      <c r="P828" s="309"/>
    </row>
    <row r="829" spans="1:16" ht="13.9" customHeight="1" x14ac:dyDescent="0.25">
      <c r="A829" s="526"/>
      <c r="B829" s="567"/>
      <c r="C829" s="31" t="s">
        <v>781</v>
      </c>
      <c r="D829" s="313" t="s">
        <v>16</v>
      </c>
      <c r="E829" s="294" t="s">
        <v>43</v>
      </c>
      <c r="F829" s="215"/>
      <c r="G829" s="211">
        <v>6.0000000000000001E-3</v>
      </c>
      <c r="H829" s="294">
        <v>2</v>
      </c>
      <c r="I829" s="300">
        <f t="shared" si="55"/>
        <v>4.6332000000000004</v>
      </c>
      <c r="J829" s="211">
        <v>6</v>
      </c>
      <c r="K829" s="388">
        <v>454.87</v>
      </c>
      <c r="L829" s="302">
        <f t="shared" si="52"/>
        <v>4215.0073680000005</v>
      </c>
      <c r="M829" s="215"/>
      <c r="N829" s="215"/>
      <c r="O829" s="29"/>
      <c r="P829" s="309"/>
    </row>
    <row r="830" spans="1:16" ht="13.9" customHeight="1" x14ac:dyDescent="0.25">
      <c r="A830" s="526"/>
      <c r="B830" s="567"/>
      <c r="C830" s="31" t="s">
        <v>781</v>
      </c>
      <c r="D830" s="310">
        <v>2</v>
      </c>
      <c r="E830" s="294" t="s">
        <v>44</v>
      </c>
      <c r="F830" s="215"/>
      <c r="G830" s="211">
        <v>5.9999999999999995E-4</v>
      </c>
      <c r="H830" s="294">
        <v>4</v>
      </c>
      <c r="I830" s="300">
        <f t="shared" si="55"/>
        <v>0.46332000000000001</v>
      </c>
      <c r="J830" s="211">
        <v>6</v>
      </c>
      <c r="K830" s="388">
        <v>454.87</v>
      </c>
      <c r="L830" s="302">
        <f t="shared" si="52"/>
        <v>843.00147360000005</v>
      </c>
      <c r="M830" s="215"/>
      <c r="N830" s="215"/>
      <c r="O830" s="29"/>
      <c r="P830" s="309"/>
    </row>
    <row r="831" spans="1:16" ht="13.9" customHeight="1" x14ac:dyDescent="0.25">
      <c r="A831" s="526">
        <v>10</v>
      </c>
      <c r="B831" s="567" t="s">
        <v>1035</v>
      </c>
      <c r="C831" s="383" t="s">
        <v>766</v>
      </c>
      <c r="D831" s="394">
        <v>2</v>
      </c>
      <c r="E831" s="395" t="s">
        <v>43</v>
      </c>
      <c r="F831" s="386"/>
      <c r="G831" s="395">
        <v>3.0000000000000001E-3</v>
      </c>
      <c r="H831" s="395">
        <v>2</v>
      </c>
      <c r="I831" s="389">
        <f t="shared" si="55"/>
        <v>2.3166000000000002</v>
      </c>
      <c r="J831" s="395">
        <v>6</v>
      </c>
      <c r="K831" s="388">
        <v>454.87</v>
      </c>
      <c r="L831" s="302">
        <f t="shared" si="52"/>
        <v>2107.5036840000002</v>
      </c>
      <c r="M831" s="215"/>
      <c r="N831" s="215"/>
      <c r="O831" s="29"/>
      <c r="P831" s="309"/>
    </row>
    <row r="832" spans="1:16" ht="13.9" customHeight="1" x14ac:dyDescent="0.25">
      <c r="A832" s="526"/>
      <c r="B832" s="567"/>
      <c r="C832" s="36" t="s">
        <v>766</v>
      </c>
      <c r="D832" s="310">
        <v>2</v>
      </c>
      <c r="E832" s="294" t="s">
        <v>44</v>
      </c>
      <c r="F832" s="215"/>
      <c r="G832" s="294">
        <v>2.9999999999999997E-4</v>
      </c>
      <c r="H832" s="294">
        <v>4</v>
      </c>
      <c r="I832" s="300">
        <f t="shared" si="55"/>
        <v>0.23166</v>
      </c>
      <c r="J832" s="211">
        <v>6</v>
      </c>
      <c r="K832" s="388">
        <v>454.87</v>
      </c>
      <c r="L832" s="302">
        <f t="shared" si="52"/>
        <v>421.50073680000003</v>
      </c>
      <c r="M832" s="215"/>
      <c r="N832" s="215"/>
      <c r="O832" s="29"/>
      <c r="P832" s="309"/>
    </row>
    <row r="833" spans="1:16" ht="13.9" customHeight="1" x14ac:dyDescent="0.25">
      <c r="A833" s="526"/>
      <c r="B833" s="567"/>
      <c r="C833" s="36" t="s">
        <v>767</v>
      </c>
      <c r="D833" s="310">
        <v>2</v>
      </c>
      <c r="E833" s="294" t="s">
        <v>43</v>
      </c>
      <c r="F833" s="215"/>
      <c r="G833" s="294">
        <v>1E-3</v>
      </c>
      <c r="H833" s="294">
        <v>2</v>
      </c>
      <c r="I833" s="300">
        <f t="shared" si="55"/>
        <v>0.77220000000000011</v>
      </c>
      <c r="J833" s="211">
        <v>6</v>
      </c>
      <c r="K833" s="388">
        <v>454.87</v>
      </c>
      <c r="L833" s="302">
        <f t="shared" si="52"/>
        <v>702.50122800000008</v>
      </c>
      <c r="M833" s="215"/>
      <c r="N833" s="215"/>
      <c r="O833" s="29"/>
      <c r="P833" s="309"/>
    </row>
    <row r="834" spans="1:16" ht="13.9" customHeight="1" x14ac:dyDescent="0.25">
      <c r="A834" s="526"/>
      <c r="B834" s="567"/>
      <c r="C834" s="36" t="s">
        <v>767</v>
      </c>
      <c r="D834" s="310">
        <v>2</v>
      </c>
      <c r="E834" s="294" t="s">
        <v>44</v>
      </c>
      <c r="F834" s="215"/>
      <c r="G834" s="294">
        <v>1E-4</v>
      </c>
      <c r="H834" s="294">
        <v>4</v>
      </c>
      <c r="I834" s="300">
        <f t="shared" si="55"/>
        <v>7.7220000000000011E-2</v>
      </c>
      <c r="J834" s="211">
        <v>6</v>
      </c>
      <c r="K834" s="388">
        <v>454.87</v>
      </c>
      <c r="L834" s="302">
        <f t="shared" si="52"/>
        <v>140.50024560000003</v>
      </c>
      <c r="M834" s="215"/>
      <c r="N834" s="215"/>
      <c r="O834" s="29"/>
      <c r="P834" s="309"/>
    </row>
    <row r="835" spans="1:16" ht="13.9" customHeight="1" x14ac:dyDescent="0.25">
      <c r="A835" s="526"/>
      <c r="B835" s="567"/>
      <c r="C835" s="36" t="s">
        <v>768</v>
      </c>
      <c r="D835" s="211">
        <v>2</v>
      </c>
      <c r="E835" s="294" t="s">
        <v>43</v>
      </c>
      <c r="F835" s="215"/>
      <c r="G835" s="294">
        <v>1E-3</v>
      </c>
      <c r="H835" s="294">
        <v>2</v>
      </c>
      <c r="I835" s="300">
        <f t="shared" si="55"/>
        <v>0.77220000000000011</v>
      </c>
      <c r="J835" s="211">
        <v>6</v>
      </c>
      <c r="K835" s="388">
        <v>454.87</v>
      </c>
      <c r="L835" s="302">
        <f t="shared" si="52"/>
        <v>702.50122800000008</v>
      </c>
      <c r="M835" s="215"/>
      <c r="N835" s="215"/>
      <c r="O835" s="29"/>
      <c r="P835" s="309"/>
    </row>
    <row r="836" spans="1:16" ht="13.9" customHeight="1" x14ac:dyDescent="0.25">
      <c r="A836" s="526"/>
      <c r="B836" s="567"/>
      <c r="C836" s="36" t="s">
        <v>768</v>
      </c>
      <c r="D836" s="211">
        <v>2</v>
      </c>
      <c r="E836" s="294" t="s">
        <v>44</v>
      </c>
      <c r="F836" s="215"/>
      <c r="G836" s="294">
        <v>1E-4</v>
      </c>
      <c r="H836" s="294">
        <v>4</v>
      </c>
      <c r="I836" s="300">
        <f t="shared" si="55"/>
        <v>7.7220000000000011E-2</v>
      </c>
      <c r="J836" s="211">
        <v>6</v>
      </c>
      <c r="K836" s="388">
        <v>454.87</v>
      </c>
      <c r="L836" s="302">
        <f t="shared" si="52"/>
        <v>140.50024560000003</v>
      </c>
      <c r="M836" s="215"/>
      <c r="N836" s="215"/>
      <c r="O836" s="29"/>
      <c r="P836" s="309"/>
    </row>
    <row r="837" spans="1:16" ht="13.9" customHeight="1" x14ac:dyDescent="0.25">
      <c r="A837" s="526"/>
      <c r="B837" s="567"/>
      <c r="C837" s="304" t="s">
        <v>114</v>
      </c>
      <c r="D837" s="211">
        <v>2</v>
      </c>
      <c r="E837" s="294" t="s">
        <v>43</v>
      </c>
      <c r="F837" s="215"/>
      <c r="G837" s="211">
        <v>6.0000000000000001E-3</v>
      </c>
      <c r="H837" s="294">
        <v>2</v>
      </c>
      <c r="I837" s="300">
        <f t="shared" si="55"/>
        <v>4.6332000000000004</v>
      </c>
      <c r="J837" s="211">
        <v>6</v>
      </c>
      <c r="K837" s="388">
        <v>454.87</v>
      </c>
      <c r="L837" s="302">
        <f t="shared" si="52"/>
        <v>4215.0073680000005</v>
      </c>
      <c r="M837" s="215"/>
      <c r="N837" s="215"/>
      <c r="O837" s="29"/>
      <c r="P837" s="309"/>
    </row>
    <row r="838" spans="1:16" ht="13.9" customHeight="1" x14ac:dyDescent="0.25">
      <c r="A838" s="526"/>
      <c r="B838" s="567"/>
      <c r="C838" s="304" t="s">
        <v>114</v>
      </c>
      <c r="D838" s="211">
        <v>2</v>
      </c>
      <c r="E838" s="294" t="s">
        <v>44</v>
      </c>
      <c r="F838" s="215"/>
      <c r="G838" s="211">
        <v>5.9999999999999995E-4</v>
      </c>
      <c r="H838" s="294">
        <v>4</v>
      </c>
      <c r="I838" s="300">
        <f t="shared" si="55"/>
        <v>0.46332000000000001</v>
      </c>
      <c r="J838" s="211">
        <v>6</v>
      </c>
      <c r="K838" s="388">
        <v>454.87</v>
      </c>
      <c r="L838" s="302">
        <f t="shared" si="52"/>
        <v>843.00147360000005</v>
      </c>
      <c r="M838" s="215"/>
      <c r="N838" s="215"/>
      <c r="O838" s="29"/>
      <c r="P838" s="309"/>
    </row>
    <row r="839" spans="1:16" ht="13.9" customHeight="1" x14ac:dyDescent="0.25">
      <c r="A839" s="526"/>
      <c r="B839" s="567"/>
      <c r="C839" s="311" t="s">
        <v>746</v>
      </c>
      <c r="D839" s="211">
        <v>2</v>
      </c>
      <c r="E839" s="211" t="s">
        <v>43</v>
      </c>
      <c r="F839" s="215"/>
      <c r="G839" s="211">
        <v>1E-3</v>
      </c>
      <c r="H839" s="211">
        <v>2</v>
      </c>
      <c r="I839" s="300">
        <f t="shared" si="55"/>
        <v>0.77220000000000011</v>
      </c>
      <c r="J839" s="211">
        <v>6</v>
      </c>
      <c r="K839" s="388">
        <v>454.87</v>
      </c>
      <c r="L839" s="302">
        <f t="shared" si="52"/>
        <v>702.50122800000008</v>
      </c>
      <c r="M839" s="215"/>
      <c r="N839" s="215"/>
      <c r="O839" s="29"/>
      <c r="P839" s="309"/>
    </row>
    <row r="840" spans="1:16" ht="13.9" customHeight="1" x14ac:dyDescent="0.25">
      <c r="A840" s="526"/>
      <c r="B840" s="567"/>
      <c r="C840" s="311" t="s">
        <v>746</v>
      </c>
      <c r="D840" s="211">
        <v>2</v>
      </c>
      <c r="E840" s="211" t="s">
        <v>44</v>
      </c>
      <c r="F840" s="215"/>
      <c r="G840" s="211">
        <v>1E-4</v>
      </c>
      <c r="H840" s="211">
        <v>4</v>
      </c>
      <c r="I840" s="300">
        <f t="shared" si="55"/>
        <v>7.7220000000000011E-2</v>
      </c>
      <c r="J840" s="211">
        <v>6</v>
      </c>
      <c r="K840" s="388">
        <v>454.87</v>
      </c>
      <c r="L840" s="302">
        <f t="shared" si="52"/>
        <v>140.50024560000003</v>
      </c>
      <c r="M840" s="215"/>
      <c r="N840" s="215"/>
      <c r="O840" s="29"/>
      <c r="P840" s="309"/>
    </row>
    <row r="841" spans="1:16" ht="13.9" customHeight="1" x14ac:dyDescent="0.25">
      <c r="A841" s="526"/>
      <c r="B841" s="567"/>
      <c r="C841" s="311" t="s">
        <v>745</v>
      </c>
      <c r="D841" s="211">
        <v>2</v>
      </c>
      <c r="E841" s="211" t="s">
        <v>43</v>
      </c>
      <c r="F841" s="215"/>
      <c r="G841" s="211">
        <v>3.0000000000000001E-3</v>
      </c>
      <c r="H841" s="211">
        <v>2</v>
      </c>
      <c r="I841" s="300">
        <f t="shared" si="55"/>
        <v>2.3166000000000002</v>
      </c>
      <c r="J841" s="211">
        <v>6</v>
      </c>
      <c r="K841" s="388">
        <v>454.87</v>
      </c>
      <c r="L841" s="302">
        <f t="shared" si="52"/>
        <v>2107.5036840000002</v>
      </c>
      <c r="M841" s="215"/>
      <c r="N841" s="215"/>
      <c r="O841" s="29"/>
      <c r="P841" s="309"/>
    </row>
    <row r="842" spans="1:16" ht="13.9" customHeight="1" x14ac:dyDescent="0.25">
      <c r="A842" s="526"/>
      <c r="B842" s="567"/>
      <c r="C842" s="311" t="s">
        <v>745</v>
      </c>
      <c r="D842" s="211">
        <v>2</v>
      </c>
      <c r="E842" s="211" t="s">
        <v>44</v>
      </c>
      <c r="F842" s="215"/>
      <c r="G842" s="211">
        <v>2.9999999999999997E-4</v>
      </c>
      <c r="H842" s="211">
        <v>4</v>
      </c>
      <c r="I842" s="300">
        <f t="shared" si="55"/>
        <v>0.23166</v>
      </c>
      <c r="J842" s="211">
        <v>6</v>
      </c>
      <c r="K842" s="388">
        <v>454.87</v>
      </c>
      <c r="L842" s="302">
        <f t="shared" ref="L842:L854" si="56">H842*I842*K842</f>
        <v>421.50073680000003</v>
      </c>
      <c r="M842" s="215"/>
      <c r="N842" s="215"/>
      <c r="O842" s="29"/>
      <c r="P842" s="309"/>
    </row>
    <row r="843" spans="1:16" ht="13.9" customHeight="1" x14ac:dyDescent="0.25">
      <c r="A843" s="526"/>
      <c r="B843" s="567"/>
      <c r="C843" s="312" t="s">
        <v>769</v>
      </c>
      <c r="D843" s="310">
        <v>4</v>
      </c>
      <c r="E843" s="294" t="s">
        <v>43</v>
      </c>
      <c r="F843" s="215"/>
      <c r="G843" s="294">
        <v>3.0000000000000001E-3</v>
      </c>
      <c r="H843" s="294">
        <v>2</v>
      </c>
      <c r="I843" s="300">
        <f t="shared" si="55"/>
        <v>4.6332000000000004</v>
      </c>
      <c r="J843" s="294">
        <v>6</v>
      </c>
      <c r="K843" s="388">
        <v>454.87</v>
      </c>
      <c r="L843" s="302">
        <f t="shared" si="56"/>
        <v>4215.0073680000005</v>
      </c>
      <c r="M843" s="215"/>
      <c r="N843" s="215"/>
      <c r="O843" s="29"/>
      <c r="P843" s="309"/>
    </row>
    <row r="844" spans="1:16" ht="13.9" customHeight="1" x14ac:dyDescent="0.25">
      <c r="A844" s="526"/>
      <c r="B844" s="567"/>
      <c r="C844" s="312" t="s">
        <v>769</v>
      </c>
      <c r="D844" s="310">
        <v>4</v>
      </c>
      <c r="E844" s="294" t="s">
        <v>44</v>
      </c>
      <c r="F844" s="215"/>
      <c r="G844" s="294">
        <v>2.9999999999999997E-4</v>
      </c>
      <c r="H844" s="294">
        <v>4</v>
      </c>
      <c r="I844" s="300">
        <f t="shared" si="55"/>
        <v>0.46332000000000001</v>
      </c>
      <c r="J844" s="294">
        <v>6</v>
      </c>
      <c r="K844" s="388">
        <v>454.87</v>
      </c>
      <c r="L844" s="302">
        <f t="shared" si="56"/>
        <v>843.00147360000005</v>
      </c>
      <c r="M844" s="215"/>
      <c r="N844" s="215"/>
      <c r="O844" s="29"/>
      <c r="P844" s="309"/>
    </row>
    <row r="845" spans="1:16" ht="13.9" customHeight="1" x14ac:dyDescent="0.25">
      <c r="A845" s="526"/>
      <c r="B845" s="567"/>
      <c r="C845" s="312" t="s">
        <v>770</v>
      </c>
      <c r="D845" s="310">
        <v>26</v>
      </c>
      <c r="E845" s="294" t="s">
        <v>43</v>
      </c>
      <c r="F845" s="215"/>
      <c r="G845" s="294">
        <v>1E-3</v>
      </c>
      <c r="H845" s="294">
        <v>2</v>
      </c>
      <c r="I845" s="300">
        <f t="shared" si="55"/>
        <v>10.038600000000002</v>
      </c>
      <c r="J845" s="294">
        <v>6</v>
      </c>
      <c r="K845" s="388">
        <v>454.87</v>
      </c>
      <c r="L845" s="302">
        <f t="shared" si="56"/>
        <v>9132.515964000002</v>
      </c>
      <c r="M845" s="215"/>
      <c r="N845" s="215"/>
      <c r="O845" s="29"/>
      <c r="P845" s="309"/>
    </row>
    <row r="846" spans="1:16" ht="13.9" customHeight="1" x14ac:dyDescent="0.25">
      <c r="A846" s="526"/>
      <c r="B846" s="567"/>
      <c r="C846" s="312" t="s">
        <v>770</v>
      </c>
      <c r="D846" s="310">
        <v>26</v>
      </c>
      <c r="E846" s="294" t="s">
        <v>44</v>
      </c>
      <c r="F846" s="215"/>
      <c r="G846" s="294">
        <v>1E-4</v>
      </c>
      <c r="H846" s="294">
        <v>4</v>
      </c>
      <c r="I846" s="300">
        <f t="shared" si="55"/>
        <v>1.0038600000000002</v>
      </c>
      <c r="J846" s="294">
        <v>6</v>
      </c>
      <c r="K846" s="388">
        <v>454.87</v>
      </c>
      <c r="L846" s="302">
        <f t="shared" si="56"/>
        <v>1826.5031928000003</v>
      </c>
      <c r="M846" s="215"/>
      <c r="N846" s="215"/>
      <c r="O846" s="29"/>
      <c r="P846" s="309"/>
    </row>
    <row r="847" spans="1:16" ht="13.9" customHeight="1" x14ac:dyDescent="0.25">
      <c r="A847" s="526"/>
      <c r="B847" s="567"/>
      <c r="C847" s="31" t="s">
        <v>771</v>
      </c>
      <c r="D847" s="211">
        <v>2</v>
      </c>
      <c r="E847" s="294" t="s">
        <v>43</v>
      </c>
      <c r="F847" s="215"/>
      <c r="G847" s="294">
        <v>1E-3</v>
      </c>
      <c r="H847" s="294">
        <v>2</v>
      </c>
      <c r="I847" s="300">
        <f t="shared" si="55"/>
        <v>0.77220000000000011</v>
      </c>
      <c r="J847" s="294">
        <v>6</v>
      </c>
      <c r="K847" s="388">
        <v>454.87</v>
      </c>
      <c r="L847" s="302">
        <f t="shared" si="56"/>
        <v>702.50122800000008</v>
      </c>
      <c r="M847" s="215"/>
      <c r="N847" s="215"/>
      <c r="O847" s="29"/>
      <c r="P847" s="309"/>
    </row>
    <row r="848" spans="1:16" ht="13.9" customHeight="1" x14ac:dyDescent="0.25">
      <c r="A848" s="526"/>
      <c r="B848" s="567"/>
      <c r="C848" s="31" t="s">
        <v>771</v>
      </c>
      <c r="D848" s="211">
        <v>2</v>
      </c>
      <c r="E848" s="294" t="s">
        <v>44</v>
      </c>
      <c r="F848" s="215"/>
      <c r="G848" s="294">
        <v>1E-4</v>
      </c>
      <c r="H848" s="294">
        <v>4</v>
      </c>
      <c r="I848" s="300">
        <f t="shared" si="55"/>
        <v>7.7220000000000011E-2</v>
      </c>
      <c r="J848" s="294">
        <v>6</v>
      </c>
      <c r="K848" s="388">
        <v>454.87</v>
      </c>
      <c r="L848" s="302">
        <f t="shared" si="56"/>
        <v>140.50024560000003</v>
      </c>
      <c r="M848" s="215"/>
      <c r="N848" s="215"/>
      <c r="O848" s="29"/>
      <c r="P848" s="309"/>
    </row>
    <row r="849" spans="1:16" ht="13.9" customHeight="1" x14ac:dyDescent="0.25">
      <c r="A849" s="526"/>
      <c r="B849" s="567"/>
      <c r="C849" s="31" t="s">
        <v>772</v>
      </c>
      <c r="D849" s="294">
        <v>1</v>
      </c>
      <c r="E849" s="294" t="s">
        <v>43</v>
      </c>
      <c r="F849" s="215"/>
      <c r="G849" s="294">
        <v>1E-3</v>
      </c>
      <c r="H849" s="294">
        <v>2</v>
      </c>
      <c r="I849" s="300">
        <f t="shared" si="55"/>
        <v>0.38610000000000005</v>
      </c>
      <c r="J849" s="294">
        <v>6</v>
      </c>
      <c r="K849" s="388">
        <v>454.87</v>
      </c>
      <c r="L849" s="302">
        <f t="shared" si="56"/>
        <v>351.25061400000004</v>
      </c>
      <c r="M849" s="215"/>
      <c r="N849" s="215"/>
      <c r="O849" s="29"/>
      <c r="P849" s="309"/>
    </row>
    <row r="850" spans="1:16" ht="13.9" customHeight="1" x14ac:dyDescent="0.25">
      <c r="A850" s="526"/>
      <c r="B850" s="567"/>
      <c r="C850" s="31" t="s">
        <v>772</v>
      </c>
      <c r="D850" s="294">
        <v>1</v>
      </c>
      <c r="E850" s="294" t="s">
        <v>44</v>
      </c>
      <c r="F850" s="215"/>
      <c r="G850" s="294">
        <v>1E-4</v>
      </c>
      <c r="H850" s="294">
        <v>4</v>
      </c>
      <c r="I850" s="300">
        <f t="shared" si="55"/>
        <v>3.8610000000000005E-2</v>
      </c>
      <c r="J850" s="294">
        <v>6</v>
      </c>
      <c r="K850" s="388">
        <v>454.87</v>
      </c>
      <c r="L850" s="302">
        <f t="shared" si="56"/>
        <v>70.250122800000014</v>
      </c>
      <c r="M850" s="215"/>
      <c r="N850" s="215"/>
      <c r="O850" s="29"/>
      <c r="P850" s="309"/>
    </row>
    <row r="851" spans="1:16" ht="13.9" customHeight="1" x14ac:dyDescent="0.25">
      <c r="A851" s="526"/>
      <c r="B851" s="567"/>
      <c r="C851" s="575" t="s">
        <v>773</v>
      </c>
      <c r="D851" s="395">
        <v>1</v>
      </c>
      <c r="E851" s="395" t="s">
        <v>43</v>
      </c>
      <c r="F851" s="386"/>
      <c r="G851" s="395">
        <v>5.0000000000000001E-3</v>
      </c>
      <c r="H851" s="398">
        <v>2</v>
      </c>
      <c r="I851" s="389">
        <f t="shared" si="55"/>
        <v>1.9305000000000003</v>
      </c>
      <c r="J851" s="395">
        <v>6</v>
      </c>
      <c r="K851" s="388">
        <v>454.87</v>
      </c>
      <c r="L851" s="397">
        <f t="shared" si="56"/>
        <v>1756.2530700000002</v>
      </c>
      <c r="M851" s="215"/>
      <c r="N851" s="215"/>
      <c r="O851" s="29"/>
      <c r="P851" s="309"/>
    </row>
    <row r="852" spans="1:16" ht="13.9" customHeight="1" x14ac:dyDescent="0.25">
      <c r="A852" s="526"/>
      <c r="B852" s="567"/>
      <c r="C852" s="576"/>
      <c r="D852" s="294">
        <v>1</v>
      </c>
      <c r="E852" s="294" t="s">
        <v>44</v>
      </c>
      <c r="F852" s="215"/>
      <c r="G852" s="294">
        <v>5.0000000000000001E-4</v>
      </c>
      <c r="H852" s="294">
        <v>4</v>
      </c>
      <c r="I852" s="300">
        <f t="shared" ref="I852:I853" si="57">D852*G852*351*1.1</f>
        <v>0.19305000000000003</v>
      </c>
      <c r="J852" s="294">
        <v>6</v>
      </c>
      <c r="K852" s="388">
        <v>454.87</v>
      </c>
      <c r="L852" s="302">
        <f>H852*I852*K852</f>
        <v>351.25061400000004</v>
      </c>
      <c r="M852" s="215"/>
      <c r="N852" s="215"/>
      <c r="O852" s="29"/>
      <c r="P852" s="309"/>
    </row>
    <row r="853" spans="1:16" ht="13.9" customHeight="1" x14ac:dyDescent="0.25">
      <c r="A853" s="526"/>
      <c r="B853" s="567"/>
      <c r="C853" s="575" t="s">
        <v>774</v>
      </c>
      <c r="D853" s="395">
        <v>2</v>
      </c>
      <c r="E853" s="395" t="s">
        <v>43</v>
      </c>
      <c r="F853" s="386"/>
      <c r="G853" s="395">
        <v>3.0000000000000001E-3</v>
      </c>
      <c r="H853" s="395">
        <v>2</v>
      </c>
      <c r="I853" s="389">
        <f t="shared" si="57"/>
        <v>2.3166000000000002</v>
      </c>
      <c r="J853" s="395">
        <v>6</v>
      </c>
      <c r="K853" s="388">
        <v>454.87</v>
      </c>
      <c r="L853" s="397">
        <f>H853*I853*K853</f>
        <v>2107.5036840000002</v>
      </c>
      <c r="M853" s="215"/>
      <c r="N853" s="215"/>
      <c r="O853" s="29"/>
      <c r="P853" s="309"/>
    </row>
    <row r="854" spans="1:16" ht="13.9" customHeight="1" x14ac:dyDescent="0.25">
      <c r="A854" s="526"/>
      <c r="B854" s="567"/>
      <c r="C854" s="576"/>
      <c r="D854" s="294">
        <v>2</v>
      </c>
      <c r="E854" s="294" t="s">
        <v>44</v>
      </c>
      <c r="F854" s="215"/>
      <c r="G854" s="294">
        <v>2.9999999999999997E-4</v>
      </c>
      <c r="H854" s="294">
        <v>4</v>
      </c>
      <c r="I854" s="300"/>
      <c r="J854" s="294">
        <v>6</v>
      </c>
      <c r="K854" s="388">
        <v>454.87</v>
      </c>
      <c r="L854" s="323">
        <f t="shared" si="56"/>
        <v>0</v>
      </c>
      <c r="M854" s="215"/>
      <c r="N854" s="215"/>
      <c r="O854" s="29"/>
      <c r="P854" s="309"/>
    </row>
    <row r="855" spans="1:16" ht="14.45" customHeight="1" x14ac:dyDescent="0.25">
      <c r="A855" s="215"/>
      <c r="B855" s="303"/>
      <c r="C855" s="314"/>
      <c r="D855" s="307"/>
      <c r="E855" s="215"/>
      <c r="F855" s="215"/>
      <c r="G855" s="215"/>
      <c r="H855" s="315"/>
      <c r="I855" s="300"/>
      <c r="J855" s="215"/>
      <c r="K855" s="230"/>
      <c r="L855" s="302"/>
      <c r="M855" s="215"/>
      <c r="N855" s="215"/>
      <c r="O855" s="29"/>
      <c r="P855" s="309">
        <f t="shared" si="45"/>
        <v>0</v>
      </c>
    </row>
    <row r="856" spans="1:16" s="320" customFormat="1" ht="26.25" customHeight="1" x14ac:dyDescent="0.25">
      <c r="A856" s="257"/>
      <c r="B856" s="579" t="s">
        <v>915</v>
      </c>
      <c r="C856" s="579"/>
      <c r="D856" s="579"/>
      <c r="E856" s="579"/>
      <c r="F856" s="579"/>
      <c r="G856" s="579"/>
      <c r="H856" s="579"/>
      <c r="I856" s="579"/>
      <c r="J856" s="579"/>
      <c r="K856" s="579"/>
      <c r="L856" s="259">
        <f>SUM(L5:L855)</f>
        <v>1147975.8027072255</v>
      </c>
      <c r="M856" s="586"/>
      <c r="N856" s="587"/>
      <c r="O856" s="588"/>
      <c r="P856" s="324">
        <f>SUM(P5:P855)</f>
        <v>44536.679999999986</v>
      </c>
    </row>
    <row r="857" spans="1:16" s="320" customFormat="1" ht="26.25" customHeight="1" x14ac:dyDescent="0.25">
      <c r="A857" s="580" t="s">
        <v>916</v>
      </c>
      <c r="B857" s="581"/>
      <c r="C857" s="581"/>
      <c r="D857" s="581"/>
      <c r="E857" s="581"/>
      <c r="F857" s="581"/>
      <c r="G857" s="581"/>
      <c r="H857" s="581"/>
      <c r="I857" s="581"/>
      <c r="J857" s="581"/>
      <c r="K857" s="581"/>
      <c r="L857" s="581"/>
      <c r="M857" s="581"/>
      <c r="N857" s="581"/>
      <c r="O857" s="582"/>
      <c r="P857" s="325">
        <f>L856+P856</f>
        <v>1192512.4827072255</v>
      </c>
    </row>
    <row r="858" spans="1:16" ht="13.9" customHeight="1" x14ac:dyDescent="0.25">
      <c r="B858" s="316"/>
      <c r="C858" s="316"/>
      <c r="D858" s="316"/>
      <c r="E858" s="316"/>
      <c r="I858" s="317"/>
      <c r="L858" s="318"/>
    </row>
    <row r="859" spans="1:16" ht="13.9" customHeight="1" x14ac:dyDescent="0.25">
      <c r="B859" s="316"/>
      <c r="C859" s="316"/>
      <c r="D859" s="316"/>
      <c r="E859" s="316"/>
      <c r="I859" s="317"/>
      <c r="L859" s="318"/>
    </row>
    <row r="860" spans="1:16" ht="33" customHeight="1" x14ac:dyDescent="0.25">
      <c r="A860" s="250" t="s">
        <v>278</v>
      </c>
      <c r="B860" s="473" t="s">
        <v>920</v>
      </c>
      <c r="C860" s="473"/>
      <c r="D860" s="473"/>
      <c r="E860" s="473"/>
      <c r="F860" s="473"/>
      <c r="G860" s="473"/>
      <c r="H860" s="473"/>
      <c r="I860" s="473"/>
      <c r="L860" s="318"/>
    </row>
    <row r="861" spans="1:16" ht="13.9" customHeight="1" x14ac:dyDescent="0.25">
      <c r="A861" s="24" t="s">
        <v>278</v>
      </c>
      <c r="B861" s="20" t="s">
        <v>279</v>
      </c>
      <c r="C861" s="15"/>
      <c r="D861" s="24"/>
      <c r="E861" s="24"/>
      <c r="L861" s="319"/>
    </row>
    <row r="862" spans="1:16" ht="13.9" customHeight="1" x14ac:dyDescent="0.25">
      <c r="L862" s="318"/>
    </row>
    <row r="863" spans="1:16" ht="13.9" customHeight="1" x14ac:dyDescent="0.25"/>
  </sheetData>
  <mergeCells count="170">
    <mergeCell ref="B860:I860"/>
    <mergeCell ref="L550:L559"/>
    <mergeCell ref="L539:L548"/>
    <mergeCell ref="L426:L435"/>
    <mergeCell ref="L315:L320"/>
    <mergeCell ref="L224:L233"/>
    <mergeCell ref="L217:L222"/>
    <mergeCell ref="L132:L141"/>
    <mergeCell ref="I802:I803"/>
    <mergeCell ref="I804:I805"/>
    <mergeCell ref="I806:I807"/>
    <mergeCell ref="I808:I809"/>
    <mergeCell ref="I810:I811"/>
    <mergeCell ref="I812:I813"/>
    <mergeCell ref="B176:B256"/>
    <mergeCell ref="C217:C222"/>
    <mergeCell ref="D217:D222"/>
    <mergeCell ref="E217:E222"/>
    <mergeCell ref="G217:G222"/>
    <mergeCell ref="I217:I222"/>
    <mergeCell ref="C224:C233"/>
    <mergeCell ref="D224:D233"/>
    <mergeCell ref="E224:E233"/>
    <mergeCell ref="G224:G233"/>
    <mergeCell ref="M3:P3"/>
    <mergeCell ref="I3:L3"/>
    <mergeCell ref="B856:K856"/>
    <mergeCell ref="A857:O857"/>
    <mergeCell ref="L822:L823"/>
    <mergeCell ref="L820:L821"/>
    <mergeCell ref="L818:L819"/>
    <mergeCell ref="L816:L817"/>
    <mergeCell ref="L814:L815"/>
    <mergeCell ref="L812:L813"/>
    <mergeCell ref="L810:L811"/>
    <mergeCell ref="L808:L809"/>
    <mergeCell ref="L806:L807"/>
    <mergeCell ref="L804:L805"/>
    <mergeCell ref="L802:L803"/>
    <mergeCell ref="L121:L130"/>
    <mergeCell ref="L5:L6"/>
    <mergeCell ref="L7:L8"/>
    <mergeCell ref="L9:L10"/>
    <mergeCell ref="L776:L777"/>
    <mergeCell ref="L687:L696"/>
    <mergeCell ref="J776:J777"/>
    <mergeCell ref="G132:G141"/>
    <mergeCell ref="M856:O856"/>
    <mergeCell ref="A3:A4"/>
    <mergeCell ref="B3:B4"/>
    <mergeCell ref="C3:C4"/>
    <mergeCell ref="D3:D4"/>
    <mergeCell ref="E3:E4"/>
    <mergeCell ref="B5:B175"/>
    <mergeCell ref="C5:C6"/>
    <mergeCell ref="D5:D6"/>
    <mergeCell ref="C7:C8"/>
    <mergeCell ref="D7:D8"/>
    <mergeCell ref="C9:C10"/>
    <mergeCell ref="D9:D10"/>
    <mergeCell ref="C11:C12"/>
    <mergeCell ref="C13:C14"/>
    <mergeCell ref="C15:C16"/>
    <mergeCell ref="C132:C141"/>
    <mergeCell ref="D132:D141"/>
    <mergeCell ref="A5:A175"/>
    <mergeCell ref="G3:G4"/>
    <mergeCell ref="H3:H4"/>
    <mergeCell ref="E121:E130"/>
    <mergeCell ref="G121:G130"/>
    <mergeCell ref="I121:I130"/>
    <mergeCell ref="J121:J130"/>
    <mergeCell ref="K121:K130"/>
    <mergeCell ref="F3:F4"/>
    <mergeCell ref="C121:C130"/>
    <mergeCell ref="D121:D130"/>
    <mergeCell ref="H121:H130"/>
    <mergeCell ref="C851:C852"/>
    <mergeCell ref="C853:C854"/>
    <mergeCell ref="H224:H233"/>
    <mergeCell ref="I224:I233"/>
    <mergeCell ref="H217:H222"/>
    <mergeCell ref="B344:B458"/>
    <mergeCell ref="C426:C435"/>
    <mergeCell ref="D426:D435"/>
    <mergeCell ref="E426:E435"/>
    <mergeCell ref="G426:G435"/>
    <mergeCell ref="C687:C696"/>
    <mergeCell ref="B257:B343"/>
    <mergeCell ref="C315:C320"/>
    <mergeCell ref="D315:D320"/>
    <mergeCell ref="E315:E320"/>
    <mergeCell ref="F315:F320"/>
    <mergeCell ref="G315:G320"/>
    <mergeCell ref="B459:B586"/>
    <mergeCell ref="C539:C548"/>
    <mergeCell ref="D539:D548"/>
    <mergeCell ref="E539:E548"/>
    <mergeCell ref="G539:G548"/>
    <mergeCell ref="D687:D696"/>
    <mergeCell ref="E687:E696"/>
    <mergeCell ref="A801:A830"/>
    <mergeCell ref="A831:A854"/>
    <mergeCell ref="B831:B854"/>
    <mergeCell ref="B776:B800"/>
    <mergeCell ref="C776:C777"/>
    <mergeCell ref="D776:D777"/>
    <mergeCell ref="B801:B830"/>
    <mergeCell ref="H687:H696"/>
    <mergeCell ref="B587:B727"/>
    <mergeCell ref="B728:B775"/>
    <mergeCell ref="C728:C729"/>
    <mergeCell ref="C754:C755"/>
    <mergeCell ref="C756:C757"/>
    <mergeCell ref="C748:C749"/>
    <mergeCell ref="C750:C751"/>
    <mergeCell ref="C770:C771"/>
    <mergeCell ref="C752:C753"/>
    <mergeCell ref="E776:E777"/>
    <mergeCell ref="G776:G777"/>
    <mergeCell ref="H776:H777"/>
    <mergeCell ref="C797:C798"/>
    <mergeCell ref="C799:C800"/>
    <mergeCell ref="C825:C826"/>
    <mergeCell ref="C827:C828"/>
    <mergeCell ref="H132:H141"/>
    <mergeCell ref="I132:I141"/>
    <mergeCell ref="A176:A256"/>
    <mergeCell ref="A257:A343"/>
    <mergeCell ref="A344:A458"/>
    <mergeCell ref="A459:A586"/>
    <mergeCell ref="A587:A727"/>
    <mergeCell ref="A728:A775"/>
    <mergeCell ref="A776:A800"/>
    <mergeCell ref="G687:G696"/>
    <mergeCell ref="I687:I696"/>
    <mergeCell ref="C550:C559"/>
    <mergeCell ref="D550:D559"/>
    <mergeCell ref="E550:E559"/>
    <mergeCell ref="G550:G559"/>
    <mergeCell ref="H315:H320"/>
    <mergeCell ref="I315:I320"/>
    <mergeCell ref="H426:H435"/>
    <mergeCell ref="I426:I435"/>
    <mergeCell ref="J550:J559"/>
    <mergeCell ref="J426:J435"/>
    <mergeCell ref="H539:H548"/>
    <mergeCell ref="I539:I548"/>
    <mergeCell ref="J539:J548"/>
    <mergeCell ref="H550:H559"/>
    <mergeCell ref="I550:I559"/>
    <mergeCell ref="I814:I815"/>
    <mergeCell ref="I816:I817"/>
    <mergeCell ref="I818:I819"/>
    <mergeCell ref="I820:I821"/>
    <mergeCell ref="I822:I823"/>
    <mergeCell ref="I776:I777"/>
    <mergeCell ref="K132:K141"/>
    <mergeCell ref="K217:K222"/>
    <mergeCell ref="K224:K233"/>
    <mergeCell ref="K315:K320"/>
    <mergeCell ref="K426:K435"/>
    <mergeCell ref="K539:K548"/>
    <mergeCell ref="K550:K559"/>
    <mergeCell ref="K687:K696"/>
    <mergeCell ref="J132:J141"/>
    <mergeCell ref="J217:J222"/>
    <mergeCell ref="J224:J233"/>
    <mergeCell ref="J687:J696"/>
    <mergeCell ref="J315:J320"/>
  </mergeCells>
  <pageMargins left="0.39370078740157483" right="0.19685039370078741" top="0.78740157480314965" bottom="0.78740157480314965" header="0" footer="0"/>
  <pageSetup paperSize="8" scale="64" orientation="landscape" r:id="rId1"/>
  <rowBreaks count="3" manualBreakCount="3">
    <brk id="57" max="16383" man="1"/>
    <brk id="120" max="16383" man="1"/>
    <brk id="83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</sheetPr>
  <dimension ref="A1:W802"/>
  <sheetViews>
    <sheetView tabSelected="1" view="pageBreakPreview" zoomScale="70" zoomScaleNormal="90" zoomScaleSheetLayoutView="70" workbookViewId="0">
      <selection activeCell="D317" sqref="D317:D340"/>
    </sheetView>
  </sheetViews>
  <sheetFormatPr defaultColWidth="9.140625" defaultRowHeight="15.75" x14ac:dyDescent="0.25"/>
  <cols>
    <col min="1" max="1" width="4.85546875" style="15" customWidth="1"/>
    <col min="2" max="2" width="38.85546875" style="16" customWidth="1"/>
    <col min="3" max="3" width="17.28515625" style="208" customWidth="1"/>
    <col min="4" max="4" width="10.85546875" style="17" bestFit="1" customWidth="1"/>
    <col min="5" max="5" width="6.7109375" style="41" customWidth="1"/>
    <col min="6" max="6" width="8.28515625" style="41" hidden="1" customWidth="1"/>
    <col min="7" max="7" width="9.140625" style="18" customWidth="1"/>
    <col min="8" max="8" width="12.28515625" style="18" customWidth="1"/>
    <col min="9" max="9" width="13" style="18" customWidth="1"/>
    <col min="10" max="10" width="13.7109375" style="17" hidden="1" customWidth="1"/>
    <col min="11" max="12" width="0" style="17" hidden="1" customWidth="1"/>
    <col min="13" max="13" width="12.140625" style="41" customWidth="1"/>
    <col min="14" max="14" width="9.140625" style="17" customWidth="1"/>
    <col min="15" max="15" width="18" style="17" customWidth="1"/>
    <col min="16" max="16" width="27.42578125" style="17" customWidth="1"/>
    <col min="17" max="17" width="9.140625" style="17"/>
    <col min="18" max="18" width="11.85546875" style="17" customWidth="1"/>
    <col min="19" max="19" width="18" style="17" customWidth="1"/>
    <col min="20" max="20" width="11.42578125" style="17" hidden="1" customWidth="1"/>
    <col min="21" max="16384" width="9.140625" style="17"/>
  </cols>
  <sheetData>
    <row r="1" spans="1:20" x14ac:dyDescent="0.25">
      <c r="E1" s="17"/>
      <c r="F1" s="17"/>
      <c r="H1" s="19" t="s">
        <v>280</v>
      </c>
      <c r="O1" s="25"/>
      <c r="P1" s="236"/>
    </row>
    <row r="3" spans="1:20" ht="21.75" customHeight="1" x14ac:dyDescent="0.25">
      <c r="A3" s="479" t="s">
        <v>24</v>
      </c>
      <c r="B3" s="479" t="s">
        <v>25</v>
      </c>
      <c r="C3" s="479" t="s">
        <v>26</v>
      </c>
      <c r="D3" s="478" t="s">
        <v>281</v>
      </c>
      <c r="E3" s="478" t="s">
        <v>282</v>
      </c>
      <c r="F3" s="478" t="s">
        <v>29</v>
      </c>
      <c r="G3" s="478" t="s">
        <v>30</v>
      </c>
      <c r="H3" s="639" t="s">
        <v>31</v>
      </c>
      <c r="I3" s="639" t="s">
        <v>34</v>
      </c>
      <c r="J3" s="578" t="s">
        <v>32</v>
      </c>
      <c r="K3" s="578"/>
      <c r="L3" s="578"/>
      <c r="M3" s="578" t="s">
        <v>32</v>
      </c>
      <c r="N3" s="578"/>
      <c r="O3" s="578"/>
      <c r="P3" s="479" t="s">
        <v>33</v>
      </c>
      <c r="Q3" s="479"/>
      <c r="R3" s="479"/>
      <c r="S3" s="479"/>
      <c r="T3" s="478" t="s">
        <v>283</v>
      </c>
    </row>
    <row r="4" spans="1:20" ht="182.25" customHeight="1" x14ac:dyDescent="0.25">
      <c r="A4" s="479"/>
      <c r="B4" s="479"/>
      <c r="C4" s="479"/>
      <c r="D4" s="478"/>
      <c r="E4" s="478"/>
      <c r="F4" s="478"/>
      <c r="G4" s="478"/>
      <c r="H4" s="478"/>
      <c r="I4" s="478"/>
      <c r="J4" s="327" t="s">
        <v>284</v>
      </c>
      <c r="K4" s="327" t="s">
        <v>285</v>
      </c>
      <c r="L4" s="327" t="s">
        <v>286</v>
      </c>
      <c r="M4" s="384" t="s">
        <v>287</v>
      </c>
      <c r="N4" s="262" t="s">
        <v>36</v>
      </c>
      <c r="O4" s="262" t="s">
        <v>37</v>
      </c>
      <c r="P4" s="261" t="s">
        <v>38</v>
      </c>
      <c r="Q4" s="262" t="s">
        <v>39</v>
      </c>
      <c r="R4" s="262" t="s">
        <v>40</v>
      </c>
      <c r="S4" s="262" t="s">
        <v>288</v>
      </c>
      <c r="T4" s="478"/>
    </row>
    <row r="5" spans="1:20" ht="31.5" x14ac:dyDescent="0.25">
      <c r="A5" s="640">
        <v>1</v>
      </c>
      <c r="B5" s="635" t="s">
        <v>1027</v>
      </c>
      <c r="C5" s="627" t="s">
        <v>289</v>
      </c>
      <c r="D5" s="636">
        <v>1</v>
      </c>
      <c r="E5" s="30" t="s">
        <v>290</v>
      </c>
      <c r="F5" s="221"/>
      <c r="G5" s="221">
        <v>0.18</v>
      </c>
      <c r="H5" s="221">
        <v>8</v>
      </c>
      <c r="I5" s="221">
        <v>1.44</v>
      </c>
      <c r="J5" s="221"/>
      <c r="K5" s="221"/>
      <c r="L5" s="221"/>
      <c r="M5" s="385">
        <v>6</v>
      </c>
      <c r="N5" s="221">
        <v>454.87</v>
      </c>
      <c r="O5" s="328">
        <f>I5*N5</f>
        <v>655.01279999999997</v>
      </c>
      <c r="P5" s="329" t="s">
        <v>291</v>
      </c>
      <c r="Q5" s="307">
        <v>5.0000000000000001E-3</v>
      </c>
      <c r="R5" s="308">
        <v>34</v>
      </c>
      <c r="S5" s="307">
        <f>(Q5*R5)</f>
        <v>0.17</v>
      </c>
      <c r="T5" s="215"/>
    </row>
    <row r="6" spans="1:20" ht="31.5" x14ac:dyDescent="0.25">
      <c r="A6" s="641"/>
      <c r="B6" s="595"/>
      <c r="C6" s="632"/>
      <c r="D6" s="637"/>
      <c r="E6" s="30" t="s">
        <v>292</v>
      </c>
      <c r="F6" s="221"/>
      <c r="G6" s="221">
        <v>0.73</v>
      </c>
      <c r="H6" s="221">
        <v>3</v>
      </c>
      <c r="I6" s="221">
        <v>2.19</v>
      </c>
      <c r="J6" s="221"/>
      <c r="K6" s="221"/>
      <c r="L6" s="221"/>
      <c r="M6" s="385">
        <v>6</v>
      </c>
      <c r="N6" s="221">
        <v>454.87</v>
      </c>
      <c r="O6" s="328">
        <f>I6*N6</f>
        <v>996.1653</v>
      </c>
      <c r="P6" s="329" t="s">
        <v>293</v>
      </c>
      <c r="Q6" s="307">
        <v>4.0000000000000001E-3</v>
      </c>
      <c r="R6" s="308">
        <v>11200</v>
      </c>
      <c r="S6" s="307">
        <f>(Q6*R6)</f>
        <v>44.800000000000004</v>
      </c>
      <c r="T6" s="215"/>
    </row>
    <row r="7" spans="1:20" ht="31.5" x14ac:dyDescent="0.25">
      <c r="A7" s="641"/>
      <c r="B7" s="595"/>
      <c r="C7" s="628"/>
      <c r="D7" s="638"/>
      <c r="E7" s="30" t="s">
        <v>294</v>
      </c>
      <c r="F7" s="215"/>
      <c r="G7" s="215">
        <v>5.75</v>
      </c>
      <c r="H7" s="215">
        <v>1</v>
      </c>
      <c r="I7" s="32">
        <v>5.75</v>
      </c>
      <c r="J7" s="215"/>
      <c r="K7" s="215"/>
      <c r="L7" s="215"/>
      <c r="M7" s="386">
        <v>6</v>
      </c>
      <c r="N7" s="221">
        <v>454.87</v>
      </c>
      <c r="O7" s="328">
        <f>I7*N7</f>
        <v>2615.5025000000001</v>
      </c>
      <c r="P7" s="329" t="s">
        <v>295</v>
      </c>
      <c r="Q7" s="307">
        <v>3.0000000000000001E-3</v>
      </c>
      <c r="R7" s="308">
        <v>2350</v>
      </c>
      <c r="S7" s="307">
        <f t="shared" ref="S7:S70" si="0">(Q7*R7)</f>
        <v>7.05</v>
      </c>
      <c r="T7" s="215"/>
    </row>
    <row r="8" spans="1:20" ht="31.5" x14ac:dyDescent="0.25">
      <c r="A8" s="641"/>
      <c r="B8" s="595"/>
      <c r="C8" s="627" t="s">
        <v>296</v>
      </c>
      <c r="D8" s="636">
        <v>1</v>
      </c>
      <c r="E8" s="624" t="s">
        <v>290</v>
      </c>
      <c r="F8" s="215"/>
      <c r="G8" s="611">
        <v>1.03</v>
      </c>
      <c r="H8" s="611">
        <v>8</v>
      </c>
      <c r="I8" s="618">
        <f>H8*G8</f>
        <v>8.24</v>
      </c>
      <c r="J8" s="621"/>
      <c r="K8" s="624"/>
      <c r="L8" s="624"/>
      <c r="M8" s="611">
        <v>4</v>
      </c>
      <c r="N8" s="605">
        <v>454.87</v>
      </c>
      <c r="O8" s="643">
        <f>I8*N8</f>
        <v>3748.1288</v>
      </c>
      <c r="P8" s="329" t="s">
        <v>297</v>
      </c>
      <c r="Q8" s="307">
        <v>0.04</v>
      </c>
      <c r="R8" s="308">
        <v>1385</v>
      </c>
      <c r="S8" s="307">
        <f t="shared" si="0"/>
        <v>55.4</v>
      </c>
      <c r="T8" s="215"/>
    </row>
    <row r="9" spans="1:20" x14ac:dyDescent="0.25">
      <c r="A9" s="641"/>
      <c r="B9" s="595"/>
      <c r="C9" s="632"/>
      <c r="D9" s="637"/>
      <c r="E9" s="625"/>
      <c r="F9" s="215"/>
      <c r="G9" s="612"/>
      <c r="H9" s="612"/>
      <c r="I9" s="619"/>
      <c r="J9" s="622"/>
      <c r="K9" s="625"/>
      <c r="L9" s="625"/>
      <c r="M9" s="612"/>
      <c r="N9" s="606"/>
      <c r="O9" s="644"/>
      <c r="P9" s="329" t="s">
        <v>298</v>
      </c>
      <c r="Q9" s="307">
        <v>0.05</v>
      </c>
      <c r="R9" s="308">
        <v>179.8</v>
      </c>
      <c r="S9" s="307">
        <f t="shared" si="0"/>
        <v>8.99</v>
      </c>
      <c r="T9" s="215"/>
    </row>
    <row r="10" spans="1:20" ht="31.5" x14ac:dyDescent="0.25">
      <c r="A10" s="641"/>
      <c r="B10" s="595"/>
      <c r="C10" s="632"/>
      <c r="D10" s="637"/>
      <c r="E10" s="625"/>
      <c r="F10" s="215"/>
      <c r="G10" s="612"/>
      <c r="H10" s="612"/>
      <c r="I10" s="619"/>
      <c r="J10" s="622"/>
      <c r="K10" s="625"/>
      <c r="L10" s="625"/>
      <c r="M10" s="612"/>
      <c r="N10" s="606"/>
      <c r="O10" s="644"/>
      <c r="P10" s="329" t="s">
        <v>291</v>
      </c>
      <c r="Q10" s="307">
        <v>0.1</v>
      </c>
      <c r="R10" s="308">
        <v>34</v>
      </c>
      <c r="S10" s="307">
        <f t="shared" si="0"/>
        <v>3.4000000000000004</v>
      </c>
      <c r="T10" s="215"/>
    </row>
    <row r="11" spans="1:20" x14ac:dyDescent="0.25">
      <c r="A11" s="641"/>
      <c r="B11" s="595"/>
      <c r="C11" s="632"/>
      <c r="D11" s="637"/>
      <c r="E11" s="625"/>
      <c r="F11" s="215"/>
      <c r="G11" s="612"/>
      <c r="H11" s="612"/>
      <c r="I11" s="619"/>
      <c r="J11" s="622"/>
      <c r="K11" s="625"/>
      <c r="L11" s="625"/>
      <c r="M11" s="612"/>
      <c r="N11" s="606"/>
      <c r="O11" s="644"/>
      <c r="P11" s="329" t="s">
        <v>299</v>
      </c>
      <c r="Q11" s="307">
        <v>2</v>
      </c>
      <c r="R11" s="308">
        <v>4.0999999999999996</v>
      </c>
      <c r="S11" s="307">
        <f t="shared" si="0"/>
        <v>8.1999999999999993</v>
      </c>
      <c r="T11" s="215"/>
    </row>
    <row r="12" spans="1:20" x14ac:dyDescent="0.25">
      <c r="A12" s="641"/>
      <c r="B12" s="595"/>
      <c r="C12" s="632"/>
      <c r="D12" s="637"/>
      <c r="E12" s="626"/>
      <c r="F12" s="215"/>
      <c r="G12" s="490"/>
      <c r="H12" s="490"/>
      <c r="I12" s="620"/>
      <c r="J12" s="623"/>
      <c r="K12" s="626"/>
      <c r="L12" s="626"/>
      <c r="M12" s="490"/>
      <c r="N12" s="607"/>
      <c r="O12" s="645"/>
      <c r="P12" s="329" t="s">
        <v>300</v>
      </c>
      <c r="Q12" s="307">
        <v>0.25</v>
      </c>
      <c r="R12" s="308">
        <v>272</v>
      </c>
      <c r="S12" s="307">
        <f t="shared" si="0"/>
        <v>68</v>
      </c>
      <c r="T12" s="215"/>
    </row>
    <row r="13" spans="1:20" x14ac:dyDescent="0.25">
      <c r="A13" s="641"/>
      <c r="B13" s="595"/>
      <c r="C13" s="632"/>
      <c r="D13" s="637"/>
      <c r="E13" s="624" t="s">
        <v>292</v>
      </c>
      <c r="F13" s="215"/>
      <c r="G13" s="608">
        <v>2.46</v>
      </c>
      <c r="H13" s="608">
        <v>3</v>
      </c>
      <c r="I13" s="613">
        <f t="shared" ref="I13" si="1">H13*G13</f>
        <v>7.38</v>
      </c>
      <c r="J13" s="608"/>
      <c r="K13" s="608"/>
      <c r="L13" s="608"/>
      <c r="M13" s="611">
        <v>4</v>
      </c>
      <c r="N13" s="633">
        <v>454.87</v>
      </c>
      <c r="O13" s="643">
        <f>I13*N13</f>
        <v>3356.9405999999999</v>
      </c>
      <c r="P13" s="329" t="s">
        <v>298</v>
      </c>
      <c r="Q13" s="307">
        <v>0.2</v>
      </c>
      <c r="R13" s="308">
        <v>179.8</v>
      </c>
      <c r="S13" s="307">
        <f t="shared" si="0"/>
        <v>35.96</v>
      </c>
      <c r="T13" s="215"/>
    </row>
    <row r="14" spans="1:20" ht="31.5" x14ac:dyDescent="0.25">
      <c r="A14" s="641"/>
      <c r="B14" s="595"/>
      <c r="C14" s="632"/>
      <c r="D14" s="637"/>
      <c r="E14" s="625"/>
      <c r="F14" s="215"/>
      <c r="G14" s="609"/>
      <c r="H14" s="609"/>
      <c r="I14" s="614"/>
      <c r="J14" s="609"/>
      <c r="K14" s="609"/>
      <c r="L14" s="609"/>
      <c r="M14" s="612"/>
      <c r="N14" s="606"/>
      <c r="O14" s="644"/>
      <c r="P14" s="329" t="s">
        <v>297</v>
      </c>
      <c r="Q14" s="307">
        <v>0.01</v>
      </c>
      <c r="R14" s="308">
        <v>1385</v>
      </c>
      <c r="S14" s="307">
        <f t="shared" si="0"/>
        <v>13.85</v>
      </c>
      <c r="T14" s="215"/>
    </row>
    <row r="15" spans="1:20" ht="31.5" x14ac:dyDescent="0.25">
      <c r="A15" s="641"/>
      <c r="B15" s="595"/>
      <c r="C15" s="632"/>
      <c r="D15" s="637"/>
      <c r="E15" s="625"/>
      <c r="F15" s="215"/>
      <c r="G15" s="609"/>
      <c r="H15" s="609"/>
      <c r="I15" s="614"/>
      <c r="J15" s="609"/>
      <c r="K15" s="609"/>
      <c r="L15" s="609"/>
      <c r="M15" s="612"/>
      <c r="N15" s="606"/>
      <c r="O15" s="644"/>
      <c r="P15" s="329" t="s">
        <v>293</v>
      </c>
      <c r="Q15" s="307">
        <v>6.0000000000000001E-3</v>
      </c>
      <c r="R15" s="308">
        <v>11200</v>
      </c>
      <c r="S15" s="307">
        <f t="shared" si="0"/>
        <v>67.2</v>
      </c>
      <c r="T15" s="215"/>
    </row>
    <row r="16" spans="1:20" ht="31.5" x14ac:dyDescent="0.25">
      <c r="A16" s="641"/>
      <c r="B16" s="595"/>
      <c r="C16" s="632"/>
      <c r="D16" s="637"/>
      <c r="E16" s="625"/>
      <c r="F16" s="215"/>
      <c r="G16" s="609"/>
      <c r="H16" s="609"/>
      <c r="I16" s="614"/>
      <c r="J16" s="609"/>
      <c r="K16" s="609"/>
      <c r="L16" s="609"/>
      <c r="M16" s="612"/>
      <c r="N16" s="606"/>
      <c r="O16" s="644"/>
      <c r="P16" s="329" t="s">
        <v>295</v>
      </c>
      <c r="Q16" s="307">
        <v>4.0000000000000001E-3</v>
      </c>
      <c r="R16" s="308">
        <v>2350</v>
      </c>
      <c r="S16" s="307">
        <f t="shared" si="0"/>
        <v>9.4</v>
      </c>
      <c r="T16" s="215"/>
    </row>
    <row r="17" spans="1:20" ht="31.5" x14ac:dyDescent="0.25">
      <c r="A17" s="641"/>
      <c r="B17" s="595"/>
      <c r="C17" s="632"/>
      <c r="D17" s="637"/>
      <c r="E17" s="625"/>
      <c r="F17" s="215"/>
      <c r="G17" s="609"/>
      <c r="H17" s="609"/>
      <c r="I17" s="614"/>
      <c r="J17" s="609"/>
      <c r="K17" s="609"/>
      <c r="L17" s="609"/>
      <c r="M17" s="612"/>
      <c r="N17" s="606"/>
      <c r="O17" s="644"/>
      <c r="P17" s="329" t="s">
        <v>301</v>
      </c>
      <c r="Q17" s="307">
        <v>0.05</v>
      </c>
      <c r="R17" s="308">
        <v>1148</v>
      </c>
      <c r="S17" s="307">
        <f t="shared" si="0"/>
        <v>57.400000000000006</v>
      </c>
      <c r="T17" s="215"/>
    </row>
    <row r="18" spans="1:20" ht="31.5" x14ac:dyDescent="0.25">
      <c r="A18" s="641"/>
      <c r="B18" s="595"/>
      <c r="C18" s="632"/>
      <c r="D18" s="637"/>
      <c r="E18" s="625"/>
      <c r="F18" s="215"/>
      <c r="G18" s="609"/>
      <c r="H18" s="609"/>
      <c r="I18" s="614"/>
      <c r="J18" s="609"/>
      <c r="K18" s="609"/>
      <c r="L18" s="609"/>
      <c r="M18" s="612"/>
      <c r="N18" s="606"/>
      <c r="O18" s="644"/>
      <c r="P18" s="329" t="s">
        <v>291</v>
      </c>
      <c r="Q18" s="307">
        <v>0.02</v>
      </c>
      <c r="R18" s="308">
        <v>34</v>
      </c>
      <c r="S18" s="307">
        <f t="shared" si="0"/>
        <v>0.68</v>
      </c>
      <c r="T18" s="215"/>
    </row>
    <row r="19" spans="1:20" x14ac:dyDescent="0.25">
      <c r="A19" s="641"/>
      <c r="B19" s="595"/>
      <c r="C19" s="632"/>
      <c r="D19" s="637"/>
      <c r="E19" s="625"/>
      <c r="F19" s="215"/>
      <c r="G19" s="609"/>
      <c r="H19" s="609"/>
      <c r="I19" s="614"/>
      <c r="J19" s="609"/>
      <c r="K19" s="609"/>
      <c r="L19" s="609"/>
      <c r="M19" s="612"/>
      <c r="N19" s="606"/>
      <c r="O19" s="644"/>
      <c r="P19" s="329" t="s">
        <v>300</v>
      </c>
      <c r="Q19" s="307">
        <v>0.25</v>
      </c>
      <c r="R19" s="308">
        <v>272</v>
      </c>
      <c r="S19" s="307">
        <f t="shared" si="0"/>
        <v>68</v>
      </c>
      <c r="T19" s="215"/>
    </row>
    <row r="20" spans="1:20" x14ac:dyDescent="0.25">
      <c r="A20" s="641"/>
      <c r="B20" s="595"/>
      <c r="C20" s="632"/>
      <c r="D20" s="637"/>
      <c r="E20" s="625"/>
      <c r="F20" s="215"/>
      <c r="G20" s="609"/>
      <c r="H20" s="609"/>
      <c r="I20" s="614"/>
      <c r="J20" s="609"/>
      <c r="K20" s="609"/>
      <c r="L20" s="609"/>
      <c r="M20" s="612"/>
      <c r="N20" s="606"/>
      <c r="O20" s="644"/>
      <c r="P20" s="329" t="s">
        <v>302</v>
      </c>
      <c r="Q20" s="307">
        <v>0.08</v>
      </c>
      <c r="R20" s="308">
        <v>950</v>
      </c>
      <c r="S20" s="307">
        <f t="shared" si="0"/>
        <v>76</v>
      </c>
      <c r="T20" s="215"/>
    </row>
    <row r="21" spans="1:20" ht="31.5" x14ac:dyDescent="0.25">
      <c r="A21" s="641"/>
      <c r="B21" s="595"/>
      <c r="C21" s="632"/>
      <c r="D21" s="637"/>
      <c r="E21" s="626"/>
      <c r="F21" s="215"/>
      <c r="G21" s="610"/>
      <c r="H21" s="610"/>
      <c r="I21" s="615"/>
      <c r="J21" s="610"/>
      <c r="K21" s="610"/>
      <c r="L21" s="610"/>
      <c r="M21" s="490"/>
      <c r="N21" s="607"/>
      <c r="O21" s="645"/>
      <c r="P21" s="329" t="s">
        <v>303</v>
      </c>
      <c r="Q21" s="307">
        <v>1</v>
      </c>
      <c r="R21" s="308">
        <v>6790</v>
      </c>
      <c r="S21" s="307">
        <f t="shared" si="0"/>
        <v>6790</v>
      </c>
      <c r="T21" s="215"/>
    </row>
    <row r="22" spans="1:20" ht="31.5" x14ac:dyDescent="0.25">
      <c r="A22" s="641"/>
      <c r="B22" s="595"/>
      <c r="C22" s="632"/>
      <c r="D22" s="637"/>
      <c r="E22" s="624" t="s">
        <v>294</v>
      </c>
      <c r="F22" s="215"/>
      <c r="G22" s="608">
        <v>8.51</v>
      </c>
      <c r="H22" s="608">
        <v>1</v>
      </c>
      <c r="I22" s="613">
        <f t="shared" ref="I22" si="2">H22*G22</f>
        <v>8.51</v>
      </c>
      <c r="J22" s="608"/>
      <c r="K22" s="608"/>
      <c r="L22" s="608"/>
      <c r="M22" s="611">
        <v>4</v>
      </c>
      <c r="N22" s="633">
        <v>454.87</v>
      </c>
      <c r="O22" s="643">
        <f>I22*N22</f>
        <v>3870.9436999999998</v>
      </c>
      <c r="P22" s="329" t="s">
        <v>293</v>
      </c>
      <c r="Q22" s="307">
        <v>6.0000000000000001E-3</v>
      </c>
      <c r="R22" s="308">
        <v>11200</v>
      </c>
      <c r="S22" s="307">
        <f t="shared" si="0"/>
        <v>67.2</v>
      </c>
      <c r="T22" s="215"/>
    </row>
    <row r="23" spans="1:20" ht="31.5" x14ac:dyDescent="0.25">
      <c r="A23" s="641"/>
      <c r="B23" s="595"/>
      <c r="C23" s="632"/>
      <c r="D23" s="637"/>
      <c r="E23" s="625"/>
      <c r="F23" s="215"/>
      <c r="G23" s="609"/>
      <c r="H23" s="609"/>
      <c r="I23" s="614"/>
      <c r="J23" s="609"/>
      <c r="K23" s="609"/>
      <c r="L23" s="609"/>
      <c r="M23" s="612"/>
      <c r="N23" s="606"/>
      <c r="O23" s="644"/>
      <c r="P23" s="329" t="s">
        <v>295</v>
      </c>
      <c r="Q23" s="307">
        <v>4.0000000000000001E-3</v>
      </c>
      <c r="R23" s="308">
        <v>2350</v>
      </c>
      <c r="S23" s="307">
        <f t="shared" si="0"/>
        <v>9.4</v>
      </c>
      <c r="T23" s="215"/>
    </row>
    <row r="24" spans="1:20" ht="31.5" x14ac:dyDescent="0.25">
      <c r="A24" s="641"/>
      <c r="B24" s="595"/>
      <c r="C24" s="632"/>
      <c r="D24" s="637"/>
      <c r="E24" s="625"/>
      <c r="F24" s="215"/>
      <c r="G24" s="609"/>
      <c r="H24" s="609"/>
      <c r="I24" s="614"/>
      <c r="J24" s="609"/>
      <c r="K24" s="609"/>
      <c r="L24" s="609"/>
      <c r="M24" s="612"/>
      <c r="N24" s="606"/>
      <c r="O24" s="644"/>
      <c r="P24" s="329" t="s">
        <v>291</v>
      </c>
      <c r="Q24" s="307">
        <v>0.02</v>
      </c>
      <c r="R24" s="308">
        <v>34</v>
      </c>
      <c r="S24" s="307">
        <f t="shared" si="0"/>
        <v>0.68</v>
      </c>
      <c r="T24" s="215"/>
    </row>
    <row r="25" spans="1:20" ht="31.5" x14ac:dyDescent="0.25">
      <c r="A25" s="641"/>
      <c r="B25" s="595"/>
      <c r="C25" s="632"/>
      <c r="D25" s="637"/>
      <c r="E25" s="625"/>
      <c r="F25" s="215"/>
      <c r="G25" s="609"/>
      <c r="H25" s="609"/>
      <c r="I25" s="614"/>
      <c r="J25" s="609"/>
      <c r="K25" s="609"/>
      <c r="L25" s="609"/>
      <c r="M25" s="612"/>
      <c r="N25" s="606"/>
      <c r="O25" s="644"/>
      <c r="P25" s="329" t="s">
        <v>301</v>
      </c>
      <c r="Q25" s="307">
        <v>0.05</v>
      </c>
      <c r="R25" s="308">
        <v>1148</v>
      </c>
      <c r="S25" s="307">
        <f t="shared" si="0"/>
        <v>57.400000000000006</v>
      </c>
      <c r="T25" s="215"/>
    </row>
    <row r="26" spans="1:20" x14ac:dyDescent="0.25">
      <c r="A26" s="641"/>
      <c r="B26" s="595"/>
      <c r="C26" s="632"/>
      <c r="D26" s="637"/>
      <c r="E26" s="625"/>
      <c r="F26" s="215"/>
      <c r="G26" s="609"/>
      <c r="H26" s="609"/>
      <c r="I26" s="614"/>
      <c r="J26" s="609"/>
      <c r="K26" s="609"/>
      <c r="L26" s="609"/>
      <c r="M26" s="612"/>
      <c r="N26" s="606"/>
      <c r="O26" s="644"/>
      <c r="P26" s="329" t="s">
        <v>300</v>
      </c>
      <c r="Q26" s="307">
        <v>0.25</v>
      </c>
      <c r="R26" s="308">
        <v>272</v>
      </c>
      <c r="S26" s="307">
        <f t="shared" si="0"/>
        <v>68</v>
      </c>
      <c r="T26" s="215"/>
    </row>
    <row r="27" spans="1:20" x14ac:dyDescent="0.25">
      <c r="A27" s="641"/>
      <c r="B27" s="595"/>
      <c r="C27" s="632"/>
      <c r="D27" s="637"/>
      <c r="E27" s="625"/>
      <c r="F27" s="215"/>
      <c r="G27" s="609"/>
      <c r="H27" s="609"/>
      <c r="I27" s="614"/>
      <c r="J27" s="609"/>
      <c r="K27" s="609"/>
      <c r="L27" s="609"/>
      <c r="M27" s="612"/>
      <c r="N27" s="606"/>
      <c r="O27" s="644"/>
      <c r="P27" s="329" t="s">
        <v>302</v>
      </c>
      <c r="Q27" s="307">
        <v>0.08</v>
      </c>
      <c r="R27" s="308">
        <v>950</v>
      </c>
      <c r="S27" s="307">
        <f t="shared" si="0"/>
        <v>76</v>
      </c>
      <c r="T27" s="215"/>
    </row>
    <row r="28" spans="1:20" ht="31.5" x14ac:dyDescent="0.25">
      <c r="A28" s="641"/>
      <c r="B28" s="595"/>
      <c r="C28" s="632"/>
      <c r="D28" s="637"/>
      <c r="E28" s="625"/>
      <c r="F28" s="215"/>
      <c r="G28" s="609"/>
      <c r="H28" s="609"/>
      <c r="I28" s="614"/>
      <c r="J28" s="609"/>
      <c r="K28" s="609"/>
      <c r="L28" s="609"/>
      <c r="M28" s="612"/>
      <c r="N28" s="606"/>
      <c r="O28" s="644"/>
      <c r="P28" s="329" t="s">
        <v>303</v>
      </c>
      <c r="Q28" s="307">
        <v>1</v>
      </c>
      <c r="R28" s="308">
        <v>6790</v>
      </c>
      <c r="S28" s="307">
        <f t="shared" si="0"/>
        <v>6790</v>
      </c>
      <c r="T28" s="215"/>
    </row>
    <row r="29" spans="1:20" ht="31.5" x14ac:dyDescent="0.25">
      <c r="A29" s="641"/>
      <c r="B29" s="595"/>
      <c r="C29" s="632"/>
      <c r="D29" s="637"/>
      <c r="E29" s="625"/>
      <c r="F29" s="215"/>
      <c r="G29" s="609"/>
      <c r="H29" s="609"/>
      <c r="I29" s="614"/>
      <c r="J29" s="609"/>
      <c r="K29" s="609"/>
      <c r="L29" s="609"/>
      <c r="M29" s="612"/>
      <c r="N29" s="606"/>
      <c r="O29" s="644"/>
      <c r="P29" s="329" t="s">
        <v>304</v>
      </c>
      <c r="Q29" s="307">
        <v>3</v>
      </c>
      <c r="R29" s="308">
        <v>256.5</v>
      </c>
      <c r="S29" s="307">
        <f t="shared" si="0"/>
        <v>769.5</v>
      </c>
      <c r="T29" s="215"/>
    </row>
    <row r="30" spans="1:20" ht="31.5" x14ac:dyDescent="0.25">
      <c r="A30" s="641"/>
      <c r="B30" s="595"/>
      <c r="C30" s="632"/>
      <c r="D30" s="637"/>
      <c r="E30" s="625"/>
      <c r="F30" s="215"/>
      <c r="G30" s="609"/>
      <c r="H30" s="609"/>
      <c r="I30" s="614"/>
      <c r="J30" s="609"/>
      <c r="K30" s="609"/>
      <c r="L30" s="609"/>
      <c r="M30" s="612"/>
      <c r="N30" s="606"/>
      <c r="O30" s="644"/>
      <c r="P30" s="329" t="s">
        <v>305</v>
      </c>
      <c r="Q30" s="307">
        <v>0.03</v>
      </c>
      <c r="R30" s="308">
        <v>165</v>
      </c>
      <c r="S30" s="307">
        <f t="shared" si="0"/>
        <v>4.95</v>
      </c>
      <c r="T30" s="215"/>
    </row>
    <row r="31" spans="1:20" ht="47.25" x14ac:dyDescent="0.25">
      <c r="A31" s="641"/>
      <c r="B31" s="595"/>
      <c r="C31" s="632"/>
      <c r="D31" s="637"/>
      <c r="E31" s="625"/>
      <c r="F31" s="215"/>
      <c r="G31" s="609"/>
      <c r="H31" s="609"/>
      <c r="I31" s="614"/>
      <c r="J31" s="609"/>
      <c r="K31" s="609"/>
      <c r="L31" s="609"/>
      <c r="M31" s="612"/>
      <c r="N31" s="606"/>
      <c r="O31" s="644"/>
      <c r="P31" s="329" t="s">
        <v>306</v>
      </c>
      <c r="Q31" s="307">
        <v>0.01</v>
      </c>
      <c r="R31" s="308">
        <v>207</v>
      </c>
      <c r="S31" s="307">
        <f t="shared" si="0"/>
        <v>2.0699999999999998</v>
      </c>
      <c r="T31" s="215"/>
    </row>
    <row r="32" spans="1:20" x14ac:dyDescent="0.25">
      <c r="A32" s="641"/>
      <c r="B32" s="595"/>
      <c r="C32" s="632"/>
      <c r="D32" s="637"/>
      <c r="E32" s="625"/>
      <c r="F32" s="215"/>
      <c r="G32" s="609"/>
      <c r="H32" s="609"/>
      <c r="I32" s="614"/>
      <c r="J32" s="609"/>
      <c r="K32" s="609"/>
      <c r="L32" s="609"/>
      <c r="M32" s="612"/>
      <c r="N32" s="606"/>
      <c r="O32" s="644"/>
      <c r="P32" s="329" t="s">
        <v>307</v>
      </c>
      <c r="Q32" s="307">
        <v>0.2</v>
      </c>
      <c r="R32" s="308">
        <v>133</v>
      </c>
      <c r="S32" s="307">
        <f t="shared" si="0"/>
        <v>26.6</v>
      </c>
      <c r="T32" s="215"/>
    </row>
    <row r="33" spans="1:20" x14ac:dyDescent="0.25">
      <c r="A33" s="641"/>
      <c r="B33" s="595"/>
      <c r="C33" s="632"/>
      <c r="D33" s="637"/>
      <c r="E33" s="625"/>
      <c r="F33" s="215"/>
      <c r="G33" s="609"/>
      <c r="H33" s="609"/>
      <c r="I33" s="614"/>
      <c r="J33" s="609"/>
      <c r="K33" s="609"/>
      <c r="L33" s="609"/>
      <c r="M33" s="612"/>
      <c r="N33" s="606"/>
      <c r="O33" s="644"/>
      <c r="P33" s="329" t="s">
        <v>308</v>
      </c>
      <c r="Q33" s="307">
        <v>0.25</v>
      </c>
      <c r="R33" s="308">
        <v>625</v>
      </c>
      <c r="S33" s="307">
        <f t="shared" si="0"/>
        <v>156.25</v>
      </c>
      <c r="T33" s="215"/>
    </row>
    <row r="34" spans="1:20" x14ac:dyDescent="0.25">
      <c r="A34" s="641"/>
      <c r="B34" s="595"/>
      <c r="C34" s="632"/>
      <c r="D34" s="637"/>
      <c r="E34" s="625"/>
      <c r="F34" s="215"/>
      <c r="G34" s="609"/>
      <c r="H34" s="609"/>
      <c r="I34" s="614"/>
      <c r="J34" s="609"/>
      <c r="K34" s="609"/>
      <c r="L34" s="609"/>
      <c r="M34" s="612"/>
      <c r="N34" s="606"/>
      <c r="O34" s="644"/>
      <c r="P34" s="329" t="s">
        <v>298</v>
      </c>
      <c r="Q34" s="307">
        <v>0.2</v>
      </c>
      <c r="R34" s="308">
        <v>179.8</v>
      </c>
      <c r="S34" s="307">
        <f t="shared" si="0"/>
        <v>35.96</v>
      </c>
      <c r="T34" s="215"/>
    </row>
    <row r="35" spans="1:20" ht="31.5" x14ac:dyDescent="0.25">
      <c r="A35" s="641"/>
      <c r="B35" s="595"/>
      <c r="C35" s="628"/>
      <c r="D35" s="638"/>
      <c r="E35" s="626"/>
      <c r="F35" s="30"/>
      <c r="G35" s="610"/>
      <c r="H35" s="610"/>
      <c r="I35" s="615"/>
      <c r="J35" s="610"/>
      <c r="K35" s="610"/>
      <c r="L35" s="610"/>
      <c r="M35" s="490"/>
      <c r="N35" s="607"/>
      <c r="O35" s="645"/>
      <c r="P35" s="329" t="s">
        <v>297</v>
      </c>
      <c r="Q35" s="307">
        <v>0.01</v>
      </c>
      <c r="R35" s="308">
        <v>1385</v>
      </c>
      <c r="S35" s="307">
        <f t="shared" si="0"/>
        <v>13.85</v>
      </c>
      <c r="T35" s="27"/>
    </row>
    <row r="36" spans="1:20" x14ac:dyDescent="0.25">
      <c r="A36" s="641"/>
      <c r="B36" s="595"/>
      <c r="C36" s="627" t="s">
        <v>309</v>
      </c>
      <c r="D36" s="603">
        <v>1</v>
      </c>
      <c r="E36" s="611" t="s">
        <v>290</v>
      </c>
      <c r="F36" s="30"/>
      <c r="G36" s="608">
        <v>0.32</v>
      </c>
      <c r="H36" s="608">
        <v>8</v>
      </c>
      <c r="I36" s="613">
        <f>H36*G36</f>
        <v>2.56</v>
      </c>
      <c r="J36" s="629"/>
      <c r="K36" s="608"/>
      <c r="L36" s="608"/>
      <c r="M36" s="611">
        <v>5</v>
      </c>
      <c r="N36" s="633">
        <v>454.87</v>
      </c>
      <c r="O36" s="643">
        <f>I36*N36</f>
        <v>1164.4672</v>
      </c>
      <c r="P36" s="329" t="s">
        <v>310</v>
      </c>
      <c r="Q36" s="307">
        <v>0.01</v>
      </c>
      <c r="R36" s="308">
        <v>272</v>
      </c>
      <c r="S36" s="307">
        <f t="shared" si="0"/>
        <v>2.72</v>
      </c>
      <c r="T36" s="27"/>
    </row>
    <row r="37" spans="1:20" x14ac:dyDescent="0.25">
      <c r="A37" s="641"/>
      <c r="B37" s="595"/>
      <c r="C37" s="632"/>
      <c r="D37" s="617"/>
      <c r="E37" s="612"/>
      <c r="F37" s="30"/>
      <c r="G37" s="609"/>
      <c r="H37" s="609"/>
      <c r="I37" s="614"/>
      <c r="J37" s="630"/>
      <c r="K37" s="609"/>
      <c r="L37" s="609"/>
      <c r="M37" s="612"/>
      <c r="N37" s="606"/>
      <c r="O37" s="644"/>
      <c r="P37" s="329" t="s">
        <v>298</v>
      </c>
      <c r="Q37" s="307">
        <v>0.03</v>
      </c>
      <c r="R37" s="308">
        <v>179.8</v>
      </c>
      <c r="S37" s="307">
        <f t="shared" si="0"/>
        <v>5.3940000000000001</v>
      </c>
      <c r="T37" s="27"/>
    </row>
    <row r="38" spans="1:20" ht="31.5" x14ac:dyDescent="0.25">
      <c r="A38" s="641"/>
      <c r="B38" s="595"/>
      <c r="C38" s="632"/>
      <c r="D38" s="617"/>
      <c r="E38" s="490"/>
      <c r="F38" s="30"/>
      <c r="G38" s="610"/>
      <c r="H38" s="610"/>
      <c r="I38" s="615"/>
      <c r="J38" s="631"/>
      <c r="K38" s="610"/>
      <c r="L38" s="610"/>
      <c r="M38" s="490"/>
      <c r="N38" s="607"/>
      <c r="O38" s="645"/>
      <c r="P38" s="329" t="s">
        <v>311</v>
      </c>
      <c r="Q38" s="307">
        <v>0.03</v>
      </c>
      <c r="R38" s="308">
        <v>1385</v>
      </c>
      <c r="S38" s="307">
        <f t="shared" si="0"/>
        <v>41.55</v>
      </c>
      <c r="T38" s="27"/>
    </row>
    <row r="39" spans="1:20" x14ac:dyDescent="0.25">
      <c r="A39" s="641"/>
      <c r="B39" s="595"/>
      <c r="C39" s="632"/>
      <c r="D39" s="617"/>
      <c r="E39" s="611" t="s">
        <v>292</v>
      </c>
      <c r="F39" s="30"/>
      <c r="G39" s="608">
        <v>0.63</v>
      </c>
      <c r="H39" s="608">
        <v>3</v>
      </c>
      <c r="I39" s="613">
        <f t="shared" ref="I39" si="3">H39*G39</f>
        <v>1.8900000000000001</v>
      </c>
      <c r="J39" s="608"/>
      <c r="K39" s="608"/>
      <c r="L39" s="608"/>
      <c r="M39" s="611">
        <v>5</v>
      </c>
      <c r="N39" s="633">
        <v>454.87</v>
      </c>
      <c r="O39" s="643">
        <f>I39*N39</f>
        <v>859.7043000000001</v>
      </c>
      <c r="P39" s="329" t="s">
        <v>310</v>
      </c>
      <c r="Q39" s="307">
        <v>0.01</v>
      </c>
      <c r="R39" s="308">
        <v>272</v>
      </c>
      <c r="S39" s="307">
        <f t="shared" si="0"/>
        <v>2.72</v>
      </c>
      <c r="T39" s="27"/>
    </row>
    <row r="40" spans="1:20" x14ac:dyDescent="0.25">
      <c r="A40" s="641"/>
      <c r="B40" s="595"/>
      <c r="C40" s="632"/>
      <c r="D40" s="617"/>
      <c r="E40" s="612"/>
      <c r="F40" s="30"/>
      <c r="G40" s="609"/>
      <c r="H40" s="609"/>
      <c r="I40" s="614"/>
      <c r="J40" s="609"/>
      <c r="K40" s="609"/>
      <c r="L40" s="609"/>
      <c r="M40" s="612"/>
      <c r="N40" s="606"/>
      <c r="O40" s="644"/>
      <c r="P40" s="329" t="s">
        <v>312</v>
      </c>
      <c r="Q40" s="307">
        <v>0.5</v>
      </c>
      <c r="R40" s="308">
        <v>272</v>
      </c>
      <c r="S40" s="307">
        <f t="shared" si="0"/>
        <v>136</v>
      </c>
      <c r="T40" s="27"/>
    </row>
    <row r="41" spans="1:20" x14ac:dyDescent="0.25">
      <c r="A41" s="641"/>
      <c r="B41" s="595"/>
      <c r="C41" s="632"/>
      <c r="D41" s="617"/>
      <c r="E41" s="612"/>
      <c r="F41" s="30"/>
      <c r="G41" s="609"/>
      <c r="H41" s="609"/>
      <c r="I41" s="614"/>
      <c r="J41" s="609"/>
      <c r="K41" s="609"/>
      <c r="L41" s="609"/>
      <c r="M41" s="612"/>
      <c r="N41" s="606"/>
      <c r="O41" s="644"/>
      <c r="P41" s="329" t="s">
        <v>313</v>
      </c>
      <c r="Q41" s="307">
        <v>0.1</v>
      </c>
      <c r="R41" s="308">
        <v>632</v>
      </c>
      <c r="S41" s="307">
        <f t="shared" si="0"/>
        <v>63.2</v>
      </c>
      <c r="T41" s="27"/>
    </row>
    <row r="42" spans="1:20" x14ac:dyDescent="0.25">
      <c r="A42" s="641"/>
      <c r="B42" s="595"/>
      <c r="C42" s="632"/>
      <c r="D42" s="617"/>
      <c r="E42" s="612"/>
      <c r="F42" s="30"/>
      <c r="G42" s="609"/>
      <c r="H42" s="609"/>
      <c r="I42" s="614"/>
      <c r="J42" s="609"/>
      <c r="K42" s="609"/>
      <c r="L42" s="609"/>
      <c r="M42" s="612"/>
      <c r="N42" s="606"/>
      <c r="O42" s="644"/>
      <c r="P42" s="329" t="s">
        <v>314</v>
      </c>
      <c r="Q42" s="307">
        <v>0.03</v>
      </c>
      <c r="R42" s="308">
        <v>1148</v>
      </c>
      <c r="S42" s="307">
        <f t="shared" si="0"/>
        <v>34.44</v>
      </c>
      <c r="T42" s="27"/>
    </row>
    <row r="43" spans="1:20" ht="31.5" x14ac:dyDescent="0.25">
      <c r="A43" s="641"/>
      <c r="B43" s="595"/>
      <c r="C43" s="632"/>
      <c r="D43" s="617"/>
      <c r="E43" s="612"/>
      <c r="F43" s="30"/>
      <c r="G43" s="609"/>
      <c r="H43" s="609"/>
      <c r="I43" s="614"/>
      <c r="J43" s="609"/>
      <c r="K43" s="609"/>
      <c r="L43" s="609"/>
      <c r="M43" s="612"/>
      <c r="N43" s="606"/>
      <c r="O43" s="644"/>
      <c r="P43" s="329" t="s">
        <v>315</v>
      </c>
      <c r="Q43" s="307">
        <v>4.0000000000000001E-3</v>
      </c>
      <c r="R43" s="308">
        <v>302</v>
      </c>
      <c r="S43" s="307">
        <f t="shared" si="0"/>
        <v>1.208</v>
      </c>
      <c r="T43" s="27"/>
    </row>
    <row r="44" spans="1:20" ht="31.5" x14ac:dyDescent="0.25">
      <c r="A44" s="641"/>
      <c r="B44" s="595"/>
      <c r="C44" s="632"/>
      <c r="D44" s="617"/>
      <c r="E44" s="612"/>
      <c r="F44" s="30"/>
      <c r="G44" s="609"/>
      <c r="H44" s="609"/>
      <c r="I44" s="614"/>
      <c r="J44" s="609"/>
      <c r="K44" s="609"/>
      <c r="L44" s="609"/>
      <c r="M44" s="612"/>
      <c r="N44" s="606"/>
      <c r="O44" s="644"/>
      <c r="P44" s="329" t="s">
        <v>316</v>
      </c>
      <c r="Q44" s="307">
        <v>5.0000000000000001E-3</v>
      </c>
      <c r="R44" s="308">
        <v>950</v>
      </c>
      <c r="S44" s="307">
        <f t="shared" si="0"/>
        <v>4.75</v>
      </c>
      <c r="T44" s="27"/>
    </row>
    <row r="45" spans="1:20" ht="31.5" x14ac:dyDescent="0.25">
      <c r="A45" s="641"/>
      <c r="B45" s="595"/>
      <c r="C45" s="632"/>
      <c r="D45" s="617"/>
      <c r="E45" s="612"/>
      <c r="F45" s="30"/>
      <c r="G45" s="609"/>
      <c r="H45" s="609"/>
      <c r="I45" s="614"/>
      <c r="J45" s="609"/>
      <c r="K45" s="609"/>
      <c r="L45" s="609"/>
      <c r="M45" s="612"/>
      <c r="N45" s="606"/>
      <c r="O45" s="644"/>
      <c r="P45" s="329" t="s">
        <v>291</v>
      </c>
      <c r="Q45" s="307">
        <v>5.0000000000000001E-3</v>
      </c>
      <c r="R45" s="308">
        <v>34</v>
      </c>
      <c r="S45" s="307">
        <f t="shared" si="0"/>
        <v>0.17</v>
      </c>
      <c r="T45" s="27"/>
    </row>
    <row r="46" spans="1:20" x14ac:dyDescent="0.25">
      <c r="A46" s="641"/>
      <c r="B46" s="595"/>
      <c r="C46" s="632"/>
      <c r="D46" s="617"/>
      <c r="E46" s="612"/>
      <c r="F46" s="30"/>
      <c r="G46" s="609"/>
      <c r="H46" s="609"/>
      <c r="I46" s="614"/>
      <c r="J46" s="609"/>
      <c r="K46" s="609"/>
      <c r="L46" s="609"/>
      <c r="M46" s="612"/>
      <c r="N46" s="606"/>
      <c r="O46" s="644"/>
      <c r="P46" s="329" t="s">
        <v>298</v>
      </c>
      <c r="Q46" s="307">
        <v>7.0000000000000007E-2</v>
      </c>
      <c r="R46" s="308">
        <v>179.8</v>
      </c>
      <c r="S46" s="307">
        <f t="shared" si="0"/>
        <v>12.586000000000002</v>
      </c>
      <c r="T46" s="27"/>
    </row>
    <row r="47" spans="1:20" ht="31.5" x14ac:dyDescent="0.25">
      <c r="A47" s="641"/>
      <c r="B47" s="595"/>
      <c r="C47" s="632"/>
      <c r="D47" s="617"/>
      <c r="E47" s="490"/>
      <c r="F47" s="30"/>
      <c r="G47" s="610"/>
      <c r="H47" s="610"/>
      <c r="I47" s="615"/>
      <c r="J47" s="610"/>
      <c r="K47" s="610"/>
      <c r="L47" s="610"/>
      <c r="M47" s="490"/>
      <c r="N47" s="607"/>
      <c r="O47" s="645"/>
      <c r="P47" s="329" t="s">
        <v>311</v>
      </c>
      <c r="Q47" s="307">
        <v>0.01</v>
      </c>
      <c r="R47" s="308">
        <v>1385</v>
      </c>
      <c r="S47" s="307">
        <f t="shared" si="0"/>
        <v>13.85</v>
      </c>
      <c r="T47" s="27"/>
    </row>
    <row r="48" spans="1:20" x14ac:dyDescent="0.25">
      <c r="A48" s="641"/>
      <c r="B48" s="595"/>
      <c r="C48" s="632"/>
      <c r="D48" s="617"/>
      <c r="E48" s="611" t="s">
        <v>294</v>
      </c>
      <c r="F48" s="30"/>
      <c r="G48" s="608">
        <v>2.36</v>
      </c>
      <c r="H48" s="608">
        <v>1</v>
      </c>
      <c r="I48" s="613">
        <f t="shared" ref="I48" si="4">H48*G48</f>
        <v>2.36</v>
      </c>
      <c r="J48" s="608"/>
      <c r="K48" s="608"/>
      <c r="L48" s="608"/>
      <c r="M48" s="611">
        <v>5</v>
      </c>
      <c r="N48" s="633">
        <v>454.87</v>
      </c>
      <c r="O48" s="643">
        <f>I48*N48</f>
        <v>1073.4931999999999</v>
      </c>
      <c r="P48" s="329" t="s">
        <v>310</v>
      </c>
      <c r="Q48" s="307">
        <v>0.01</v>
      </c>
      <c r="R48" s="308">
        <v>272</v>
      </c>
      <c r="S48" s="307">
        <f t="shared" si="0"/>
        <v>2.72</v>
      </c>
      <c r="T48" s="27"/>
    </row>
    <row r="49" spans="1:20" x14ac:dyDescent="0.25">
      <c r="A49" s="641"/>
      <c r="B49" s="595"/>
      <c r="C49" s="632"/>
      <c r="D49" s="617"/>
      <c r="E49" s="612"/>
      <c r="F49" s="30"/>
      <c r="G49" s="609"/>
      <c r="H49" s="609"/>
      <c r="I49" s="614"/>
      <c r="J49" s="609"/>
      <c r="K49" s="609"/>
      <c r="L49" s="609"/>
      <c r="M49" s="612"/>
      <c r="N49" s="606"/>
      <c r="O49" s="644"/>
      <c r="P49" s="329" t="s">
        <v>314</v>
      </c>
      <c r="Q49" s="307">
        <v>0.03</v>
      </c>
      <c r="R49" s="308">
        <v>179</v>
      </c>
      <c r="S49" s="307">
        <f t="shared" si="0"/>
        <v>5.37</v>
      </c>
      <c r="T49" s="27"/>
    </row>
    <row r="50" spans="1:20" ht="31.5" x14ac:dyDescent="0.25">
      <c r="A50" s="641"/>
      <c r="B50" s="595"/>
      <c r="C50" s="632"/>
      <c r="D50" s="617"/>
      <c r="E50" s="612"/>
      <c r="F50" s="30"/>
      <c r="G50" s="609"/>
      <c r="H50" s="609"/>
      <c r="I50" s="614"/>
      <c r="J50" s="609"/>
      <c r="K50" s="609"/>
      <c r="L50" s="609"/>
      <c r="M50" s="612"/>
      <c r="N50" s="606"/>
      <c r="O50" s="644"/>
      <c r="P50" s="329" t="s">
        <v>315</v>
      </c>
      <c r="Q50" s="307">
        <v>4.0000000000000001E-3</v>
      </c>
      <c r="R50" s="308">
        <v>302</v>
      </c>
      <c r="S50" s="307">
        <f t="shared" si="0"/>
        <v>1.208</v>
      </c>
      <c r="T50" s="27"/>
    </row>
    <row r="51" spans="1:20" ht="31.5" x14ac:dyDescent="0.25">
      <c r="A51" s="641"/>
      <c r="B51" s="595"/>
      <c r="C51" s="632"/>
      <c r="D51" s="617"/>
      <c r="E51" s="612"/>
      <c r="F51" s="30"/>
      <c r="G51" s="609"/>
      <c r="H51" s="609"/>
      <c r="I51" s="614"/>
      <c r="J51" s="609"/>
      <c r="K51" s="609"/>
      <c r="L51" s="609"/>
      <c r="M51" s="612"/>
      <c r="N51" s="606"/>
      <c r="O51" s="644"/>
      <c r="P51" s="329" t="s">
        <v>316</v>
      </c>
      <c r="Q51" s="307">
        <v>5.0000000000000001E-3</v>
      </c>
      <c r="R51" s="308">
        <v>950</v>
      </c>
      <c r="S51" s="307">
        <f t="shared" si="0"/>
        <v>4.75</v>
      </c>
      <c r="T51" s="27"/>
    </row>
    <row r="52" spans="1:20" ht="31.5" x14ac:dyDescent="0.25">
      <c r="A52" s="641"/>
      <c r="B52" s="595"/>
      <c r="C52" s="632"/>
      <c r="D52" s="617"/>
      <c r="E52" s="612"/>
      <c r="F52" s="30"/>
      <c r="G52" s="609"/>
      <c r="H52" s="609"/>
      <c r="I52" s="614"/>
      <c r="J52" s="609"/>
      <c r="K52" s="609"/>
      <c r="L52" s="609"/>
      <c r="M52" s="612"/>
      <c r="N52" s="606"/>
      <c r="O52" s="644"/>
      <c r="P52" s="329" t="s">
        <v>291</v>
      </c>
      <c r="Q52" s="307">
        <v>5.0000000000000001E-3</v>
      </c>
      <c r="R52" s="308">
        <v>34</v>
      </c>
      <c r="S52" s="307">
        <f t="shared" si="0"/>
        <v>0.17</v>
      </c>
      <c r="T52" s="27"/>
    </row>
    <row r="53" spans="1:20" x14ac:dyDescent="0.25">
      <c r="A53" s="641"/>
      <c r="B53" s="595"/>
      <c r="C53" s="632"/>
      <c r="D53" s="617"/>
      <c r="E53" s="612"/>
      <c r="F53" s="30"/>
      <c r="G53" s="609"/>
      <c r="H53" s="609"/>
      <c r="I53" s="614"/>
      <c r="J53" s="609"/>
      <c r="K53" s="609"/>
      <c r="L53" s="609"/>
      <c r="M53" s="612"/>
      <c r="N53" s="606"/>
      <c r="O53" s="644"/>
      <c r="P53" s="329" t="s">
        <v>317</v>
      </c>
      <c r="Q53" s="307">
        <v>0.2</v>
      </c>
      <c r="R53" s="308">
        <v>294.12</v>
      </c>
      <c r="S53" s="307">
        <f t="shared" si="0"/>
        <v>58.824000000000005</v>
      </c>
      <c r="T53" s="27"/>
    </row>
    <row r="54" spans="1:20" x14ac:dyDescent="0.25">
      <c r="A54" s="641"/>
      <c r="B54" s="595"/>
      <c r="C54" s="632"/>
      <c r="D54" s="617"/>
      <c r="E54" s="612"/>
      <c r="F54" s="30"/>
      <c r="G54" s="609"/>
      <c r="H54" s="609"/>
      <c r="I54" s="614"/>
      <c r="J54" s="609"/>
      <c r="K54" s="609"/>
      <c r="L54" s="609"/>
      <c r="M54" s="612"/>
      <c r="N54" s="606"/>
      <c r="O54" s="644"/>
      <c r="P54" s="329" t="s">
        <v>318</v>
      </c>
      <c r="Q54" s="307">
        <v>1</v>
      </c>
      <c r="R54" s="308">
        <v>256.5</v>
      </c>
      <c r="S54" s="307">
        <f t="shared" si="0"/>
        <v>256.5</v>
      </c>
      <c r="T54" s="27"/>
    </row>
    <row r="55" spans="1:20" ht="31.5" x14ac:dyDescent="0.25">
      <c r="A55" s="641"/>
      <c r="B55" s="595"/>
      <c r="C55" s="632"/>
      <c r="D55" s="617"/>
      <c r="E55" s="612"/>
      <c r="F55" s="30"/>
      <c r="G55" s="609"/>
      <c r="H55" s="609"/>
      <c r="I55" s="614"/>
      <c r="J55" s="609"/>
      <c r="K55" s="609"/>
      <c r="L55" s="609"/>
      <c r="M55" s="612"/>
      <c r="N55" s="606"/>
      <c r="O55" s="644"/>
      <c r="P55" s="329" t="s">
        <v>319</v>
      </c>
      <c r="Q55" s="307">
        <v>1.5</v>
      </c>
      <c r="R55" s="308">
        <v>400</v>
      </c>
      <c r="S55" s="307">
        <f t="shared" si="0"/>
        <v>600</v>
      </c>
      <c r="T55" s="27"/>
    </row>
    <row r="56" spans="1:20" ht="31.5" x14ac:dyDescent="0.25">
      <c r="A56" s="641"/>
      <c r="B56" s="595"/>
      <c r="C56" s="632"/>
      <c r="D56" s="617"/>
      <c r="E56" s="612"/>
      <c r="F56" s="30"/>
      <c r="G56" s="609"/>
      <c r="H56" s="609"/>
      <c r="I56" s="614"/>
      <c r="J56" s="609"/>
      <c r="K56" s="609"/>
      <c r="L56" s="609"/>
      <c r="M56" s="612"/>
      <c r="N56" s="606"/>
      <c r="O56" s="644"/>
      <c r="P56" s="329" t="s">
        <v>320</v>
      </c>
      <c r="Q56" s="307">
        <v>2</v>
      </c>
      <c r="R56" s="308">
        <v>102</v>
      </c>
      <c r="S56" s="307">
        <f t="shared" si="0"/>
        <v>204</v>
      </c>
      <c r="T56" s="27"/>
    </row>
    <row r="57" spans="1:20" x14ac:dyDescent="0.25">
      <c r="A57" s="641"/>
      <c r="B57" s="595"/>
      <c r="C57" s="632"/>
      <c r="D57" s="617"/>
      <c r="E57" s="612"/>
      <c r="F57" s="30"/>
      <c r="G57" s="609"/>
      <c r="H57" s="609"/>
      <c r="I57" s="614"/>
      <c r="J57" s="609"/>
      <c r="K57" s="609"/>
      <c r="L57" s="609"/>
      <c r="M57" s="612"/>
      <c r="N57" s="606"/>
      <c r="O57" s="644"/>
      <c r="P57" s="329" t="s">
        <v>298</v>
      </c>
      <c r="Q57" s="307">
        <v>7.0000000000000007E-2</v>
      </c>
      <c r="R57" s="308">
        <v>179.8</v>
      </c>
      <c r="S57" s="307">
        <f t="shared" si="0"/>
        <v>12.586000000000002</v>
      </c>
      <c r="T57" s="27"/>
    </row>
    <row r="58" spans="1:20" x14ac:dyDescent="0.25">
      <c r="A58" s="641"/>
      <c r="B58" s="595"/>
      <c r="C58" s="632"/>
      <c r="D58" s="617"/>
      <c r="E58" s="612"/>
      <c r="F58" s="30"/>
      <c r="G58" s="609"/>
      <c r="H58" s="609"/>
      <c r="I58" s="614"/>
      <c r="J58" s="609"/>
      <c r="K58" s="609"/>
      <c r="L58" s="609"/>
      <c r="M58" s="612"/>
      <c r="N58" s="606"/>
      <c r="O58" s="644"/>
      <c r="P58" s="329" t="s">
        <v>321</v>
      </c>
      <c r="Q58" s="307">
        <v>2</v>
      </c>
      <c r="R58" s="308">
        <v>527</v>
      </c>
      <c r="S58" s="307">
        <f t="shared" si="0"/>
        <v>1054</v>
      </c>
      <c r="T58" s="27"/>
    </row>
    <row r="59" spans="1:20" ht="31.5" x14ac:dyDescent="0.25">
      <c r="A59" s="641"/>
      <c r="B59" s="595"/>
      <c r="C59" s="628"/>
      <c r="D59" s="604"/>
      <c r="E59" s="490"/>
      <c r="F59" s="30"/>
      <c r="G59" s="610"/>
      <c r="H59" s="610"/>
      <c r="I59" s="615"/>
      <c r="J59" s="610"/>
      <c r="K59" s="610"/>
      <c r="L59" s="610"/>
      <c r="M59" s="490"/>
      <c r="N59" s="607"/>
      <c r="O59" s="645"/>
      <c r="P59" s="329" t="s">
        <v>311</v>
      </c>
      <c r="Q59" s="307">
        <v>0.01</v>
      </c>
      <c r="R59" s="308">
        <v>1385</v>
      </c>
      <c r="S59" s="307">
        <f t="shared" si="0"/>
        <v>13.85</v>
      </c>
      <c r="T59" s="27"/>
    </row>
    <row r="60" spans="1:20" x14ac:dyDescent="0.25">
      <c r="A60" s="641"/>
      <c r="B60" s="595"/>
      <c r="C60" s="627" t="s">
        <v>322</v>
      </c>
      <c r="D60" s="603">
        <v>1</v>
      </c>
      <c r="E60" s="611" t="s">
        <v>290</v>
      </c>
      <c r="F60" s="30"/>
      <c r="G60" s="608">
        <v>0.32</v>
      </c>
      <c r="H60" s="608">
        <v>8</v>
      </c>
      <c r="I60" s="613">
        <f>H60*G60</f>
        <v>2.56</v>
      </c>
      <c r="J60" s="629"/>
      <c r="K60" s="608"/>
      <c r="L60" s="608"/>
      <c r="M60" s="611">
        <v>5</v>
      </c>
      <c r="N60" s="633">
        <v>454.87</v>
      </c>
      <c r="O60" s="643">
        <f t="shared" ref="O60:O63" si="5">I60*N60</f>
        <v>1164.4672</v>
      </c>
      <c r="P60" s="329" t="s">
        <v>310</v>
      </c>
      <c r="Q60" s="307">
        <v>0.01</v>
      </c>
      <c r="R60" s="308">
        <v>272</v>
      </c>
      <c r="S60" s="307">
        <f t="shared" si="0"/>
        <v>2.72</v>
      </c>
      <c r="T60" s="27"/>
    </row>
    <row r="61" spans="1:20" x14ac:dyDescent="0.25">
      <c r="A61" s="641"/>
      <c r="B61" s="595"/>
      <c r="C61" s="632"/>
      <c r="D61" s="617"/>
      <c r="E61" s="612"/>
      <c r="F61" s="30"/>
      <c r="G61" s="609"/>
      <c r="H61" s="609"/>
      <c r="I61" s="614"/>
      <c r="J61" s="630"/>
      <c r="K61" s="609"/>
      <c r="L61" s="609"/>
      <c r="M61" s="612"/>
      <c r="N61" s="606"/>
      <c r="O61" s="644"/>
      <c r="P61" s="329" t="s">
        <v>298</v>
      </c>
      <c r="Q61" s="307">
        <v>0.03</v>
      </c>
      <c r="R61" s="308">
        <v>179.8</v>
      </c>
      <c r="S61" s="307">
        <f t="shared" si="0"/>
        <v>5.3940000000000001</v>
      </c>
      <c r="T61" s="27"/>
    </row>
    <row r="62" spans="1:20" ht="31.5" x14ac:dyDescent="0.25">
      <c r="A62" s="641"/>
      <c r="B62" s="595"/>
      <c r="C62" s="632"/>
      <c r="D62" s="617"/>
      <c r="E62" s="490"/>
      <c r="F62" s="30"/>
      <c r="G62" s="610"/>
      <c r="H62" s="610"/>
      <c r="I62" s="615"/>
      <c r="J62" s="631"/>
      <c r="K62" s="610"/>
      <c r="L62" s="610"/>
      <c r="M62" s="490"/>
      <c r="N62" s="607"/>
      <c r="O62" s="645"/>
      <c r="P62" s="329" t="s">
        <v>311</v>
      </c>
      <c r="Q62" s="307">
        <v>0.03</v>
      </c>
      <c r="R62" s="308">
        <v>1385</v>
      </c>
      <c r="S62" s="307">
        <f t="shared" si="0"/>
        <v>41.55</v>
      </c>
      <c r="T62" s="27"/>
    </row>
    <row r="63" spans="1:20" x14ac:dyDescent="0.25">
      <c r="A63" s="641"/>
      <c r="B63" s="595"/>
      <c r="C63" s="632"/>
      <c r="D63" s="617"/>
      <c r="E63" s="611" t="s">
        <v>292</v>
      </c>
      <c r="F63" s="30"/>
      <c r="G63" s="608">
        <v>0.63</v>
      </c>
      <c r="H63" s="608">
        <v>3</v>
      </c>
      <c r="I63" s="613">
        <f t="shared" ref="I63" si="6">H63*G63</f>
        <v>1.8900000000000001</v>
      </c>
      <c r="J63" s="608"/>
      <c r="K63" s="608"/>
      <c r="L63" s="608"/>
      <c r="M63" s="611">
        <v>5</v>
      </c>
      <c r="N63" s="633">
        <v>454.87</v>
      </c>
      <c r="O63" s="643">
        <f t="shared" si="5"/>
        <v>859.7043000000001</v>
      </c>
      <c r="P63" s="329" t="s">
        <v>310</v>
      </c>
      <c r="Q63" s="307">
        <v>0.01</v>
      </c>
      <c r="R63" s="308">
        <v>272</v>
      </c>
      <c r="S63" s="307">
        <f t="shared" si="0"/>
        <v>2.72</v>
      </c>
      <c r="T63" s="27"/>
    </row>
    <row r="64" spans="1:20" x14ac:dyDescent="0.25">
      <c r="A64" s="641"/>
      <c r="B64" s="595"/>
      <c r="C64" s="632"/>
      <c r="D64" s="617"/>
      <c r="E64" s="612"/>
      <c r="F64" s="30"/>
      <c r="G64" s="609"/>
      <c r="H64" s="609"/>
      <c r="I64" s="614"/>
      <c r="J64" s="609"/>
      <c r="K64" s="609"/>
      <c r="L64" s="609"/>
      <c r="M64" s="612"/>
      <c r="N64" s="606"/>
      <c r="O64" s="644"/>
      <c r="P64" s="329" t="s">
        <v>312</v>
      </c>
      <c r="Q64" s="307">
        <v>0.5</v>
      </c>
      <c r="R64" s="308">
        <v>272</v>
      </c>
      <c r="S64" s="307">
        <f t="shared" si="0"/>
        <v>136</v>
      </c>
      <c r="T64" s="27"/>
    </row>
    <row r="65" spans="1:20" x14ac:dyDescent="0.25">
      <c r="A65" s="641"/>
      <c r="B65" s="595"/>
      <c r="C65" s="632"/>
      <c r="D65" s="617"/>
      <c r="E65" s="612"/>
      <c r="F65" s="30"/>
      <c r="G65" s="609"/>
      <c r="H65" s="609"/>
      <c r="I65" s="614"/>
      <c r="J65" s="609"/>
      <c r="K65" s="609"/>
      <c r="L65" s="609"/>
      <c r="M65" s="612"/>
      <c r="N65" s="606"/>
      <c r="O65" s="644"/>
      <c r="P65" s="329" t="s">
        <v>313</v>
      </c>
      <c r="Q65" s="307">
        <v>0.1</v>
      </c>
      <c r="R65" s="308">
        <v>632</v>
      </c>
      <c r="S65" s="307">
        <f t="shared" si="0"/>
        <v>63.2</v>
      </c>
      <c r="T65" s="27"/>
    </row>
    <row r="66" spans="1:20" x14ac:dyDescent="0.25">
      <c r="A66" s="641"/>
      <c r="B66" s="595"/>
      <c r="C66" s="632"/>
      <c r="D66" s="617"/>
      <c r="E66" s="612"/>
      <c r="F66" s="30"/>
      <c r="G66" s="609"/>
      <c r="H66" s="609"/>
      <c r="I66" s="614"/>
      <c r="J66" s="609"/>
      <c r="K66" s="609"/>
      <c r="L66" s="609"/>
      <c r="M66" s="612"/>
      <c r="N66" s="606"/>
      <c r="O66" s="644"/>
      <c r="P66" s="329" t="s">
        <v>314</v>
      </c>
      <c r="Q66" s="307">
        <v>0.03</v>
      </c>
      <c r="R66" s="308">
        <v>179</v>
      </c>
      <c r="S66" s="307">
        <f t="shared" si="0"/>
        <v>5.37</v>
      </c>
      <c r="T66" s="27"/>
    </row>
    <row r="67" spans="1:20" ht="31.5" x14ac:dyDescent="0.25">
      <c r="A67" s="641"/>
      <c r="B67" s="595"/>
      <c r="C67" s="632"/>
      <c r="D67" s="617"/>
      <c r="E67" s="612"/>
      <c r="F67" s="30"/>
      <c r="G67" s="609"/>
      <c r="H67" s="609"/>
      <c r="I67" s="614"/>
      <c r="J67" s="609"/>
      <c r="K67" s="609"/>
      <c r="L67" s="609"/>
      <c r="M67" s="612"/>
      <c r="N67" s="606"/>
      <c r="O67" s="644"/>
      <c r="P67" s="329" t="s">
        <v>315</v>
      </c>
      <c r="Q67" s="307">
        <v>4.0000000000000001E-3</v>
      </c>
      <c r="R67" s="308">
        <v>302</v>
      </c>
      <c r="S67" s="307">
        <f t="shared" si="0"/>
        <v>1.208</v>
      </c>
      <c r="T67" s="27"/>
    </row>
    <row r="68" spans="1:20" ht="31.5" x14ac:dyDescent="0.25">
      <c r="A68" s="641"/>
      <c r="B68" s="595"/>
      <c r="C68" s="632"/>
      <c r="D68" s="617"/>
      <c r="E68" s="612"/>
      <c r="F68" s="30"/>
      <c r="G68" s="609"/>
      <c r="H68" s="609"/>
      <c r="I68" s="614"/>
      <c r="J68" s="609"/>
      <c r="K68" s="609"/>
      <c r="L68" s="609"/>
      <c r="M68" s="612"/>
      <c r="N68" s="606"/>
      <c r="O68" s="644"/>
      <c r="P68" s="329" t="s">
        <v>316</v>
      </c>
      <c r="Q68" s="307">
        <v>5.0000000000000001E-3</v>
      </c>
      <c r="R68" s="308">
        <v>950</v>
      </c>
      <c r="S68" s="307">
        <f t="shared" si="0"/>
        <v>4.75</v>
      </c>
      <c r="T68" s="27"/>
    </row>
    <row r="69" spans="1:20" ht="31.5" x14ac:dyDescent="0.25">
      <c r="A69" s="641"/>
      <c r="B69" s="595"/>
      <c r="C69" s="632"/>
      <c r="D69" s="617"/>
      <c r="E69" s="612"/>
      <c r="F69" s="30"/>
      <c r="G69" s="609"/>
      <c r="H69" s="609"/>
      <c r="I69" s="614"/>
      <c r="J69" s="609"/>
      <c r="K69" s="609"/>
      <c r="L69" s="609"/>
      <c r="M69" s="612"/>
      <c r="N69" s="606"/>
      <c r="O69" s="644"/>
      <c r="P69" s="329" t="s">
        <v>291</v>
      </c>
      <c r="Q69" s="307">
        <v>5.0000000000000001E-3</v>
      </c>
      <c r="R69" s="308">
        <v>34</v>
      </c>
      <c r="S69" s="307">
        <f t="shared" si="0"/>
        <v>0.17</v>
      </c>
      <c r="T69" s="27"/>
    </row>
    <row r="70" spans="1:20" x14ac:dyDescent="0.25">
      <c r="A70" s="641"/>
      <c r="B70" s="595"/>
      <c r="C70" s="632"/>
      <c r="D70" s="617"/>
      <c r="E70" s="612"/>
      <c r="F70" s="30"/>
      <c r="G70" s="609"/>
      <c r="H70" s="609"/>
      <c r="I70" s="614"/>
      <c r="J70" s="609"/>
      <c r="K70" s="609"/>
      <c r="L70" s="609"/>
      <c r="M70" s="612"/>
      <c r="N70" s="606"/>
      <c r="O70" s="644"/>
      <c r="P70" s="329" t="s">
        <v>298</v>
      </c>
      <c r="Q70" s="307">
        <v>7.0000000000000007E-2</v>
      </c>
      <c r="R70" s="308">
        <v>179.8</v>
      </c>
      <c r="S70" s="307">
        <f t="shared" si="0"/>
        <v>12.586000000000002</v>
      </c>
      <c r="T70" s="27"/>
    </row>
    <row r="71" spans="1:20" ht="31.5" x14ac:dyDescent="0.25">
      <c r="A71" s="641"/>
      <c r="B71" s="595"/>
      <c r="C71" s="632"/>
      <c r="D71" s="617"/>
      <c r="E71" s="490"/>
      <c r="F71" s="30"/>
      <c r="G71" s="610"/>
      <c r="H71" s="610"/>
      <c r="I71" s="615"/>
      <c r="J71" s="610"/>
      <c r="K71" s="610"/>
      <c r="L71" s="610"/>
      <c r="M71" s="490"/>
      <c r="N71" s="607"/>
      <c r="O71" s="645"/>
      <c r="P71" s="329" t="s">
        <v>311</v>
      </c>
      <c r="Q71" s="307">
        <v>0.01</v>
      </c>
      <c r="R71" s="308">
        <v>1385</v>
      </c>
      <c r="S71" s="307">
        <f t="shared" ref="S71:S134" si="7">(Q71*R71)</f>
        <v>13.85</v>
      </c>
      <c r="T71" s="27"/>
    </row>
    <row r="72" spans="1:20" x14ac:dyDescent="0.25">
      <c r="A72" s="641"/>
      <c r="B72" s="595"/>
      <c r="C72" s="632"/>
      <c r="D72" s="617"/>
      <c r="E72" s="611" t="s">
        <v>294</v>
      </c>
      <c r="F72" s="30"/>
      <c r="G72" s="608">
        <v>2.36</v>
      </c>
      <c r="H72" s="608">
        <v>1</v>
      </c>
      <c r="I72" s="613">
        <f t="shared" ref="I72" si="8">H72*G72</f>
        <v>2.36</v>
      </c>
      <c r="J72" s="608"/>
      <c r="K72" s="608"/>
      <c r="L72" s="608"/>
      <c r="M72" s="611">
        <v>5</v>
      </c>
      <c r="N72" s="633">
        <v>454.87</v>
      </c>
      <c r="O72" s="643">
        <f>I72*N72</f>
        <v>1073.4931999999999</v>
      </c>
      <c r="P72" s="329" t="s">
        <v>310</v>
      </c>
      <c r="Q72" s="307">
        <v>0.01</v>
      </c>
      <c r="R72" s="308">
        <v>272</v>
      </c>
      <c r="S72" s="307">
        <f t="shared" si="7"/>
        <v>2.72</v>
      </c>
      <c r="T72" s="27"/>
    </row>
    <row r="73" spans="1:20" x14ac:dyDescent="0.25">
      <c r="A73" s="641"/>
      <c r="B73" s="595"/>
      <c r="C73" s="632"/>
      <c r="D73" s="617"/>
      <c r="E73" s="612"/>
      <c r="F73" s="30"/>
      <c r="G73" s="609"/>
      <c r="H73" s="609"/>
      <c r="I73" s="614"/>
      <c r="J73" s="609"/>
      <c r="K73" s="609"/>
      <c r="L73" s="609"/>
      <c r="M73" s="612"/>
      <c r="N73" s="606"/>
      <c r="O73" s="644"/>
      <c r="P73" s="329" t="s">
        <v>314</v>
      </c>
      <c r="Q73" s="307">
        <v>0.03</v>
      </c>
      <c r="R73" s="308">
        <v>179</v>
      </c>
      <c r="S73" s="307">
        <f t="shared" si="7"/>
        <v>5.37</v>
      </c>
      <c r="T73" s="27"/>
    </row>
    <row r="74" spans="1:20" ht="31.5" x14ac:dyDescent="0.25">
      <c r="A74" s="641"/>
      <c r="B74" s="595"/>
      <c r="C74" s="632"/>
      <c r="D74" s="617"/>
      <c r="E74" s="612"/>
      <c r="F74" s="30"/>
      <c r="G74" s="609"/>
      <c r="H74" s="609"/>
      <c r="I74" s="614"/>
      <c r="J74" s="609"/>
      <c r="K74" s="609"/>
      <c r="L74" s="609"/>
      <c r="M74" s="612"/>
      <c r="N74" s="606"/>
      <c r="O74" s="644"/>
      <c r="P74" s="329" t="s">
        <v>315</v>
      </c>
      <c r="Q74" s="307">
        <v>4.0000000000000001E-3</v>
      </c>
      <c r="R74" s="308">
        <v>302</v>
      </c>
      <c r="S74" s="307">
        <f t="shared" si="7"/>
        <v>1.208</v>
      </c>
      <c r="T74" s="27"/>
    </row>
    <row r="75" spans="1:20" ht="31.5" x14ac:dyDescent="0.25">
      <c r="A75" s="641"/>
      <c r="B75" s="595"/>
      <c r="C75" s="632"/>
      <c r="D75" s="617"/>
      <c r="E75" s="612"/>
      <c r="F75" s="30"/>
      <c r="G75" s="609"/>
      <c r="H75" s="609"/>
      <c r="I75" s="614"/>
      <c r="J75" s="609"/>
      <c r="K75" s="609"/>
      <c r="L75" s="609"/>
      <c r="M75" s="612"/>
      <c r="N75" s="606"/>
      <c r="O75" s="644"/>
      <c r="P75" s="329" t="s">
        <v>316</v>
      </c>
      <c r="Q75" s="307">
        <v>5.0000000000000001E-3</v>
      </c>
      <c r="R75" s="308">
        <v>950</v>
      </c>
      <c r="S75" s="307">
        <f t="shared" si="7"/>
        <v>4.75</v>
      </c>
      <c r="T75" s="27"/>
    </row>
    <row r="76" spans="1:20" ht="31.5" x14ac:dyDescent="0.25">
      <c r="A76" s="641"/>
      <c r="B76" s="595"/>
      <c r="C76" s="632"/>
      <c r="D76" s="617"/>
      <c r="E76" s="612"/>
      <c r="F76" s="30"/>
      <c r="G76" s="609"/>
      <c r="H76" s="609"/>
      <c r="I76" s="614"/>
      <c r="J76" s="609"/>
      <c r="K76" s="609"/>
      <c r="L76" s="609"/>
      <c r="M76" s="612"/>
      <c r="N76" s="606"/>
      <c r="O76" s="644"/>
      <c r="P76" s="329" t="s">
        <v>291</v>
      </c>
      <c r="Q76" s="307">
        <v>5.0000000000000001E-3</v>
      </c>
      <c r="R76" s="308">
        <v>34</v>
      </c>
      <c r="S76" s="307">
        <f t="shared" si="7"/>
        <v>0.17</v>
      </c>
      <c r="T76" s="27"/>
    </row>
    <row r="77" spans="1:20" x14ac:dyDescent="0.25">
      <c r="A77" s="641"/>
      <c r="B77" s="595"/>
      <c r="C77" s="632"/>
      <c r="D77" s="617"/>
      <c r="E77" s="612"/>
      <c r="F77" s="30"/>
      <c r="G77" s="609"/>
      <c r="H77" s="609"/>
      <c r="I77" s="614"/>
      <c r="J77" s="609"/>
      <c r="K77" s="609"/>
      <c r="L77" s="609"/>
      <c r="M77" s="612"/>
      <c r="N77" s="606"/>
      <c r="O77" s="644"/>
      <c r="P77" s="329" t="s">
        <v>317</v>
      </c>
      <c r="Q77" s="307">
        <v>0.2</v>
      </c>
      <c r="R77" s="308">
        <v>294.12</v>
      </c>
      <c r="S77" s="307">
        <f t="shared" si="7"/>
        <v>58.824000000000005</v>
      </c>
      <c r="T77" s="27"/>
    </row>
    <row r="78" spans="1:20" x14ac:dyDescent="0.25">
      <c r="A78" s="641"/>
      <c r="B78" s="595"/>
      <c r="C78" s="632"/>
      <c r="D78" s="617"/>
      <c r="E78" s="612"/>
      <c r="F78" s="30"/>
      <c r="G78" s="609"/>
      <c r="H78" s="609"/>
      <c r="I78" s="614"/>
      <c r="J78" s="609"/>
      <c r="K78" s="609"/>
      <c r="L78" s="609"/>
      <c r="M78" s="612"/>
      <c r="N78" s="606"/>
      <c r="O78" s="644"/>
      <c r="P78" s="329" t="s">
        <v>318</v>
      </c>
      <c r="Q78" s="307">
        <v>1</v>
      </c>
      <c r="R78" s="308">
        <v>256.5</v>
      </c>
      <c r="S78" s="307">
        <f t="shared" si="7"/>
        <v>256.5</v>
      </c>
      <c r="T78" s="27"/>
    </row>
    <row r="79" spans="1:20" ht="31.5" x14ac:dyDescent="0.25">
      <c r="A79" s="641"/>
      <c r="B79" s="595"/>
      <c r="C79" s="632"/>
      <c r="D79" s="617"/>
      <c r="E79" s="612"/>
      <c r="F79" s="30"/>
      <c r="G79" s="609"/>
      <c r="H79" s="609"/>
      <c r="I79" s="614"/>
      <c r="J79" s="609"/>
      <c r="K79" s="609"/>
      <c r="L79" s="609"/>
      <c r="M79" s="612"/>
      <c r="N79" s="606"/>
      <c r="O79" s="644"/>
      <c r="P79" s="329" t="s">
        <v>319</v>
      </c>
      <c r="Q79" s="307">
        <v>1.5</v>
      </c>
      <c r="R79" s="308">
        <v>400</v>
      </c>
      <c r="S79" s="307">
        <f t="shared" si="7"/>
        <v>600</v>
      </c>
      <c r="T79" s="27"/>
    </row>
    <row r="80" spans="1:20" ht="31.5" x14ac:dyDescent="0.25">
      <c r="A80" s="641"/>
      <c r="B80" s="595"/>
      <c r="C80" s="632"/>
      <c r="D80" s="617"/>
      <c r="E80" s="612"/>
      <c r="F80" s="30"/>
      <c r="G80" s="609"/>
      <c r="H80" s="609"/>
      <c r="I80" s="614"/>
      <c r="J80" s="609"/>
      <c r="K80" s="609"/>
      <c r="L80" s="609"/>
      <c r="M80" s="612"/>
      <c r="N80" s="606"/>
      <c r="O80" s="644"/>
      <c r="P80" s="329" t="s">
        <v>320</v>
      </c>
      <c r="Q80" s="307">
        <v>2</v>
      </c>
      <c r="R80" s="308">
        <v>102</v>
      </c>
      <c r="S80" s="307">
        <f t="shared" si="7"/>
        <v>204</v>
      </c>
      <c r="T80" s="27"/>
    </row>
    <row r="81" spans="1:20" x14ac:dyDescent="0.25">
      <c r="A81" s="641"/>
      <c r="B81" s="595"/>
      <c r="C81" s="632"/>
      <c r="D81" s="617"/>
      <c r="E81" s="612"/>
      <c r="F81" s="30"/>
      <c r="G81" s="609"/>
      <c r="H81" s="609"/>
      <c r="I81" s="614"/>
      <c r="J81" s="609"/>
      <c r="K81" s="609"/>
      <c r="L81" s="609"/>
      <c r="M81" s="612"/>
      <c r="N81" s="606"/>
      <c r="O81" s="644"/>
      <c r="P81" s="329" t="s">
        <v>298</v>
      </c>
      <c r="Q81" s="307">
        <v>7.0000000000000007E-2</v>
      </c>
      <c r="R81" s="308">
        <v>179.8</v>
      </c>
      <c r="S81" s="307">
        <f t="shared" si="7"/>
        <v>12.586000000000002</v>
      </c>
      <c r="T81" s="27"/>
    </row>
    <row r="82" spans="1:20" x14ac:dyDescent="0.25">
      <c r="A82" s="641"/>
      <c r="B82" s="595"/>
      <c r="C82" s="632"/>
      <c r="D82" s="617"/>
      <c r="E82" s="612"/>
      <c r="F82" s="30"/>
      <c r="G82" s="609"/>
      <c r="H82" s="609"/>
      <c r="I82" s="614"/>
      <c r="J82" s="609"/>
      <c r="K82" s="609"/>
      <c r="L82" s="609"/>
      <c r="M82" s="612"/>
      <c r="N82" s="606"/>
      <c r="O82" s="644"/>
      <c r="P82" s="329" t="s">
        <v>321</v>
      </c>
      <c r="Q82" s="307">
        <v>2</v>
      </c>
      <c r="R82" s="308">
        <v>527</v>
      </c>
      <c r="S82" s="307">
        <f t="shared" si="7"/>
        <v>1054</v>
      </c>
      <c r="T82" s="27"/>
    </row>
    <row r="83" spans="1:20" ht="31.5" x14ac:dyDescent="0.25">
      <c r="A83" s="641"/>
      <c r="B83" s="595"/>
      <c r="C83" s="628"/>
      <c r="D83" s="604"/>
      <c r="E83" s="490"/>
      <c r="F83" s="30"/>
      <c r="G83" s="610"/>
      <c r="H83" s="610"/>
      <c r="I83" s="615"/>
      <c r="J83" s="610"/>
      <c r="K83" s="610"/>
      <c r="L83" s="610"/>
      <c r="M83" s="490"/>
      <c r="N83" s="607"/>
      <c r="O83" s="645"/>
      <c r="P83" s="329" t="s">
        <v>311</v>
      </c>
      <c r="Q83" s="307">
        <v>0.01</v>
      </c>
      <c r="R83" s="308">
        <v>1385</v>
      </c>
      <c r="S83" s="307">
        <f t="shared" si="7"/>
        <v>13.85</v>
      </c>
      <c r="T83" s="27"/>
    </row>
    <row r="84" spans="1:20" ht="31.5" x14ac:dyDescent="0.25">
      <c r="A84" s="641"/>
      <c r="B84" s="595"/>
      <c r="C84" s="627" t="s">
        <v>323</v>
      </c>
      <c r="D84" s="603">
        <v>1</v>
      </c>
      <c r="E84" s="611" t="s">
        <v>290</v>
      </c>
      <c r="F84" s="30"/>
      <c r="G84" s="608">
        <v>0.04</v>
      </c>
      <c r="H84" s="608">
        <v>8</v>
      </c>
      <c r="I84" s="613">
        <f>H84*G84</f>
        <v>0.32</v>
      </c>
      <c r="J84" s="629"/>
      <c r="K84" s="608"/>
      <c r="L84" s="608"/>
      <c r="M84" s="611">
        <v>4</v>
      </c>
      <c r="N84" s="633">
        <v>454.87</v>
      </c>
      <c r="O84" s="643">
        <f>I84*N84</f>
        <v>145.55840000000001</v>
      </c>
      <c r="P84" s="329" t="s">
        <v>311</v>
      </c>
      <c r="Q84" s="307">
        <v>0.01</v>
      </c>
      <c r="R84" s="308">
        <v>1385</v>
      </c>
      <c r="S84" s="307">
        <f t="shared" si="7"/>
        <v>13.85</v>
      </c>
      <c r="T84" s="27"/>
    </row>
    <row r="85" spans="1:20" x14ac:dyDescent="0.25">
      <c r="A85" s="641"/>
      <c r="B85" s="595"/>
      <c r="C85" s="632"/>
      <c r="D85" s="617"/>
      <c r="E85" s="612"/>
      <c r="F85" s="30"/>
      <c r="G85" s="609"/>
      <c r="H85" s="609"/>
      <c r="I85" s="614"/>
      <c r="J85" s="630"/>
      <c r="K85" s="609"/>
      <c r="L85" s="609"/>
      <c r="M85" s="612"/>
      <c r="N85" s="606"/>
      <c r="O85" s="644"/>
      <c r="P85" s="329" t="s">
        <v>298</v>
      </c>
      <c r="Q85" s="307">
        <v>0.04</v>
      </c>
      <c r="R85" s="308">
        <v>179.8</v>
      </c>
      <c r="S85" s="307">
        <f t="shared" si="7"/>
        <v>7.1920000000000002</v>
      </c>
      <c r="T85" s="27"/>
    </row>
    <row r="86" spans="1:20" x14ac:dyDescent="0.25">
      <c r="A86" s="641"/>
      <c r="B86" s="595"/>
      <c r="C86" s="632"/>
      <c r="D86" s="617"/>
      <c r="E86" s="612"/>
      <c r="F86" s="30"/>
      <c r="G86" s="609"/>
      <c r="H86" s="609"/>
      <c r="I86" s="614"/>
      <c r="J86" s="630"/>
      <c r="K86" s="609"/>
      <c r="L86" s="609"/>
      <c r="M86" s="612"/>
      <c r="N86" s="606"/>
      <c r="O86" s="644"/>
      <c r="P86" s="330" t="s">
        <v>324</v>
      </c>
      <c r="Q86" s="331">
        <v>1</v>
      </c>
      <c r="R86" s="308">
        <v>44</v>
      </c>
      <c r="S86" s="307">
        <f t="shared" si="7"/>
        <v>44</v>
      </c>
      <c r="T86" s="27"/>
    </row>
    <row r="87" spans="1:20" x14ac:dyDescent="0.25">
      <c r="A87" s="641"/>
      <c r="B87" s="595"/>
      <c r="C87" s="632"/>
      <c r="D87" s="617"/>
      <c r="E87" s="612"/>
      <c r="F87" s="30"/>
      <c r="G87" s="609"/>
      <c r="H87" s="609"/>
      <c r="I87" s="614"/>
      <c r="J87" s="630"/>
      <c r="K87" s="609"/>
      <c r="L87" s="609"/>
      <c r="M87" s="612"/>
      <c r="N87" s="606"/>
      <c r="O87" s="644"/>
      <c r="P87" s="330" t="s">
        <v>325</v>
      </c>
      <c r="Q87" s="307">
        <v>0.01</v>
      </c>
      <c r="R87" s="308">
        <v>649</v>
      </c>
      <c r="S87" s="307">
        <f t="shared" si="7"/>
        <v>6.49</v>
      </c>
      <c r="T87" s="27"/>
    </row>
    <row r="88" spans="1:20" x14ac:dyDescent="0.25">
      <c r="A88" s="641"/>
      <c r="B88" s="595"/>
      <c r="C88" s="632"/>
      <c r="D88" s="617"/>
      <c r="E88" s="612"/>
      <c r="F88" s="30"/>
      <c r="G88" s="609"/>
      <c r="H88" s="609"/>
      <c r="I88" s="614"/>
      <c r="J88" s="630"/>
      <c r="K88" s="609"/>
      <c r="L88" s="609"/>
      <c r="M88" s="612"/>
      <c r="N88" s="606"/>
      <c r="O88" s="644"/>
      <c r="P88" s="330" t="s">
        <v>326</v>
      </c>
      <c r="Q88" s="331">
        <v>0.03</v>
      </c>
      <c r="R88" s="308">
        <v>1148</v>
      </c>
      <c r="S88" s="307">
        <f t="shared" si="7"/>
        <v>34.44</v>
      </c>
      <c r="T88" s="27"/>
    </row>
    <row r="89" spans="1:20" x14ac:dyDescent="0.25">
      <c r="A89" s="641"/>
      <c r="B89" s="595"/>
      <c r="C89" s="632"/>
      <c r="D89" s="617"/>
      <c r="E89" s="490"/>
      <c r="F89" s="30"/>
      <c r="G89" s="610"/>
      <c r="H89" s="610"/>
      <c r="I89" s="615"/>
      <c r="J89" s="631"/>
      <c r="K89" s="610"/>
      <c r="L89" s="610"/>
      <c r="M89" s="490"/>
      <c r="N89" s="607"/>
      <c r="O89" s="645"/>
      <c r="P89" s="329" t="s">
        <v>318</v>
      </c>
      <c r="Q89" s="331">
        <v>2</v>
      </c>
      <c r="R89" s="308">
        <v>256.5</v>
      </c>
      <c r="S89" s="307">
        <f t="shared" si="7"/>
        <v>513</v>
      </c>
      <c r="T89" s="27"/>
    </row>
    <row r="90" spans="1:20" x14ac:dyDescent="0.25">
      <c r="A90" s="641"/>
      <c r="B90" s="595"/>
      <c r="C90" s="632"/>
      <c r="D90" s="617"/>
      <c r="E90" s="611" t="s">
        <v>292</v>
      </c>
      <c r="F90" s="30"/>
      <c r="G90" s="608">
        <v>0.06</v>
      </c>
      <c r="H90" s="608">
        <v>3</v>
      </c>
      <c r="I90" s="613">
        <f t="shared" ref="I90" si="9">H90*G90</f>
        <v>0.18</v>
      </c>
      <c r="J90" s="608"/>
      <c r="K90" s="608"/>
      <c r="L90" s="608"/>
      <c r="M90" s="611">
        <v>4</v>
      </c>
      <c r="N90" s="633">
        <v>454.87</v>
      </c>
      <c r="O90" s="643">
        <f>I90*N90</f>
        <v>81.876599999999996</v>
      </c>
      <c r="P90" s="329" t="s">
        <v>298</v>
      </c>
      <c r="Q90" s="307">
        <v>0.09</v>
      </c>
      <c r="R90" s="308">
        <v>179.8</v>
      </c>
      <c r="S90" s="307">
        <f t="shared" si="7"/>
        <v>16.182000000000002</v>
      </c>
      <c r="T90" s="27"/>
    </row>
    <row r="91" spans="1:20" x14ac:dyDescent="0.25">
      <c r="A91" s="641"/>
      <c r="B91" s="595"/>
      <c r="C91" s="632"/>
      <c r="D91" s="617"/>
      <c r="E91" s="612"/>
      <c r="F91" s="30"/>
      <c r="G91" s="609"/>
      <c r="H91" s="609"/>
      <c r="I91" s="614"/>
      <c r="J91" s="609"/>
      <c r="K91" s="609"/>
      <c r="L91" s="609"/>
      <c r="M91" s="612"/>
      <c r="N91" s="606"/>
      <c r="O91" s="644"/>
      <c r="P91" s="330" t="s">
        <v>302</v>
      </c>
      <c r="Q91" s="331">
        <v>0.05</v>
      </c>
      <c r="R91" s="308">
        <v>950</v>
      </c>
      <c r="S91" s="307">
        <f t="shared" si="7"/>
        <v>47.5</v>
      </c>
      <c r="T91" s="27"/>
    </row>
    <row r="92" spans="1:20" ht="31.5" x14ac:dyDescent="0.25">
      <c r="A92" s="641"/>
      <c r="B92" s="595"/>
      <c r="C92" s="632"/>
      <c r="D92" s="617"/>
      <c r="E92" s="612"/>
      <c r="F92" s="30"/>
      <c r="G92" s="609"/>
      <c r="H92" s="609"/>
      <c r="I92" s="614"/>
      <c r="J92" s="609"/>
      <c r="K92" s="609"/>
      <c r="L92" s="609"/>
      <c r="M92" s="612"/>
      <c r="N92" s="606"/>
      <c r="O92" s="644"/>
      <c r="P92" s="329" t="s">
        <v>311</v>
      </c>
      <c r="Q92" s="307">
        <v>0.01</v>
      </c>
      <c r="R92" s="308">
        <v>1385</v>
      </c>
      <c r="S92" s="307">
        <f t="shared" si="7"/>
        <v>13.85</v>
      </c>
      <c r="T92" s="27"/>
    </row>
    <row r="93" spans="1:20" x14ac:dyDescent="0.25">
      <c r="A93" s="641"/>
      <c r="B93" s="595"/>
      <c r="C93" s="632"/>
      <c r="D93" s="617"/>
      <c r="E93" s="612"/>
      <c r="F93" s="30"/>
      <c r="G93" s="609"/>
      <c r="H93" s="609"/>
      <c r="I93" s="614"/>
      <c r="J93" s="609"/>
      <c r="K93" s="609"/>
      <c r="L93" s="609"/>
      <c r="M93" s="612"/>
      <c r="N93" s="606"/>
      <c r="O93" s="644"/>
      <c r="P93" s="330" t="s">
        <v>327</v>
      </c>
      <c r="Q93" s="331">
        <v>0.04</v>
      </c>
      <c r="R93" s="308">
        <v>302</v>
      </c>
      <c r="S93" s="307">
        <f t="shared" si="7"/>
        <v>12.08</v>
      </c>
      <c r="T93" s="27"/>
    </row>
    <row r="94" spans="1:20" x14ac:dyDescent="0.25">
      <c r="A94" s="641"/>
      <c r="B94" s="595"/>
      <c r="C94" s="632"/>
      <c r="D94" s="617"/>
      <c r="E94" s="612"/>
      <c r="F94" s="30"/>
      <c r="G94" s="609"/>
      <c r="H94" s="609"/>
      <c r="I94" s="614"/>
      <c r="J94" s="609"/>
      <c r="K94" s="609"/>
      <c r="L94" s="609"/>
      <c r="M94" s="612"/>
      <c r="N94" s="606"/>
      <c r="O94" s="644"/>
      <c r="P94" s="329" t="s">
        <v>318</v>
      </c>
      <c r="Q94" s="331">
        <v>2</v>
      </c>
      <c r="R94" s="308">
        <v>256.5</v>
      </c>
      <c r="S94" s="307">
        <f t="shared" si="7"/>
        <v>513</v>
      </c>
      <c r="T94" s="27"/>
    </row>
    <row r="95" spans="1:20" x14ac:dyDescent="0.25">
      <c r="A95" s="641"/>
      <c r="B95" s="595"/>
      <c r="C95" s="632"/>
      <c r="D95" s="617"/>
      <c r="E95" s="612"/>
      <c r="F95" s="30"/>
      <c r="G95" s="609"/>
      <c r="H95" s="609"/>
      <c r="I95" s="614"/>
      <c r="J95" s="609"/>
      <c r="K95" s="609"/>
      <c r="L95" s="609"/>
      <c r="M95" s="612"/>
      <c r="N95" s="606"/>
      <c r="O95" s="644"/>
      <c r="P95" s="330" t="s">
        <v>325</v>
      </c>
      <c r="Q95" s="307">
        <v>0.01</v>
      </c>
      <c r="R95" s="308">
        <v>649</v>
      </c>
      <c r="S95" s="307">
        <f t="shared" si="7"/>
        <v>6.49</v>
      </c>
      <c r="T95" s="27"/>
    </row>
    <row r="96" spans="1:20" x14ac:dyDescent="0.25">
      <c r="A96" s="641"/>
      <c r="B96" s="595"/>
      <c r="C96" s="632"/>
      <c r="D96" s="617"/>
      <c r="E96" s="612"/>
      <c r="F96" s="30"/>
      <c r="G96" s="609"/>
      <c r="H96" s="609"/>
      <c r="I96" s="614"/>
      <c r="J96" s="609"/>
      <c r="K96" s="609"/>
      <c r="L96" s="609"/>
      <c r="M96" s="612"/>
      <c r="N96" s="606"/>
      <c r="O96" s="644"/>
      <c r="P96" s="330" t="s">
        <v>324</v>
      </c>
      <c r="Q96" s="331">
        <v>1</v>
      </c>
      <c r="R96" s="308">
        <v>44</v>
      </c>
      <c r="S96" s="307">
        <f t="shared" si="7"/>
        <v>44</v>
      </c>
      <c r="T96" s="27"/>
    </row>
    <row r="97" spans="1:20" ht="31.5" x14ac:dyDescent="0.25">
      <c r="A97" s="641"/>
      <c r="B97" s="595"/>
      <c r="C97" s="632"/>
      <c r="D97" s="617"/>
      <c r="E97" s="490"/>
      <c r="F97" s="30"/>
      <c r="G97" s="610"/>
      <c r="H97" s="610"/>
      <c r="I97" s="615"/>
      <c r="J97" s="610"/>
      <c r="K97" s="610"/>
      <c r="L97" s="610"/>
      <c r="M97" s="490"/>
      <c r="N97" s="607"/>
      <c r="O97" s="645"/>
      <c r="P97" s="329" t="s">
        <v>291</v>
      </c>
      <c r="Q97" s="307">
        <v>0.02</v>
      </c>
      <c r="R97" s="308">
        <v>34</v>
      </c>
      <c r="S97" s="307">
        <f t="shared" si="7"/>
        <v>0.68</v>
      </c>
      <c r="T97" s="27"/>
    </row>
    <row r="98" spans="1:20" x14ac:dyDescent="0.25">
      <c r="A98" s="641"/>
      <c r="B98" s="595"/>
      <c r="C98" s="628"/>
      <c r="D98" s="604"/>
      <c r="E98" s="34" t="s">
        <v>294</v>
      </c>
      <c r="F98" s="30"/>
      <c r="G98" s="27">
        <v>1.26</v>
      </c>
      <c r="H98" s="27">
        <v>1</v>
      </c>
      <c r="I98" s="238">
        <f t="shared" ref="I98" si="10">H98*G98</f>
        <v>1.26</v>
      </c>
      <c r="J98" s="27"/>
      <c r="K98" s="27"/>
      <c r="L98" s="27"/>
      <c r="M98" s="387">
        <v>4</v>
      </c>
      <c r="N98" s="385">
        <v>454.87</v>
      </c>
      <c r="O98" s="328">
        <f>I98*N98</f>
        <v>573.13620000000003</v>
      </c>
      <c r="P98" s="329" t="s">
        <v>328</v>
      </c>
      <c r="Q98" s="27"/>
      <c r="R98" s="308"/>
      <c r="S98" s="307">
        <f t="shared" si="7"/>
        <v>0</v>
      </c>
      <c r="T98" s="27"/>
    </row>
    <row r="99" spans="1:20" ht="31.5" x14ac:dyDescent="0.25">
      <c r="A99" s="641"/>
      <c r="B99" s="595"/>
      <c r="C99" s="627" t="s">
        <v>329</v>
      </c>
      <c r="D99" s="603">
        <v>1</v>
      </c>
      <c r="E99" s="611" t="s">
        <v>290</v>
      </c>
      <c r="F99" s="30"/>
      <c r="G99" s="611">
        <v>1.03</v>
      </c>
      <c r="H99" s="611">
        <v>8</v>
      </c>
      <c r="I99" s="618">
        <f>H99*G99</f>
        <v>8.24</v>
      </c>
      <c r="J99" s="621"/>
      <c r="K99" s="624"/>
      <c r="L99" s="624"/>
      <c r="M99" s="611">
        <v>4</v>
      </c>
      <c r="N99" s="633">
        <v>454.87</v>
      </c>
      <c r="O99" s="643">
        <f>I99*N99</f>
        <v>3748.1288</v>
      </c>
      <c r="P99" s="329" t="s">
        <v>297</v>
      </c>
      <c r="Q99" s="307">
        <v>0.04</v>
      </c>
      <c r="R99" s="308">
        <v>875.26</v>
      </c>
      <c r="S99" s="307">
        <f t="shared" si="7"/>
        <v>35.010399999999997</v>
      </c>
      <c r="T99" s="27"/>
    </row>
    <row r="100" spans="1:20" x14ac:dyDescent="0.25">
      <c r="A100" s="641"/>
      <c r="B100" s="595"/>
      <c r="C100" s="632"/>
      <c r="D100" s="617"/>
      <c r="E100" s="612"/>
      <c r="F100" s="30"/>
      <c r="G100" s="612"/>
      <c r="H100" s="612"/>
      <c r="I100" s="619"/>
      <c r="J100" s="622"/>
      <c r="K100" s="625"/>
      <c r="L100" s="625"/>
      <c r="M100" s="612"/>
      <c r="N100" s="606"/>
      <c r="O100" s="644"/>
      <c r="P100" s="329" t="s">
        <v>298</v>
      </c>
      <c r="Q100" s="307">
        <v>0.05</v>
      </c>
      <c r="R100" s="308">
        <v>179.8</v>
      </c>
      <c r="S100" s="307">
        <f t="shared" si="7"/>
        <v>8.99</v>
      </c>
      <c r="T100" s="27"/>
    </row>
    <row r="101" spans="1:20" ht="31.5" x14ac:dyDescent="0.25">
      <c r="A101" s="641"/>
      <c r="B101" s="595"/>
      <c r="C101" s="632"/>
      <c r="D101" s="617"/>
      <c r="E101" s="612"/>
      <c r="F101" s="30"/>
      <c r="G101" s="612"/>
      <c r="H101" s="612"/>
      <c r="I101" s="619"/>
      <c r="J101" s="622"/>
      <c r="K101" s="625"/>
      <c r="L101" s="625"/>
      <c r="M101" s="612"/>
      <c r="N101" s="606"/>
      <c r="O101" s="644"/>
      <c r="P101" s="329" t="s">
        <v>291</v>
      </c>
      <c r="Q101" s="307">
        <v>0.1</v>
      </c>
      <c r="R101" s="308">
        <v>34</v>
      </c>
      <c r="S101" s="307">
        <f t="shared" si="7"/>
        <v>3.4000000000000004</v>
      </c>
      <c r="T101" s="27"/>
    </row>
    <row r="102" spans="1:20" x14ac:dyDescent="0.25">
      <c r="A102" s="641"/>
      <c r="B102" s="595"/>
      <c r="C102" s="632"/>
      <c r="D102" s="617"/>
      <c r="E102" s="612"/>
      <c r="F102" s="30"/>
      <c r="G102" s="612"/>
      <c r="H102" s="612"/>
      <c r="I102" s="619"/>
      <c r="J102" s="622"/>
      <c r="K102" s="625"/>
      <c r="L102" s="625"/>
      <c r="M102" s="612"/>
      <c r="N102" s="606"/>
      <c r="O102" s="644"/>
      <c r="P102" s="329" t="s">
        <v>299</v>
      </c>
      <c r="Q102" s="307">
        <v>2</v>
      </c>
      <c r="R102" s="308">
        <v>4.0999999999999996</v>
      </c>
      <c r="S102" s="307">
        <f t="shared" si="7"/>
        <v>8.1999999999999993</v>
      </c>
      <c r="T102" s="27"/>
    </row>
    <row r="103" spans="1:20" x14ac:dyDescent="0.25">
      <c r="A103" s="641"/>
      <c r="B103" s="595"/>
      <c r="C103" s="632"/>
      <c r="D103" s="617"/>
      <c r="E103" s="490"/>
      <c r="F103" s="30"/>
      <c r="G103" s="490"/>
      <c r="H103" s="490"/>
      <c r="I103" s="620"/>
      <c r="J103" s="623"/>
      <c r="K103" s="626"/>
      <c r="L103" s="626"/>
      <c r="M103" s="490"/>
      <c r="N103" s="607"/>
      <c r="O103" s="645"/>
      <c r="P103" s="329" t="s">
        <v>300</v>
      </c>
      <c r="Q103" s="307">
        <v>0.25</v>
      </c>
      <c r="R103" s="308">
        <v>272</v>
      </c>
      <c r="S103" s="307">
        <f t="shared" si="7"/>
        <v>68</v>
      </c>
      <c r="T103" s="27"/>
    </row>
    <row r="104" spans="1:20" x14ac:dyDescent="0.25">
      <c r="A104" s="641"/>
      <c r="B104" s="595"/>
      <c r="C104" s="632"/>
      <c r="D104" s="617"/>
      <c r="E104" s="611" t="s">
        <v>292</v>
      </c>
      <c r="F104" s="30"/>
      <c r="G104" s="608">
        <v>2.46</v>
      </c>
      <c r="H104" s="608">
        <v>3</v>
      </c>
      <c r="I104" s="613">
        <f t="shared" ref="I104" si="11">H104*G104</f>
        <v>7.38</v>
      </c>
      <c r="J104" s="608"/>
      <c r="K104" s="608"/>
      <c r="L104" s="608"/>
      <c r="M104" s="611">
        <v>4</v>
      </c>
      <c r="N104" s="633">
        <v>454.87</v>
      </c>
      <c r="O104" s="643">
        <f>I104*N104</f>
        <v>3356.9405999999999</v>
      </c>
      <c r="P104" s="329" t="s">
        <v>298</v>
      </c>
      <c r="Q104" s="307">
        <v>0.2</v>
      </c>
      <c r="R104" s="308">
        <v>179.8</v>
      </c>
      <c r="S104" s="307">
        <f t="shared" si="7"/>
        <v>35.96</v>
      </c>
      <c r="T104" s="27"/>
    </row>
    <row r="105" spans="1:20" ht="31.5" x14ac:dyDescent="0.25">
      <c r="A105" s="641"/>
      <c r="B105" s="595"/>
      <c r="C105" s="632"/>
      <c r="D105" s="617"/>
      <c r="E105" s="612"/>
      <c r="F105" s="30"/>
      <c r="G105" s="609"/>
      <c r="H105" s="609"/>
      <c r="I105" s="614"/>
      <c r="J105" s="609"/>
      <c r="K105" s="609"/>
      <c r="L105" s="609"/>
      <c r="M105" s="612"/>
      <c r="N105" s="606"/>
      <c r="O105" s="644"/>
      <c r="P105" s="329" t="s">
        <v>297</v>
      </c>
      <c r="Q105" s="307">
        <v>0.01</v>
      </c>
      <c r="R105" s="308">
        <v>875.26</v>
      </c>
      <c r="S105" s="307">
        <f t="shared" si="7"/>
        <v>8.7525999999999993</v>
      </c>
      <c r="T105" s="27"/>
    </row>
    <row r="106" spans="1:20" ht="31.5" x14ac:dyDescent="0.25">
      <c r="A106" s="641"/>
      <c r="B106" s="595"/>
      <c r="C106" s="632"/>
      <c r="D106" s="617"/>
      <c r="E106" s="612"/>
      <c r="F106" s="30"/>
      <c r="G106" s="609"/>
      <c r="H106" s="609"/>
      <c r="I106" s="614"/>
      <c r="J106" s="609"/>
      <c r="K106" s="609"/>
      <c r="L106" s="609"/>
      <c r="M106" s="612"/>
      <c r="N106" s="606"/>
      <c r="O106" s="644"/>
      <c r="P106" s="329" t="s">
        <v>293</v>
      </c>
      <c r="Q106" s="307">
        <v>6.0000000000000001E-3</v>
      </c>
      <c r="R106" s="308">
        <v>11200</v>
      </c>
      <c r="S106" s="307">
        <f t="shared" si="7"/>
        <v>67.2</v>
      </c>
      <c r="T106" s="27"/>
    </row>
    <row r="107" spans="1:20" ht="31.5" x14ac:dyDescent="0.25">
      <c r="A107" s="641"/>
      <c r="B107" s="595"/>
      <c r="C107" s="632"/>
      <c r="D107" s="617"/>
      <c r="E107" s="612"/>
      <c r="F107" s="30"/>
      <c r="G107" s="609"/>
      <c r="H107" s="609"/>
      <c r="I107" s="614"/>
      <c r="J107" s="609"/>
      <c r="K107" s="609"/>
      <c r="L107" s="609"/>
      <c r="M107" s="612"/>
      <c r="N107" s="606"/>
      <c r="O107" s="644"/>
      <c r="P107" s="329" t="s">
        <v>295</v>
      </c>
      <c r="Q107" s="307">
        <v>4.0000000000000001E-3</v>
      </c>
      <c r="R107" s="308">
        <v>2350</v>
      </c>
      <c r="S107" s="307">
        <f t="shared" si="7"/>
        <v>9.4</v>
      </c>
      <c r="T107" s="27"/>
    </row>
    <row r="108" spans="1:20" ht="31.5" x14ac:dyDescent="0.25">
      <c r="A108" s="641"/>
      <c r="B108" s="595"/>
      <c r="C108" s="632"/>
      <c r="D108" s="617"/>
      <c r="E108" s="612"/>
      <c r="F108" s="30"/>
      <c r="G108" s="609"/>
      <c r="H108" s="609"/>
      <c r="I108" s="614"/>
      <c r="J108" s="609"/>
      <c r="K108" s="609"/>
      <c r="L108" s="609"/>
      <c r="M108" s="612"/>
      <c r="N108" s="606"/>
      <c r="O108" s="644"/>
      <c r="P108" s="329" t="s">
        <v>301</v>
      </c>
      <c r="Q108" s="307">
        <v>0.05</v>
      </c>
      <c r="R108" s="308">
        <v>1148</v>
      </c>
      <c r="S108" s="307">
        <f t="shared" si="7"/>
        <v>57.400000000000006</v>
      </c>
      <c r="T108" s="27"/>
    </row>
    <row r="109" spans="1:20" ht="31.5" x14ac:dyDescent="0.25">
      <c r="A109" s="641"/>
      <c r="B109" s="595"/>
      <c r="C109" s="632"/>
      <c r="D109" s="617"/>
      <c r="E109" s="612"/>
      <c r="F109" s="30"/>
      <c r="G109" s="609"/>
      <c r="H109" s="609"/>
      <c r="I109" s="614"/>
      <c r="J109" s="609"/>
      <c r="K109" s="609"/>
      <c r="L109" s="609"/>
      <c r="M109" s="612"/>
      <c r="N109" s="606"/>
      <c r="O109" s="644"/>
      <c r="P109" s="329" t="s">
        <v>291</v>
      </c>
      <c r="Q109" s="307">
        <v>0.02</v>
      </c>
      <c r="R109" s="308">
        <v>34</v>
      </c>
      <c r="S109" s="307">
        <f t="shared" si="7"/>
        <v>0.68</v>
      </c>
      <c r="T109" s="27"/>
    </row>
    <row r="110" spans="1:20" x14ac:dyDescent="0.25">
      <c r="A110" s="641"/>
      <c r="B110" s="595"/>
      <c r="C110" s="632"/>
      <c r="D110" s="617"/>
      <c r="E110" s="612"/>
      <c r="F110" s="30"/>
      <c r="G110" s="609"/>
      <c r="H110" s="609"/>
      <c r="I110" s="614"/>
      <c r="J110" s="609"/>
      <c r="K110" s="609"/>
      <c r="L110" s="609"/>
      <c r="M110" s="612"/>
      <c r="N110" s="606"/>
      <c r="O110" s="644"/>
      <c r="P110" s="329" t="s">
        <v>300</v>
      </c>
      <c r="Q110" s="307">
        <v>0.25</v>
      </c>
      <c r="R110" s="308">
        <v>272</v>
      </c>
      <c r="S110" s="307">
        <f t="shared" si="7"/>
        <v>68</v>
      </c>
      <c r="T110" s="27"/>
    </row>
    <row r="111" spans="1:20" x14ac:dyDescent="0.25">
      <c r="A111" s="641"/>
      <c r="B111" s="595"/>
      <c r="C111" s="632"/>
      <c r="D111" s="617"/>
      <c r="E111" s="612"/>
      <c r="F111" s="30"/>
      <c r="G111" s="609"/>
      <c r="H111" s="609"/>
      <c r="I111" s="614"/>
      <c r="J111" s="609"/>
      <c r="K111" s="609"/>
      <c r="L111" s="609"/>
      <c r="M111" s="612"/>
      <c r="N111" s="606"/>
      <c r="O111" s="644"/>
      <c r="P111" s="329" t="s">
        <v>302</v>
      </c>
      <c r="Q111" s="307">
        <v>0.08</v>
      </c>
      <c r="R111" s="308">
        <v>950</v>
      </c>
      <c r="S111" s="307">
        <f t="shared" si="7"/>
        <v>76</v>
      </c>
      <c r="T111" s="27"/>
    </row>
    <row r="112" spans="1:20" ht="31.5" x14ac:dyDescent="0.25">
      <c r="A112" s="641"/>
      <c r="B112" s="595"/>
      <c r="C112" s="632"/>
      <c r="D112" s="617"/>
      <c r="E112" s="490"/>
      <c r="F112" s="30"/>
      <c r="G112" s="610"/>
      <c r="H112" s="610"/>
      <c r="I112" s="615"/>
      <c r="J112" s="610"/>
      <c r="K112" s="610"/>
      <c r="L112" s="610"/>
      <c r="M112" s="490"/>
      <c r="N112" s="607"/>
      <c r="O112" s="645"/>
      <c r="P112" s="329" t="s">
        <v>303</v>
      </c>
      <c r="Q112" s="307">
        <v>1</v>
      </c>
      <c r="R112" s="308">
        <v>6790</v>
      </c>
      <c r="S112" s="307">
        <f t="shared" si="7"/>
        <v>6790</v>
      </c>
      <c r="T112" s="27"/>
    </row>
    <row r="113" spans="1:20" ht="31.5" x14ac:dyDescent="0.25">
      <c r="A113" s="641"/>
      <c r="B113" s="595"/>
      <c r="C113" s="632"/>
      <c r="D113" s="617"/>
      <c r="E113" s="611" t="s">
        <v>294</v>
      </c>
      <c r="F113" s="30"/>
      <c r="G113" s="608">
        <v>8.51</v>
      </c>
      <c r="H113" s="608">
        <v>1</v>
      </c>
      <c r="I113" s="613">
        <f t="shared" ref="I113" si="12">H113*G113</f>
        <v>8.51</v>
      </c>
      <c r="J113" s="608"/>
      <c r="K113" s="608"/>
      <c r="L113" s="608"/>
      <c r="M113" s="611">
        <v>4</v>
      </c>
      <c r="N113" s="633">
        <v>454.87</v>
      </c>
      <c r="O113" s="643">
        <f>I113*N113</f>
        <v>3870.9436999999998</v>
      </c>
      <c r="P113" s="329" t="s">
        <v>293</v>
      </c>
      <c r="Q113" s="307">
        <v>6.0000000000000001E-3</v>
      </c>
      <c r="R113" s="308">
        <v>11200</v>
      </c>
      <c r="S113" s="307">
        <f t="shared" si="7"/>
        <v>67.2</v>
      </c>
      <c r="T113" s="27"/>
    </row>
    <row r="114" spans="1:20" ht="31.5" x14ac:dyDescent="0.25">
      <c r="A114" s="641"/>
      <c r="B114" s="595"/>
      <c r="C114" s="632"/>
      <c r="D114" s="617"/>
      <c r="E114" s="612"/>
      <c r="F114" s="30"/>
      <c r="G114" s="609"/>
      <c r="H114" s="609"/>
      <c r="I114" s="614"/>
      <c r="J114" s="609"/>
      <c r="K114" s="609"/>
      <c r="L114" s="609"/>
      <c r="M114" s="612"/>
      <c r="N114" s="606"/>
      <c r="O114" s="644"/>
      <c r="P114" s="329" t="s">
        <v>295</v>
      </c>
      <c r="Q114" s="307">
        <v>4.0000000000000001E-3</v>
      </c>
      <c r="R114" s="308">
        <v>2350</v>
      </c>
      <c r="S114" s="307">
        <f t="shared" si="7"/>
        <v>9.4</v>
      </c>
      <c r="T114" s="27"/>
    </row>
    <row r="115" spans="1:20" ht="31.5" x14ac:dyDescent="0.25">
      <c r="A115" s="641"/>
      <c r="B115" s="595"/>
      <c r="C115" s="632"/>
      <c r="D115" s="617"/>
      <c r="E115" s="612"/>
      <c r="F115" s="30"/>
      <c r="G115" s="609"/>
      <c r="H115" s="609"/>
      <c r="I115" s="614"/>
      <c r="J115" s="609"/>
      <c r="K115" s="609"/>
      <c r="L115" s="609"/>
      <c r="M115" s="612"/>
      <c r="N115" s="606"/>
      <c r="O115" s="644"/>
      <c r="P115" s="329" t="s">
        <v>291</v>
      </c>
      <c r="Q115" s="307">
        <v>0.02</v>
      </c>
      <c r="R115" s="308">
        <v>34</v>
      </c>
      <c r="S115" s="307">
        <f t="shared" si="7"/>
        <v>0.68</v>
      </c>
      <c r="T115" s="27"/>
    </row>
    <row r="116" spans="1:20" ht="31.5" x14ac:dyDescent="0.25">
      <c r="A116" s="641"/>
      <c r="B116" s="595"/>
      <c r="C116" s="632"/>
      <c r="D116" s="617"/>
      <c r="E116" s="612"/>
      <c r="F116" s="30"/>
      <c r="G116" s="609"/>
      <c r="H116" s="609"/>
      <c r="I116" s="614"/>
      <c r="J116" s="609"/>
      <c r="K116" s="609"/>
      <c r="L116" s="609"/>
      <c r="M116" s="612"/>
      <c r="N116" s="606"/>
      <c r="O116" s="644"/>
      <c r="P116" s="329" t="s">
        <v>301</v>
      </c>
      <c r="Q116" s="307">
        <v>0.05</v>
      </c>
      <c r="R116" s="308">
        <v>1148</v>
      </c>
      <c r="S116" s="307">
        <f t="shared" si="7"/>
        <v>57.400000000000006</v>
      </c>
      <c r="T116" s="27"/>
    </row>
    <row r="117" spans="1:20" x14ac:dyDescent="0.25">
      <c r="A117" s="641"/>
      <c r="B117" s="595"/>
      <c r="C117" s="632"/>
      <c r="D117" s="617"/>
      <c r="E117" s="612"/>
      <c r="F117" s="30"/>
      <c r="G117" s="609"/>
      <c r="H117" s="609"/>
      <c r="I117" s="614"/>
      <c r="J117" s="609"/>
      <c r="K117" s="609"/>
      <c r="L117" s="609"/>
      <c r="M117" s="612"/>
      <c r="N117" s="606"/>
      <c r="O117" s="644"/>
      <c r="P117" s="329" t="s">
        <v>300</v>
      </c>
      <c r="Q117" s="307">
        <v>0.25</v>
      </c>
      <c r="R117" s="308">
        <v>272</v>
      </c>
      <c r="S117" s="307">
        <f t="shared" si="7"/>
        <v>68</v>
      </c>
      <c r="T117" s="27"/>
    </row>
    <row r="118" spans="1:20" x14ac:dyDescent="0.25">
      <c r="A118" s="641"/>
      <c r="B118" s="595"/>
      <c r="C118" s="632"/>
      <c r="D118" s="617"/>
      <c r="E118" s="612"/>
      <c r="F118" s="30"/>
      <c r="G118" s="609"/>
      <c r="H118" s="609"/>
      <c r="I118" s="614"/>
      <c r="J118" s="609"/>
      <c r="K118" s="609"/>
      <c r="L118" s="609"/>
      <c r="M118" s="612"/>
      <c r="N118" s="606"/>
      <c r="O118" s="644"/>
      <c r="P118" s="329" t="s">
        <v>302</v>
      </c>
      <c r="Q118" s="307">
        <v>0.08</v>
      </c>
      <c r="R118" s="308">
        <v>950</v>
      </c>
      <c r="S118" s="307">
        <f t="shared" si="7"/>
        <v>76</v>
      </c>
      <c r="T118" s="27"/>
    </row>
    <row r="119" spans="1:20" ht="31.5" x14ac:dyDescent="0.25">
      <c r="A119" s="641"/>
      <c r="B119" s="595"/>
      <c r="C119" s="632"/>
      <c r="D119" s="617"/>
      <c r="E119" s="612"/>
      <c r="F119" s="30"/>
      <c r="G119" s="609"/>
      <c r="H119" s="609"/>
      <c r="I119" s="614"/>
      <c r="J119" s="609"/>
      <c r="K119" s="609"/>
      <c r="L119" s="609"/>
      <c r="M119" s="612"/>
      <c r="N119" s="606"/>
      <c r="O119" s="644"/>
      <c r="P119" s="329" t="s">
        <v>303</v>
      </c>
      <c r="Q119" s="307">
        <v>1</v>
      </c>
      <c r="R119" s="308">
        <v>6790</v>
      </c>
      <c r="S119" s="307">
        <f t="shared" si="7"/>
        <v>6790</v>
      </c>
      <c r="T119" s="27"/>
    </row>
    <row r="120" spans="1:20" ht="31.5" x14ac:dyDescent="0.25">
      <c r="A120" s="641"/>
      <c r="B120" s="595"/>
      <c r="C120" s="632"/>
      <c r="D120" s="617"/>
      <c r="E120" s="612"/>
      <c r="F120" s="30"/>
      <c r="G120" s="609"/>
      <c r="H120" s="609"/>
      <c r="I120" s="614"/>
      <c r="J120" s="609"/>
      <c r="K120" s="609"/>
      <c r="L120" s="609"/>
      <c r="M120" s="612"/>
      <c r="N120" s="606"/>
      <c r="O120" s="644"/>
      <c r="P120" s="329" t="s">
        <v>304</v>
      </c>
      <c r="Q120" s="307">
        <v>3</v>
      </c>
      <c r="R120" s="308">
        <v>256.5</v>
      </c>
      <c r="S120" s="307">
        <f t="shared" si="7"/>
        <v>769.5</v>
      </c>
      <c r="T120" s="27"/>
    </row>
    <row r="121" spans="1:20" ht="31.5" x14ac:dyDescent="0.25">
      <c r="A121" s="641"/>
      <c r="B121" s="595"/>
      <c r="C121" s="632"/>
      <c r="D121" s="617"/>
      <c r="E121" s="612"/>
      <c r="F121" s="30"/>
      <c r="G121" s="609"/>
      <c r="H121" s="609"/>
      <c r="I121" s="614"/>
      <c r="J121" s="609"/>
      <c r="K121" s="609"/>
      <c r="L121" s="609"/>
      <c r="M121" s="612"/>
      <c r="N121" s="606"/>
      <c r="O121" s="644"/>
      <c r="P121" s="329" t="s">
        <v>305</v>
      </c>
      <c r="Q121" s="307">
        <v>0.03</v>
      </c>
      <c r="R121" s="308">
        <v>165</v>
      </c>
      <c r="S121" s="307">
        <f t="shared" si="7"/>
        <v>4.95</v>
      </c>
      <c r="T121" s="27"/>
    </row>
    <row r="122" spans="1:20" ht="47.25" x14ac:dyDescent="0.25">
      <c r="A122" s="641"/>
      <c r="B122" s="595"/>
      <c r="C122" s="632"/>
      <c r="D122" s="617"/>
      <c r="E122" s="612"/>
      <c r="F122" s="30"/>
      <c r="G122" s="609"/>
      <c r="H122" s="609"/>
      <c r="I122" s="614"/>
      <c r="J122" s="609"/>
      <c r="K122" s="609"/>
      <c r="L122" s="609"/>
      <c r="M122" s="612"/>
      <c r="N122" s="606"/>
      <c r="O122" s="644"/>
      <c r="P122" s="329" t="s">
        <v>306</v>
      </c>
      <c r="Q122" s="307">
        <v>0.01</v>
      </c>
      <c r="R122" s="308">
        <v>207</v>
      </c>
      <c r="S122" s="307">
        <f t="shared" si="7"/>
        <v>2.0699999999999998</v>
      </c>
      <c r="T122" s="27"/>
    </row>
    <row r="123" spans="1:20" x14ac:dyDescent="0.25">
      <c r="A123" s="641"/>
      <c r="B123" s="595"/>
      <c r="C123" s="632"/>
      <c r="D123" s="617"/>
      <c r="E123" s="612"/>
      <c r="F123" s="30"/>
      <c r="G123" s="609"/>
      <c r="H123" s="609"/>
      <c r="I123" s="614"/>
      <c r="J123" s="609"/>
      <c r="K123" s="609"/>
      <c r="L123" s="609"/>
      <c r="M123" s="612"/>
      <c r="N123" s="606"/>
      <c r="O123" s="644"/>
      <c r="P123" s="329" t="s">
        <v>307</v>
      </c>
      <c r="Q123" s="307">
        <v>0.2</v>
      </c>
      <c r="R123" s="308">
        <v>133</v>
      </c>
      <c r="S123" s="307">
        <f t="shared" si="7"/>
        <v>26.6</v>
      </c>
      <c r="T123" s="27"/>
    </row>
    <row r="124" spans="1:20" x14ac:dyDescent="0.25">
      <c r="A124" s="641"/>
      <c r="B124" s="595"/>
      <c r="C124" s="632"/>
      <c r="D124" s="617"/>
      <c r="E124" s="612"/>
      <c r="F124" s="30"/>
      <c r="G124" s="609"/>
      <c r="H124" s="609"/>
      <c r="I124" s="614"/>
      <c r="J124" s="609"/>
      <c r="K124" s="609"/>
      <c r="L124" s="609"/>
      <c r="M124" s="612"/>
      <c r="N124" s="606"/>
      <c r="O124" s="644"/>
      <c r="P124" s="329" t="s">
        <v>308</v>
      </c>
      <c r="Q124" s="307">
        <v>0.25</v>
      </c>
      <c r="R124" s="308">
        <v>625</v>
      </c>
      <c r="S124" s="307">
        <f t="shared" si="7"/>
        <v>156.25</v>
      </c>
      <c r="T124" s="27"/>
    </row>
    <row r="125" spans="1:20" x14ac:dyDescent="0.25">
      <c r="A125" s="641"/>
      <c r="B125" s="595"/>
      <c r="C125" s="632"/>
      <c r="D125" s="617"/>
      <c r="E125" s="612"/>
      <c r="F125" s="30"/>
      <c r="G125" s="609"/>
      <c r="H125" s="609"/>
      <c r="I125" s="614"/>
      <c r="J125" s="609"/>
      <c r="K125" s="609"/>
      <c r="L125" s="609"/>
      <c r="M125" s="612"/>
      <c r="N125" s="606"/>
      <c r="O125" s="644"/>
      <c r="P125" s="329" t="s">
        <v>298</v>
      </c>
      <c r="Q125" s="307">
        <v>0.2</v>
      </c>
      <c r="R125" s="308">
        <v>179.8</v>
      </c>
      <c r="S125" s="307">
        <f t="shared" si="7"/>
        <v>35.96</v>
      </c>
      <c r="T125" s="27"/>
    </row>
    <row r="126" spans="1:20" ht="31.5" x14ac:dyDescent="0.25">
      <c r="A126" s="641"/>
      <c r="B126" s="595"/>
      <c r="C126" s="628"/>
      <c r="D126" s="604"/>
      <c r="E126" s="490"/>
      <c r="F126" s="30"/>
      <c r="G126" s="610"/>
      <c r="H126" s="610"/>
      <c r="I126" s="615"/>
      <c r="J126" s="610"/>
      <c r="K126" s="610"/>
      <c r="L126" s="610"/>
      <c r="M126" s="490"/>
      <c r="N126" s="607"/>
      <c r="O126" s="645"/>
      <c r="P126" s="329" t="s">
        <v>297</v>
      </c>
      <c r="Q126" s="307">
        <v>0.01</v>
      </c>
      <c r="R126" s="308">
        <v>875.26</v>
      </c>
      <c r="S126" s="307">
        <f t="shared" si="7"/>
        <v>8.7525999999999993</v>
      </c>
      <c r="T126" s="27"/>
    </row>
    <row r="127" spans="1:20" x14ac:dyDescent="0.25">
      <c r="A127" s="641"/>
      <c r="B127" s="595"/>
      <c r="C127" s="627" t="s">
        <v>330</v>
      </c>
      <c r="D127" s="603">
        <v>1</v>
      </c>
      <c r="E127" s="611" t="s">
        <v>290</v>
      </c>
      <c r="F127" s="30"/>
      <c r="G127" s="608">
        <v>0.18</v>
      </c>
      <c r="H127" s="608">
        <v>8</v>
      </c>
      <c r="I127" s="613">
        <f>H127*G127</f>
        <v>1.44</v>
      </c>
      <c r="J127" s="608"/>
      <c r="K127" s="608"/>
      <c r="L127" s="608"/>
      <c r="M127" s="611">
        <v>6</v>
      </c>
      <c r="N127" s="633">
        <v>454.87</v>
      </c>
      <c r="O127" s="643">
        <f>I127*N127</f>
        <v>655.01279999999997</v>
      </c>
      <c r="P127" s="329" t="s">
        <v>298</v>
      </c>
      <c r="Q127" s="307">
        <v>0.05</v>
      </c>
      <c r="R127" s="308">
        <v>179.8</v>
      </c>
      <c r="S127" s="307">
        <f t="shared" si="7"/>
        <v>8.99</v>
      </c>
      <c r="T127" s="27"/>
    </row>
    <row r="128" spans="1:20" x14ac:dyDescent="0.25">
      <c r="A128" s="641"/>
      <c r="B128" s="595"/>
      <c r="C128" s="632"/>
      <c r="D128" s="617"/>
      <c r="E128" s="612"/>
      <c r="F128" s="30"/>
      <c r="G128" s="609"/>
      <c r="H128" s="609"/>
      <c r="I128" s="614"/>
      <c r="J128" s="609"/>
      <c r="K128" s="609"/>
      <c r="L128" s="609"/>
      <c r="M128" s="612"/>
      <c r="N128" s="606"/>
      <c r="O128" s="644"/>
      <c r="P128" s="330" t="s">
        <v>325</v>
      </c>
      <c r="Q128" s="307">
        <v>2.5000000000000001E-2</v>
      </c>
      <c r="R128" s="308">
        <v>649</v>
      </c>
      <c r="S128" s="307">
        <f t="shared" si="7"/>
        <v>16.225000000000001</v>
      </c>
      <c r="T128" s="27"/>
    </row>
    <row r="129" spans="1:20" ht="31.5" x14ac:dyDescent="0.25">
      <c r="A129" s="641"/>
      <c r="B129" s="595"/>
      <c r="C129" s="632"/>
      <c r="D129" s="617"/>
      <c r="E129" s="612"/>
      <c r="F129" s="30"/>
      <c r="G129" s="609"/>
      <c r="H129" s="609"/>
      <c r="I129" s="614"/>
      <c r="J129" s="609"/>
      <c r="K129" s="609"/>
      <c r="L129" s="609"/>
      <c r="M129" s="612"/>
      <c r="N129" s="606"/>
      <c r="O129" s="644"/>
      <c r="P129" s="329" t="s">
        <v>297</v>
      </c>
      <c r="Q129" s="307">
        <v>0.01</v>
      </c>
      <c r="R129" s="308">
        <v>875.26</v>
      </c>
      <c r="S129" s="307">
        <f t="shared" si="7"/>
        <v>8.7525999999999993</v>
      </c>
      <c r="T129" s="27"/>
    </row>
    <row r="130" spans="1:20" ht="31.5" x14ac:dyDescent="0.25">
      <c r="A130" s="641"/>
      <c r="B130" s="595"/>
      <c r="C130" s="632"/>
      <c r="D130" s="617"/>
      <c r="E130" s="612"/>
      <c r="F130" s="30"/>
      <c r="G130" s="609"/>
      <c r="H130" s="609"/>
      <c r="I130" s="614"/>
      <c r="J130" s="609"/>
      <c r="K130" s="609"/>
      <c r="L130" s="609"/>
      <c r="M130" s="612"/>
      <c r="N130" s="606"/>
      <c r="O130" s="644"/>
      <c r="P130" s="329" t="s">
        <v>305</v>
      </c>
      <c r="Q130" s="307">
        <v>0.01</v>
      </c>
      <c r="R130" s="308">
        <v>165</v>
      </c>
      <c r="S130" s="307">
        <f t="shared" si="7"/>
        <v>1.6500000000000001</v>
      </c>
      <c r="T130" s="27"/>
    </row>
    <row r="131" spans="1:20" ht="31.5" x14ac:dyDescent="0.25">
      <c r="A131" s="641"/>
      <c r="B131" s="595"/>
      <c r="C131" s="632"/>
      <c r="D131" s="617"/>
      <c r="E131" s="612"/>
      <c r="F131" s="30"/>
      <c r="G131" s="609"/>
      <c r="H131" s="609"/>
      <c r="I131" s="614"/>
      <c r="J131" s="609"/>
      <c r="K131" s="609"/>
      <c r="L131" s="609"/>
      <c r="M131" s="612"/>
      <c r="N131" s="606"/>
      <c r="O131" s="644"/>
      <c r="P131" s="329" t="s">
        <v>291</v>
      </c>
      <c r="Q131" s="307">
        <v>5.0000000000000001E-3</v>
      </c>
      <c r="R131" s="308">
        <v>34</v>
      </c>
      <c r="S131" s="307">
        <f t="shared" si="7"/>
        <v>0.17</v>
      </c>
      <c r="T131" s="27"/>
    </row>
    <row r="132" spans="1:20" ht="31.5" x14ac:dyDescent="0.25">
      <c r="A132" s="641"/>
      <c r="B132" s="595"/>
      <c r="C132" s="632"/>
      <c r="D132" s="617"/>
      <c r="E132" s="612"/>
      <c r="F132" s="30"/>
      <c r="G132" s="609"/>
      <c r="H132" s="609"/>
      <c r="I132" s="614"/>
      <c r="J132" s="609"/>
      <c r="K132" s="609"/>
      <c r="L132" s="609"/>
      <c r="M132" s="612"/>
      <c r="N132" s="606"/>
      <c r="O132" s="644"/>
      <c r="P132" s="329" t="s">
        <v>293</v>
      </c>
      <c r="Q132" s="307">
        <v>4.0000000000000001E-3</v>
      </c>
      <c r="R132" s="308">
        <v>11200</v>
      </c>
      <c r="S132" s="307">
        <f t="shared" si="7"/>
        <v>44.800000000000004</v>
      </c>
      <c r="T132" s="27"/>
    </row>
    <row r="133" spans="1:20" ht="31.5" x14ac:dyDescent="0.25">
      <c r="A133" s="641"/>
      <c r="B133" s="595"/>
      <c r="C133" s="632"/>
      <c r="D133" s="617"/>
      <c r="E133" s="490"/>
      <c r="F133" s="30"/>
      <c r="G133" s="610"/>
      <c r="H133" s="610"/>
      <c r="I133" s="615"/>
      <c r="J133" s="610"/>
      <c r="K133" s="610"/>
      <c r="L133" s="610"/>
      <c r="M133" s="490"/>
      <c r="N133" s="607"/>
      <c r="O133" s="645"/>
      <c r="P133" s="329" t="s">
        <v>295</v>
      </c>
      <c r="Q133" s="307">
        <v>3.0000000000000001E-3</v>
      </c>
      <c r="R133" s="308">
        <v>2350</v>
      </c>
      <c r="S133" s="307">
        <f t="shared" si="7"/>
        <v>7.05</v>
      </c>
      <c r="T133" s="27"/>
    </row>
    <row r="134" spans="1:20" x14ac:dyDescent="0.25">
      <c r="A134" s="641"/>
      <c r="B134" s="595"/>
      <c r="C134" s="632"/>
      <c r="D134" s="617"/>
      <c r="E134" s="611" t="s">
        <v>292</v>
      </c>
      <c r="F134" s="30"/>
      <c r="G134" s="608">
        <v>0.73</v>
      </c>
      <c r="H134" s="608">
        <v>3</v>
      </c>
      <c r="I134" s="613">
        <f t="shared" ref="I134:I141" si="13">H134*G134</f>
        <v>2.19</v>
      </c>
      <c r="J134" s="608"/>
      <c r="K134" s="608"/>
      <c r="L134" s="608"/>
      <c r="M134" s="611">
        <v>6</v>
      </c>
      <c r="N134" s="633">
        <v>454.87</v>
      </c>
      <c r="O134" s="643">
        <f>I134*N134</f>
        <v>996.1653</v>
      </c>
      <c r="P134" s="329" t="s">
        <v>298</v>
      </c>
      <c r="Q134" s="307">
        <v>0.08</v>
      </c>
      <c r="R134" s="308">
        <v>179.8</v>
      </c>
      <c r="S134" s="307">
        <f t="shared" si="7"/>
        <v>14.384</v>
      </c>
      <c r="T134" s="27"/>
    </row>
    <row r="135" spans="1:20" x14ac:dyDescent="0.25">
      <c r="A135" s="641"/>
      <c r="B135" s="595"/>
      <c r="C135" s="632"/>
      <c r="D135" s="617"/>
      <c r="E135" s="612"/>
      <c r="F135" s="30"/>
      <c r="G135" s="609"/>
      <c r="H135" s="609"/>
      <c r="I135" s="614"/>
      <c r="J135" s="609"/>
      <c r="K135" s="609"/>
      <c r="L135" s="609"/>
      <c r="M135" s="612"/>
      <c r="N135" s="606"/>
      <c r="O135" s="644"/>
      <c r="P135" s="330" t="s">
        <v>325</v>
      </c>
      <c r="Q135" s="307">
        <v>0.03</v>
      </c>
      <c r="R135" s="308">
        <v>649</v>
      </c>
      <c r="S135" s="307">
        <f t="shared" ref="S135:S198" si="14">(Q135*R135)</f>
        <v>19.47</v>
      </c>
      <c r="T135" s="27"/>
    </row>
    <row r="136" spans="1:20" ht="31.5" x14ac:dyDescent="0.25">
      <c r="A136" s="641"/>
      <c r="B136" s="595"/>
      <c r="C136" s="632"/>
      <c r="D136" s="617"/>
      <c r="E136" s="612"/>
      <c r="F136" s="30"/>
      <c r="G136" s="609"/>
      <c r="H136" s="609"/>
      <c r="I136" s="614"/>
      <c r="J136" s="609"/>
      <c r="K136" s="609"/>
      <c r="L136" s="609"/>
      <c r="M136" s="612"/>
      <c r="N136" s="606"/>
      <c r="O136" s="644"/>
      <c r="P136" s="329" t="s">
        <v>297</v>
      </c>
      <c r="Q136" s="307">
        <v>0.02</v>
      </c>
      <c r="R136" s="308">
        <v>875.26</v>
      </c>
      <c r="S136" s="307">
        <f t="shared" si="14"/>
        <v>17.505199999999999</v>
      </c>
      <c r="T136" s="27"/>
    </row>
    <row r="137" spans="1:20" ht="31.5" x14ac:dyDescent="0.25">
      <c r="A137" s="641"/>
      <c r="B137" s="595"/>
      <c r="C137" s="632"/>
      <c r="D137" s="617"/>
      <c r="E137" s="612"/>
      <c r="F137" s="30"/>
      <c r="G137" s="609"/>
      <c r="H137" s="609"/>
      <c r="I137" s="614"/>
      <c r="J137" s="609"/>
      <c r="K137" s="609"/>
      <c r="L137" s="609"/>
      <c r="M137" s="612"/>
      <c r="N137" s="606"/>
      <c r="O137" s="644"/>
      <c r="P137" s="329" t="s">
        <v>305</v>
      </c>
      <c r="Q137" s="307">
        <v>0.01</v>
      </c>
      <c r="R137" s="308">
        <v>165</v>
      </c>
      <c r="S137" s="307">
        <f t="shared" si="14"/>
        <v>1.6500000000000001</v>
      </c>
      <c r="T137" s="27"/>
    </row>
    <row r="138" spans="1:20" ht="31.5" x14ac:dyDescent="0.25">
      <c r="A138" s="641"/>
      <c r="B138" s="595"/>
      <c r="C138" s="632"/>
      <c r="D138" s="617"/>
      <c r="E138" s="612"/>
      <c r="F138" s="30"/>
      <c r="G138" s="609"/>
      <c r="H138" s="609"/>
      <c r="I138" s="614"/>
      <c r="J138" s="609"/>
      <c r="K138" s="609"/>
      <c r="L138" s="609"/>
      <c r="M138" s="612"/>
      <c r="N138" s="606"/>
      <c r="O138" s="644"/>
      <c r="P138" s="329" t="s">
        <v>291</v>
      </c>
      <c r="Q138" s="307">
        <v>6.0000000000000001E-3</v>
      </c>
      <c r="R138" s="308">
        <v>34</v>
      </c>
      <c r="S138" s="307">
        <f t="shared" si="14"/>
        <v>0.20400000000000001</v>
      </c>
      <c r="T138" s="27"/>
    </row>
    <row r="139" spans="1:20" ht="31.5" x14ac:dyDescent="0.25">
      <c r="A139" s="641"/>
      <c r="B139" s="595"/>
      <c r="C139" s="632"/>
      <c r="D139" s="617"/>
      <c r="E139" s="612"/>
      <c r="F139" s="30"/>
      <c r="G139" s="609"/>
      <c r="H139" s="609"/>
      <c r="I139" s="614"/>
      <c r="J139" s="609"/>
      <c r="K139" s="609"/>
      <c r="L139" s="609"/>
      <c r="M139" s="612"/>
      <c r="N139" s="606"/>
      <c r="O139" s="644"/>
      <c r="P139" s="329" t="s">
        <v>293</v>
      </c>
      <c r="Q139" s="307">
        <v>5.0000000000000001E-3</v>
      </c>
      <c r="R139" s="308">
        <v>11200</v>
      </c>
      <c r="S139" s="307">
        <f t="shared" si="14"/>
        <v>56</v>
      </c>
      <c r="T139" s="27"/>
    </row>
    <row r="140" spans="1:20" ht="31.5" x14ac:dyDescent="0.25">
      <c r="A140" s="641"/>
      <c r="B140" s="595"/>
      <c r="C140" s="632"/>
      <c r="D140" s="617"/>
      <c r="E140" s="490"/>
      <c r="F140" s="30"/>
      <c r="G140" s="610"/>
      <c r="H140" s="610"/>
      <c r="I140" s="615"/>
      <c r="J140" s="610"/>
      <c r="K140" s="610"/>
      <c r="L140" s="610"/>
      <c r="M140" s="490"/>
      <c r="N140" s="607"/>
      <c r="O140" s="645"/>
      <c r="P140" s="329" t="s">
        <v>295</v>
      </c>
      <c r="Q140" s="307">
        <v>4.0000000000000001E-3</v>
      </c>
      <c r="R140" s="308">
        <v>2350</v>
      </c>
      <c r="S140" s="307">
        <f t="shared" si="14"/>
        <v>9.4</v>
      </c>
      <c r="T140" s="27"/>
    </row>
    <row r="141" spans="1:20" x14ac:dyDescent="0.25">
      <c r="A141" s="641"/>
      <c r="B141" s="595"/>
      <c r="C141" s="628"/>
      <c r="D141" s="604"/>
      <c r="E141" s="34" t="s">
        <v>294</v>
      </c>
      <c r="F141" s="30"/>
      <c r="G141" s="27">
        <v>5.75</v>
      </c>
      <c r="H141" s="27">
        <v>1</v>
      </c>
      <c r="I141" s="238">
        <f t="shared" si="13"/>
        <v>5.75</v>
      </c>
      <c r="J141" s="27"/>
      <c r="K141" s="27"/>
      <c r="L141" s="27"/>
      <c r="M141" s="387">
        <v>6</v>
      </c>
      <c r="N141" s="385">
        <v>454.87</v>
      </c>
      <c r="O141" s="328">
        <f>I141*N141</f>
        <v>2615.5025000000001</v>
      </c>
      <c r="P141" s="330" t="s">
        <v>328</v>
      </c>
      <c r="Q141" s="27"/>
      <c r="R141" s="308"/>
      <c r="S141" s="307">
        <f t="shared" si="14"/>
        <v>0</v>
      </c>
      <c r="T141" s="27"/>
    </row>
    <row r="142" spans="1:20" ht="31.5" x14ac:dyDescent="0.25">
      <c r="A142" s="641"/>
      <c r="B142" s="595"/>
      <c r="C142" s="601" t="s">
        <v>331</v>
      </c>
      <c r="D142" s="603">
        <v>1</v>
      </c>
      <c r="E142" s="611" t="s">
        <v>290</v>
      </c>
      <c r="F142" s="30"/>
      <c r="G142" s="611">
        <v>1.03</v>
      </c>
      <c r="H142" s="611">
        <v>8</v>
      </c>
      <c r="I142" s="618">
        <f>H142*G142</f>
        <v>8.24</v>
      </c>
      <c r="J142" s="621"/>
      <c r="K142" s="624"/>
      <c r="L142" s="624"/>
      <c r="M142" s="611">
        <v>4</v>
      </c>
      <c r="N142" s="633">
        <v>454.87</v>
      </c>
      <c r="O142" s="643">
        <f>I142*N142</f>
        <v>3748.1288</v>
      </c>
      <c r="P142" s="329" t="s">
        <v>297</v>
      </c>
      <c r="Q142" s="307">
        <v>0.04</v>
      </c>
      <c r="R142" s="308">
        <v>875.26</v>
      </c>
      <c r="S142" s="307">
        <f t="shared" si="14"/>
        <v>35.010399999999997</v>
      </c>
      <c r="T142" s="27"/>
    </row>
    <row r="143" spans="1:20" x14ac:dyDescent="0.25">
      <c r="A143" s="641"/>
      <c r="B143" s="595"/>
      <c r="C143" s="616"/>
      <c r="D143" s="617"/>
      <c r="E143" s="612"/>
      <c r="F143" s="30"/>
      <c r="G143" s="612"/>
      <c r="H143" s="612"/>
      <c r="I143" s="619"/>
      <c r="J143" s="622"/>
      <c r="K143" s="625"/>
      <c r="L143" s="625"/>
      <c r="M143" s="612"/>
      <c r="N143" s="606"/>
      <c r="O143" s="644"/>
      <c r="P143" s="329" t="s">
        <v>298</v>
      </c>
      <c r="Q143" s="307">
        <v>0.05</v>
      </c>
      <c r="R143" s="308">
        <v>179.8</v>
      </c>
      <c r="S143" s="307">
        <f t="shared" si="14"/>
        <v>8.99</v>
      </c>
      <c r="T143" s="27"/>
    </row>
    <row r="144" spans="1:20" ht="31.5" x14ac:dyDescent="0.25">
      <c r="A144" s="641"/>
      <c r="B144" s="595"/>
      <c r="C144" s="616"/>
      <c r="D144" s="617"/>
      <c r="E144" s="612"/>
      <c r="F144" s="30"/>
      <c r="G144" s="612"/>
      <c r="H144" s="612"/>
      <c r="I144" s="619"/>
      <c r="J144" s="622"/>
      <c r="K144" s="625"/>
      <c r="L144" s="625"/>
      <c r="M144" s="612"/>
      <c r="N144" s="606"/>
      <c r="O144" s="644"/>
      <c r="P144" s="329" t="s">
        <v>291</v>
      </c>
      <c r="Q144" s="307">
        <v>0.1</v>
      </c>
      <c r="R144" s="308">
        <v>34</v>
      </c>
      <c r="S144" s="307">
        <f t="shared" si="14"/>
        <v>3.4000000000000004</v>
      </c>
      <c r="T144" s="27"/>
    </row>
    <row r="145" spans="1:20" x14ac:dyDescent="0.25">
      <c r="A145" s="641"/>
      <c r="B145" s="595"/>
      <c r="C145" s="616"/>
      <c r="D145" s="617"/>
      <c r="E145" s="612"/>
      <c r="F145" s="30"/>
      <c r="G145" s="612"/>
      <c r="H145" s="612"/>
      <c r="I145" s="619"/>
      <c r="J145" s="622"/>
      <c r="K145" s="625"/>
      <c r="L145" s="625"/>
      <c r="M145" s="612"/>
      <c r="N145" s="606"/>
      <c r="O145" s="644"/>
      <c r="P145" s="329" t="s">
        <v>299</v>
      </c>
      <c r="Q145" s="307">
        <v>2</v>
      </c>
      <c r="R145" s="308">
        <v>4.0999999999999996</v>
      </c>
      <c r="S145" s="307">
        <f t="shared" si="14"/>
        <v>8.1999999999999993</v>
      </c>
      <c r="T145" s="27"/>
    </row>
    <row r="146" spans="1:20" x14ac:dyDescent="0.25">
      <c r="A146" s="641"/>
      <c r="B146" s="595"/>
      <c r="C146" s="616"/>
      <c r="D146" s="617"/>
      <c r="E146" s="490"/>
      <c r="F146" s="30"/>
      <c r="G146" s="490"/>
      <c r="H146" s="490"/>
      <c r="I146" s="620"/>
      <c r="J146" s="623"/>
      <c r="K146" s="626"/>
      <c r="L146" s="626"/>
      <c r="M146" s="490"/>
      <c r="N146" s="607"/>
      <c r="O146" s="645"/>
      <c r="P146" s="329" t="s">
        <v>300</v>
      </c>
      <c r="Q146" s="307">
        <v>0.25</v>
      </c>
      <c r="R146" s="308">
        <v>272</v>
      </c>
      <c r="S146" s="307">
        <f t="shared" si="14"/>
        <v>68</v>
      </c>
      <c r="T146" s="27"/>
    </row>
    <row r="147" spans="1:20" x14ac:dyDescent="0.25">
      <c r="A147" s="641"/>
      <c r="B147" s="595"/>
      <c r="C147" s="616"/>
      <c r="D147" s="617"/>
      <c r="E147" s="611" t="s">
        <v>292</v>
      </c>
      <c r="F147" s="30"/>
      <c r="G147" s="608">
        <v>2.46</v>
      </c>
      <c r="H147" s="608">
        <v>3</v>
      </c>
      <c r="I147" s="613">
        <f t="shared" ref="I147" si="15">H147*G147</f>
        <v>7.38</v>
      </c>
      <c r="J147" s="608"/>
      <c r="K147" s="608"/>
      <c r="L147" s="608"/>
      <c r="M147" s="611">
        <v>4</v>
      </c>
      <c r="N147" s="633">
        <v>454.87</v>
      </c>
      <c r="O147" s="643">
        <f>I147*N147</f>
        <v>3356.9405999999999</v>
      </c>
      <c r="P147" s="329" t="s">
        <v>298</v>
      </c>
      <c r="Q147" s="307">
        <v>0.2</v>
      </c>
      <c r="R147" s="308">
        <v>179.8</v>
      </c>
      <c r="S147" s="307">
        <f t="shared" si="14"/>
        <v>35.96</v>
      </c>
      <c r="T147" s="27"/>
    </row>
    <row r="148" spans="1:20" ht="31.5" x14ac:dyDescent="0.25">
      <c r="A148" s="641"/>
      <c r="B148" s="595"/>
      <c r="C148" s="616"/>
      <c r="D148" s="617"/>
      <c r="E148" s="612"/>
      <c r="F148" s="30"/>
      <c r="G148" s="609"/>
      <c r="H148" s="609"/>
      <c r="I148" s="614"/>
      <c r="J148" s="609"/>
      <c r="K148" s="609"/>
      <c r="L148" s="609"/>
      <c r="M148" s="612"/>
      <c r="N148" s="606"/>
      <c r="O148" s="644"/>
      <c r="P148" s="329" t="s">
        <v>297</v>
      </c>
      <c r="Q148" s="307">
        <v>0.01</v>
      </c>
      <c r="R148" s="308">
        <v>875.26</v>
      </c>
      <c r="S148" s="307">
        <f t="shared" si="14"/>
        <v>8.7525999999999993</v>
      </c>
      <c r="T148" s="27"/>
    </row>
    <row r="149" spans="1:20" ht="31.5" x14ac:dyDescent="0.25">
      <c r="A149" s="641"/>
      <c r="B149" s="595"/>
      <c r="C149" s="616"/>
      <c r="D149" s="617"/>
      <c r="E149" s="612"/>
      <c r="F149" s="30"/>
      <c r="G149" s="609"/>
      <c r="H149" s="609"/>
      <c r="I149" s="614"/>
      <c r="J149" s="609"/>
      <c r="K149" s="609"/>
      <c r="L149" s="609"/>
      <c r="M149" s="612"/>
      <c r="N149" s="606"/>
      <c r="O149" s="644"/>
      <c r="P149" s="329" t="s">
        <v>293</v>
      </c>
      <c r="Q149" s="307">
        <v>6.0000000000000001E-3</v>
      </c>
      <c r="R149" s="308">
        <v>11200</v>
      </c>
      <c r="S149" s="307">
        <f t="shared" si="14"/>
        <v>67.2</v>
      </c>
      <c r="T149" s="27"/>
    </row>
    <row r="150" spans="1:20" ht="31.5" x14ac:dyDescent="0.25">
      <c r="A150" s="641"/>
      <c r="B150" s="595"/>
      <c r="C150" s="616"/>
      <c r="D150" s="617"/>
      <c r="E150" s="612"/>
      <c r="F150" s="30"/>
      <c r="G150" s="609"/>
      <c r="H150" s="609"/>
      <c r="I150" s="614"/>
      <c r="J150" s="609"/>
      <c r="K150" s="609"/>
      <c r="L150" s="609"/>
      <c r="M150" s="612"/>
      <c r="N150" s="606"/>
      <c r="O150" s="644"/>
      <c r="P150" s="329" t="s">
        <v>295</v>
      </c>
      <c r="Q150" s="307">
        <v>4.0000000000000001E-3</v>
      </c>
      <c r="R150" s="308">
        <v>2350</v>
      </c>
      <c r="S150" s="307">
        <f t="shared" si="14"/>
        <v>9.4</v>
      </c>
      <c r="T150" s="27"/>
    </row>
    <row r="151" spans="1:20" ht="31.5" x14ac:dyDescent="0.25">
      <c r="A151" s="641"/>
      <c r="B151" s="595"/>
      <c r="C151" s="616"/>
      <c r="D151" s="617"/>
      <c r="E151" s="612"/>
      <c r="F151" s="30"/>
      <c r="G151" s="609"/>
      <c r="H151" s="609"/>
      <c r="I151" s="614"/>
      <c r="J151" s="609"/>
      <c r="K151" s="609"/>
      <c r="L151" s="609"/>
      <c r="M151" s="612"/>
      <c r="N151" s="606"/>
      <c r="O151" s="644"/>
      <c r="P151" s="329" t="s">
        <v>301</v>
      </c>
      <c r="Q151" s="307">
        <v>0.05</v>
      </c>
      <c r="R151" s="308">
        <v>1148</v>
      </c>
      <c r="S151" s="307">
        <f t="shared" si="14"/>
        <v>57.400000000000006</v>
      </c>
      <c r="T151" s="27"/>
    </row>
    <row r="152" spans="1:20" ht="31.5" x14ac:dyDescent="0.25">
      <c r="A152" s="641"/>
      <c r="B152" s="595"/>
      <c r="C152" s="616"/>
      <c r="D152" s="617"/>
      <c r="E152" s="612"/>
      <c r="F152" s="30"/>
      <c r="G152" s="609"/>
      <c r="H152" s="609"/>
      <c r="I152" s="614"/>
      <c r="J152" s="609"/>
      <c r="K152" s="609"/>
      <c r="L152" s="609"/>
      <c r="M152" s="612"/>
      <c r="N152" s="606"/>
      <c r="O152" s="644"/>
      <c r="P152" s="329" t="s">
        <v>291</v>
      </c>
      <c r="Q152" s="307">
        <v>0.02</v>
      </c>
      <c r="R152" s="308">
        <v>34</v>
      </c>
      <c r="S152" s="307">
        <f t="shared" si="14"/>
        <v>0.68</v>
      </c>
      <c r="T152" s="27"/>
    </row>
    <row r="153" spans="1:20" x14ac:dyDescent="0.25">
      <c r="A153" s="641"/>
      <c r="B153" s="595"/>
      <c r="C153" s="616"/>
      <c r="D153" s="617"/>
      <c r="E153" s="612"/>
      <c r="F153" s="30"/>
      <c r="G153" s="609"/>
      <c r="H153" s="609"/>
      <c r="I153" s="614"/>
      <c r="J153" s="609"/>
      <c r="K153" s="609"/>
      <c r="L153" s="609"/>
      <c r="M153" s="612"/>
      <c r="N153" s="606"/>
      <c r="O153" s="644"/>
      <c r="P153" s="329" t="s">
        <v>300</v>
      </c>
      <c r="Q153" s="307">
        <v>0.25</v>
      </c>
      <c r="R153" s="308">
        <v>272</v>
      </c>
      <c r="S153" s="307">
        <f t="shared" si="14"/>
        <v>68</v>
      </c>
      <c r="T153" s="27"/>
    </row>
    <row r="154" spans="1:20" x14ac:dyDescent="0.25">
      <c r="A154" s="641"/>
      <c r="B154" s="595"/>
      <c r="C154" s="616"/>
      <c r="D154" s="617"/>
      <c r="E154" s="612"/>
      <c r="F154" s="30"/>
      <c r="G154" s="609"/>
      <c r="H154" s="609"/>
      <c r="I154" s="614"/>
      <c r="J154" s="609"/>
      <c r="K154" s="609"/>
      <c r="L154" s="609"/>
      <c r="M154" s="612"/>
      <c r="N154" s="606"/>
      <c r="O154" s="644"/>
      <c r="P154" s="329" t="s">
        <v>302</v>
      </c>
      <c r="Q154" s="307">
        <v>0.08</v>
      </c>
      <c r="R154" s="308">
        <v>950</v>
      </c>
      <c r="S154" s="307">
        <f t="shared" si="14"/>
        <v>76</v>
      </c>
      <c r="T154" s="27"/>
    </row>
    <row r="155" spans="1:20" ht="31.5" x14ac:dyDescent="0.25">
      <c r="A155" s="641"/>
      <c r="B155" s="595"/>
      <c r="C155" s="616"/>
      <c r="D155" s="617"/>
      <c r="E155" s="490"/>
      <c r="F155" s="30"/>
      <c r="G155" s="610"/>
      <c r="H155" s="610"/>
      <c r="I155" s="615"/>
      <c r="J155" s="610"/>
      <c r="K155" s="610"/>
      <c r="L155" s="610"/>
      <c r="M155" s="490"/>
      <c r="N155" s="607"/>
      <c r="O155" s="645"/>
      <c r="P155" s="329" t="s">
        <v>303</v>
      </c>
      <c r="Q155" s="307">
        <v>1</v>
      </c>
      <c r="R155" s="308">
        <v>6790</v>
      </c>
      <c r="S155" s="307">
        <f t="shared" si="14"/>
        <v>6790</v>
      </c>
      <c r="T155" s="27"/>
    </row>
    <row r="156" spans="1:20" ht="31.5" x14ac:dyDescent="0.25">
      <c r="A156" s="641"/>
      <c r="B156" s="595"/>
      <c r="C156" s="616"/>
      <c r="D156" s="617"/>
      <c r="E156" s="611" t="s">
        <v>294</v>
      </c>
      <c r="F156" s="30"/>
      <c r="G156" s="608">
        <v>8.51</v>
      </c>
      <c r="H156" s="608">
        <v>1</v>
      </c>
      <c r="I156" s="613">
        <f t="shared" ref="I156" si="16">H156*G156</f>
        <v>8.51</v>
      </c>
      <c r="J156" s="608"/>
      <c r="K156" s="608"/>
      <c r="L156" s="608"/>
      <c r="M156" s="611">
        <v>4</v>
      </c>
      <c r="N156" s="633">
        <v>454.87</v>
      </c>
      <c r="O156" s="643">
        <f>I156*N156</f>
        <v>3870.9436999999998</v>
      </c>
      <c r="P156" s="329" t="s">
        <v>293</v>
      </c>
      <c r="Q156" s="307">
        <v>6.0000000000000001E-3</v>
      </c>
      <c r="R156" s="308">
        <v>11200</v>
      </c>
      <c r="S156" s="307">
        <f t="shared" si="14"/>
        <v>67.2</v>
      </c>
      <c r="T156" s="27"/>
    </row>
    <row r="157" spans="1:20" ht="31.5" x14ac:dyDescent="0.25">
      <c r="A157" s="641"/>
      <c r="B157" s="595"/>
      <c r="C157" s="616"/>
      <c r="D157" s="617"/>
      <c r="E157" s="612"/>
      <c r="F157" s="30"/>
      <c r="G157" s="609"/>
      <c r="H157" s="609"/>
      <c r="I157" s="614"/>
      <c r="J157" s="609"/>
      <c r="K157" s="609"/>
      <c r="L157" s="609"/>
      <c r="M157" s="612"/>
      <c r="N157" s="606"/>
      <c r="O157" s="644"/>
      <c r="P157" s="329" t="s">
        <v>295</v>
      </c>
      <c r="Q157" s="307">
        <v>4.0000000000000001E-3</v>
      </c>
      <c r="R157" s="308">
        <v>2350</v>
      </c>
      <c r="S157" s="307">
        <f t="shared" si="14"/>
        <v>9.4</v>
      </c>
      <c r="T157" s="27"/>
    </row>
    <row r="158" spans="1:20" ht="31.5" x14ac:dyDescent="0.25">
      <c r="A158" s="641"/>
      <c r="B158" s="595"/>
      <c r="C158" s="616"/>
      <c r="D158" s="617"/>
      <c r="E158" s="612"/>
      <c r="F158" s="30"/>
      <c r="G158" s="609"/>
      <c r="H158" s="609"/>
      <c r="I158" s="614"/>
      <c r="J158" s="609"/>
      <c r="K158" s="609"/>
      <c r="L158" s="609"/>
      <c r="M158" s="612"/>
      <c r="N158" s="606"/>
      <c r="O158" s="644"/>
      <c r="P158" s="329" t="s">
        <v>291</v>
      </c>
      <c r="Q158" s="307">
        <v>0.02</v>
      </c>
      <c r="R158" s="308">
        <v>34</v>
      </c>
      <c r="S158" s="307">
        <f t="shared" si="14"/>
        <v>0.68</v>
      </c>
      <c r="T158" s="27"/>
    </row>
    <row r="159" spans="1:20" ht="31.5" x14ac:dyDescent="0.25">
      <c r="A159" s="641"/>
      <c r="B159" s="595"/>
      <c r="C159" s="616"/>
      <c r="D159" s="617"/>
      <c r="E159" s="612"/>
      <c r="F159" s="30"/>
      <c r="G159" s="609"/>
      <c r="H159" s="609"/>
      <c r="I159" s="614"/>
      <c r="J159" s="609"/>
      <c r="K159" s="609"/>
      <c r="L159" s="609"/>
      <c r="M159" s="612"/>
      <c r="N159" s="606"/>
      <c r="O159" s="644"/>
      <c r="P159" s="329" t="s">
        <v>301</v>
      </c>
      <c r="Q159" s="307">
        <v>0.05</v>
      </c>
      <c r="R159" s="308">
        <v>1148</v>
      </c>
      <c r="S159" s="307">
        <f t="shared" si="14"/>
        <v>57.400000000000006</v>
      </c>
      <c r="T159" s="27"/>
    </row>
    <row r="160" spans="1:20" x14ac:dyDescent="0.25">
      <c r="A160" s="641"/>
      <c r="B160" s="595"/>
      <c r="C160" s="616"/>
      <c r="D160" s="617"/>
      <c r="E160" s="612"/>
      <c r="F160" s="30"/>
      <c r="G160" s="609"/>
      <c r="H160" s="609"/>
      <c r="I160" s="614"/>
      <c r="J160" s="609"/>
      <c r="K160" s="609"/>
      <c r="L160" s="609"/>
      <c r="M160" s="612"/>
      <c r="N160" s="606"/>
      <c r="O160" s="644"/>
      <c r="P160" s="329" t="s">
        <v>300</v>
      </c>
      <c r="Q160" s="307">
        <v>0.25</v>
      </c>
      <c r="R160" s="308">
        <v>272</v>
      </c>
      <c r="S160" s="307">
        <f t="shared" si="14"/>
        <v>68</v>
      </c>
      <c r="T160" s="27"/>
    </row>
    <row r="161" spans="1:20" x14ac:dyDescent="0.25">
      <c r="A161" s="641"/>
      <c r="B161" s="595"/>
      <c r="C161" s="616"/>
      <c r="D161" s="617"/>
      <c r="E161" s="612"/>
      <c r="F161" s="30"/>
      <c r="G161" s="609"/>
      <c r="H161" s="609"/>
      <c r="I161" s="614"/>
      <c r="J161" s="609"/>
      <c r="K161" s="609"/>
      <c r="L161" s="609"/>
      <c r="M161" s="612"/>
      <c r="N161" s="606"/>
      <c r="O161" s="644"/>
      <c r="P161" s="329" t="s">
        <v>302</v>
      </c>
      <c r="Q161" s="307">
        <v>0.08</v>
      </c>
      <c r="R161" s="308">
        <v>950</v>
      </c>
      <c r="S161" s="307">
        <f t="shared" si="14"/>
        <v>76</v>
      </c>
      <c r="T161" s="27"/>
    </row>
    <row r="162" spans="1:20" ht="31.5" x14ac:dyDescent="0.25">
      <c r="A162" s="641"/>
      <c r="B162" s="595"/>
      <c r="C162" s="616"/>
      <c r="D162" s="617"/>
      <c r="E162" s="612"/>
      <c r="F162" s="30"/>
      <c r="G162" s="609"/>
      <c r="H162" s="609"/>
      <c r="I162" s="614"/>
      <c r="J162" s="609"/>
      <c r="K162" s="609"/>
      <c r="L162" s="609"/>
      <c r="M162" s="612"/>
      <c r="N162" s="606"/>
      <c r="O162" s="644"/>
      <c r="P162" s="329" t="s">
        <v>303</v>
      </c>
      <c r="Q162" s="307">
        <v>1</v>
      </c>
      <c r="R162" s="308">
        <v>6790</v>
      </c>
      <c r="S162" s="307">
        <f t="shared" si="14"/>
        <v>6790</v>
      </c>
      <c r="T162" s="27"/>
    </row>
    <row r="163" spans="1:20" ht="31.5" x14ac:dyDescent="0.25">
      <c r="A163" s="641"/>
      <c r="B163" s="595"/>
      <c r="C163" s="616"/>
      <c r="D163" s="617"/>
      <c r="E163" s="612"/>
      <c r="F163" s="30"/>
      <c r="G163" s="609"/>
      <c r="H163" s="609"/>
      <c r="I163" s="614"/>
      <c r="J163" s="609"/>
      <c r="K163" s="609"/>
      <c r="L163" s="609"/>
      <c r="M163" s="612"/>
      <c r="N163" s="606"/>
      <c r="O163" s="644"/>
      <c r="P163" s="329" t="s">
        <v>304</v>
      </c>
      <c r="Q163" s="307">
        <v>3</v>
      </c>
      <c r="R163" s="308">
        <v>256.5</v>
      </c>
      <c r="S163" s="307">
        <f t="shared" si="14"/>
        <v>769.5</v>
      </c>
      <c r="T163" s="27"/>
    </row>
    <row r="164" spans="1:20" ht="31.5" x14ac:dyDescent="0.25">
      <c r="A164" s="641"/>
      <c r="B164" s="595"/>
      <c r="C164" s="616"/>
      <c r="D164" s="617"/>
      <c r="E164" s="612"/>
      <c r="F164" s="30"/>
      <c r="G164" s="609"/>
      <c r="H164" s="609"/>
      <c r="I164" s="614"/>
      <c r="J164" s="609"/>
      <c r="K164" s="609"/>
      <c r="L164" s="609"/>
      <c r="M164" s="612"/>
      <c r="N164" s="606"/>
      <c r="O164" s="644"/>
      <c r="P164" s="329" t="s">
        <v>305</v>
      </c>
      <c r="Q164" s="307">
        <v>0.03</v>
      </c>
      <c r="R164" s="308">
        <v>165</v>
      </c>
      <c r="S164" s="307">
        <f t="shared" si="14"/>
        <v>4.95</v>
      </c>
      <c r="T164" s="27"/>
    </row>
    <row r="165" spans="1:20" ht="47.25" x14ac:dyDescent="0.25">
      <c r="A165" s="641"/>
      <c r="B165" s="595"/>
      <c r="C165" s="616"/>
      <c r="D165" s="617"/>
      <c r="E165" s="612"/>
      <c r="F165" s="30"/>
      <c r="G165" s="609"/>
      <c r="H165" s="609"/>
      <c r="I165" s="614"/>
      <c r="J165" s="609"/>
      <c r="K165" s="609"/>
      <c r="L165" s="609"/>
      <c r="M165" s="612"/>
      <c r="N165" s="606"/>
      <c r="O165" s="644"/>
      <c r="P165" s="329" t="s">
        <v>306</v>
      </c>
      <c r="Q165" s="307">
        <v>0.01</v>
      </c>
      <c r="R165" s="308">
        <v>207</v>
      </c>
      <c r="S165" s="307">
        <f t="shared" si="14"/>
        <v>2.0699999999999998</v>
      </c>
      <c r="T165" s="27"/>
    </row>
    <row r="166" spans="1:20" x14ac:dyDescent="0.25">
      <c r="A166" s="641"/>
      <c r="B166" s="595"/>
      <c r="C166" s="616"/>
      <c r="D166" s="617"/>
      <c r="E166" s="612"/>
      <c r="F166" s="30"/>
      <c r="G166" s="609"/>
      <c r="H166" s="609"/>
      <c r="I166" s="614"/>
      <c r="J166" s="609"/>
      <c r="K166" s="609"/>
      <c r="L166" s="609"/>
      <c r="M166" s="612"/>
      <c r="N166" s="606"/>
      <c r="O166" s="644"/>
      <c r="P166" s="329" t="s">
        <v>307</v>
      </c>
      <c r="Q166" s="307">
        <v>0.2</v>
      </c>
      <c r="R166" s="308">
        <v>133</v>
      </c>
      <c r="S166" s="307">
        <f t="shared" si="14"/>
        <v>26.6</v>
      </c>
      <c r="T166" s="27"/>
    </row>
    <row r="167" spans="1:20" x14ac:dyDescent="0.25">
      <c r="A167" s="641"/>
      <c r="B167" s="595"/>
      <c r="C167" s="616"/>
      <c r="D167" s="617"/>
      <c r="E167" s="612"/>
      <c r="F167" s="30"/>
      <c r="G167" s="609"/>
      <c r="H167" s="609"/>
      <c r="I167" s="614"/>
      <c r="J167" s="609"/>
      <c r="K167" s="609"/>
      <c r="L167" s="609"/>
      <c r="M167" s="612"/>
      <c r="N167" s="606"/>
      <c r="O167" s="644"/>
      <c r="P167" s="329" t="s">
        <v>308</v>
      </c>
      <c r="Q167" s="307">
        <v>0.25</v>
      </c>
      <c r="R167" s="308">
        <v>625</v>
      </c>
      <c r="S167" s="307">
        <f t="shared" si="14"/>
        <v>156.25</v>
      </c>
      <c r="T167" s="27"/>
    </row>
    <row r="168" spans="1:20" x14ac:dyDescent="0.25">
      <c r="A168" s="641"/>
      <c r="B168" s="595"/>
      <c r="C168" s="616"/>
      <c r="D168" s="617"/>
      <c r="E168" s="612"/>
      <c r="F168" s="30"/>
      <c r="G168" s="609"/>
      <c r="H168" s="609"/>
      <c r="I168" s="614"/>
      <c r="J168" s="609"/>
      <c r="K168" s="609"/>
      <c r="L168" s="609"/>
      <c r="M168" s="612"/>
      <c r="N168" s="606"/>
      <c r="O168" s="644"/>
      <c r="P168" s="329" t="s">
        <v>298</v>
      </c>
      <c r="Q168" s="307">
        <v>0.2</v>
      </c>
      <c r="R168" s="308">
        <v>179.8</v>
      </c>
      <c r="S168" s="307">
        <f t="shared" si="14"/>
        <v>35.96</v>
      </c>
      <c r="T168" s="27"/>
    </row>
    <row r="169" spans="1:20" ht="31.5" x14ac:dyDescent="0.25">
      <c r="A169" s="641"/>
      <c r="B169" s="595"/>
      <c r="C169" s="602"/>
      <c r="D169" s="604"/>
      <c r="E169" s="490"/>
      <c r="F169" s="30"/>
      <c r="G169" s="610"/>
      <c r="H169" s="610"/>
      <c r="I169" s="615"/>
      <c r="J169" s="610"/>
      <c r="K169" s="610"/>
      <c r="L169" s="610"/>
      <c r="M169" s="490"/>
      <c r="N169" s="607"/>
      <c r="O169" s="645"/>
      <c r="P169" s="329" t="s">
        <v>297</v>
      </c>
      <c r="Q169" s="307">
        <v>0.01</v>
      </c>
      <c r="R169" s="308">
        <v>875.26</v>
      </c>
      <c r="S169" s="307">
        <f t="shared" si="14"/>
        <v>8.7525999999999993</v>
      </c>
      <c r="T169" s="27"/>
    </row>
    <row r="170" spans="1:20" x14ac:dyDescent="0.25">
      <c r="A170" s="641"/>
      <c r="B170" s="595"/>
      <c r="C170" s="627" t="s">
        <v>332</v>
      </c>
      <c r="D170" s="603">
        <v>1</v>
      </c>
      <c r="E170" s="35" t="s">
        <v>44</v>
      </c>
      <c r="F170" s="30"/>
      <c r="G170" s="332">
        <v>2E-3</v>
      </c>
      <c r="H170" s="332">
        <v>2</v>
      </c>
      <c r="I170" s="333">
        <v>3.0888</v>
      </c>
      <c r="J170" s="333">
        <v>6</v>
      </c>
      <c r="K170" s="334"/>
      <c r="L170" s="334"/>
      <c r="M170" s="399">
        <v>6</v>
      </c>
      <c r="N170" s="385">
        <v>454.87</v>
      </c>
      <c r="O170" s="328">
        <f>I170*N170</f>
        <v>1405.0024559999999</v>
      </c>
      <c r="P170" s="329"/>
      <c r="Q170" s="307"/>
      <c r="R170" s="308"/>
      <c r="S170" s="307"/>
      <c r="T170" s="27"/>
    </row>
    <row r="171" spans="1:20" x14ac:dyDescent="0.25">
      <c r="A171" s="641"/>
      <c r="B171" s="595"/>
      <c r="C171" s="628"/>
      <c r="D171" s="604"/>
      <c r="E171" s="30" t="s">
        <v>43</v>
      </c>
      <c r="F171" s="30"/>
      <c r="G171" s="332">
        <v>2E-3</v>
      </c>
      <c r="H171" s="332">
        <v>4</v>
      </c>
      <c r="I171" s="333">
        <v>3.0888</v>
      </c>
      <c r="J171" s="333">
        <v>6</v>
      </c>
      <c r="K171" s="27"/>
      <c r="L171" s="27"/>
      <c r="M171" s="387">
        <v>6</v>
      </c>
      <c r="N171" s="385">
        <v>454.87</v>
      </c>
      <c r="O171" s="328">
        <f>I171*N171</f>
        <v>1405.0024559999999</v>
      </c>
      <c r="P171" s="330"/>
      <c r="Q171" s="27"/>
      <c r="R171" s="308"/>
      <c r="S171" s="307"/>
      <c r="T171" s="27"/>
    </row>
    <row r="172" spans="1:20" x14ac:dyDescent="0.25">
      <c r="A172" s="641"/>
      <c r="B172" s="595"/>
      <c r="C172" s="627" t="s">
        <v>333</v>
      </c>
      <c r="D172" s="603">
        <v>1</v>
      </c>
      <c r="E172" s="30" t="s">
        <v>43</v>
      </c>
      <c r="F172" s="30"/>
      <c r="G172" s="326">
        <v>5.0000000000000001E-3</v>
      </c>
      <c r="H172" s="335">
        <v>2</v>
      </c>
      <c r="I172" s="333">
        <v>1.9305000000000001</v>
      </c>
      <c r="J172" s="336"/>
      <c r="K172" s="27"/>
      <c r="L172" s="27"/>
      <c r="M172" s="387">
        <v>6</v>
      </c>
      <c r="N172" s="385">
        <v>454.87</v>
      </c>
      <c r="O172" s="328">
        <f>I172*N172</f>
        <v>878.1265350000001</v>
      </c>
      <c r="P172" s="329"/>
      <c r="Q172" s="27"/>
      <c r="R172" s="308"/>
      <c r="S172" s="307"/>
      <c r="T172" s="27"/>
    </row>
    <row r="173" spans="1:20" x14ac:dyDescent="0.25">
      <c r="A173" s="641"/>
      <c r="B173" s="595"/>
      <c r="C173" s="628"/>
      <c r="D173" s="604"/>
      <c r="E173" s="30" t="s">
        <v>44</v>
      </c>
      <c r="F173" s="30"/>
      <c r="G173" s="326">
        <v>5.0000000000000001E-4</v>
      </c>
      <c r="H173" s="335">
        <v>4</v>
      </c>
      <c r="I173" s="333">
        <v>0.19305</v>
      </c>
      <c r="J173" s="27"/>
      <c r="K173" s="27"/>
      <c r="L173" s="27"/>
      <c r="M173" s="387">
        <v>6</v>
      </c>
      <c r="N173" s="385">
        <v>454.87</v>
      </c>
      <c r="O173" s="328">
        <f t="shared" ref="O173:O191" si="17">I173*N173</f>
        <v>87.812653499999996</v>
      </c>
      <c r="P173" s="330"/>
      <c r="Q173" s="27"/>
      <c r="R173" s="308"/>
      <c r="S173" s="307"/>
      <c r="T173" s="27"/>
    </row>
    <row r="174" spans="1:20" x14ac:dyDescent="0.25">
      <c r="A174" s="641"/>
      <c r="B174" s="595"/>
      <c r="C174" s="627" t="s">
        <v>334</v>
      </c>
      <c r="D174" s="603">
        <v>2</v>
      </c>
      <c r="E174" s="30" t="s">
        <v>43</v>
      </c>
      <c r="F174" s="30"/>
      <c r="G174" s="332">
        <v>1E-3</v>
      </c>
      <c r="H174" s="332">
        <v>2</v>
      </c>
      <c r="I174" s="337">
        <v>3.0888</v>
      </c>
      <c r="J174" s="27"/>
      <c r="K174" s="27"/>
      <c r="L174" s="27"/>
      <c r="M174" s="387">
        <v>6</v>
      </c>
      <c r="N174" s="385">
        <v>454.87</v>
      </c>
      <c r="O174" s="328">
        <f t="shared" si="17"/>
        <v>1405.0024559999999</v>
      </c>
      <c r="P174" s="330"/>
      <c r="Q174" s="27"/>
      <c r="R174" s="308"/>
      <c r="S174" s="307"/>
      <c r="T174" s="27"/>
    </row>
    <row r="175" spans="1:20" x14ac:dyDescent="0.25">
      <c r="A175" s="641"/>
      <c r="B175" s="595"/>
      <c r="C175" s="628"/>
      <c r="D175" s="604"/>
      <c r="E175" s="30" t="s">
        <v>44</v>
      </c>
      <c r="F175" s="30"/>
      <c r="G175" s="332">
        <v>1E-4</v>
      </c>
      <c r="H175" s="332">
        <v>4</v>
      </c>
      <c r="I175" s="338">
        <v>0.30887999999999999</v>
      </c>
      <c r="J175" s="27"/>
      <c r="K175" s="27"/>
      <c r="L175" s="27"/>
      <c r="M175" s="387">
        <v>6</v>
      </c>
      <c r="N175" s="385">
        <v>454.87</v>
      </c>
      <c r="O175" s="328">
        <f t="shared" si="17"/>
        <v>140.5002456</v>
      </c>
      <c r="P175" s="330"/>
      <c r="Q175" s="27"/>
      <c r="R175" s="308"/>
      <c r="S175" s="307"/>
      <c r="T175" s="27"/>
    </row>
    <row r="176" spans="1:20" x14ac:dyDescent="0.25">
      <c r="A176" s="641"/>
      <c r="B176" s="595"/>
      <c r="C176" s="627" t="s">
        <v>335</v>
      </c>
      <c r="D176" s="603">
        <v>2</v>
      </c>
      <c r="E176" s="30" t="s">
        <v>43</v>
      </c>
      <c r="F176" s="30"/>
      <c r="G176" s="332">
        <v>1E-3</v>
      </c>
      <c r="H176" s="332">
        <v>2</v>
      </c>
      <c r="I176" s="337">
        <v>0.7722</v>
      </c>
      <c r="J176" s="27"/>
      <c r="K176" s="27"/>
      <c r="L176" s="27"/>
      <c r="M176" s="387">
        <v>6</v>
      </c>
      <c r="N176" s="385">
        <v>454.87</v>
      </c>
      <c r="O176" s="328">
        <f t="shared" si="17"/>
        <v>351.25061399999998</v>
      </c>
      <c r="P176" s="330"/>
      <c r="Q176" s="27"/>
      <c r="R176" s="308"/>
      <c r="S176" s="307"/>
      <c r="T176" s="27"/>
    </row>
    <row r="177" spans="1:20" x14ac:dyDescent="0.25">
      <c r="A177" s="641"/>
      <c r="B177" s="595"/>
      <c r="C177" s="628"/>
      <c r="D177" s="604"/>
      <c r="E177" s="30" t="s">
        <v>44</v>
      </c>
      <c r="F177" s="30"/>
      <c r="G177" s="332">
        <v>1E-4</v>
      </c>
      <c r="H177" s="332">
        <v>4</v>
      </c>
      <c r="I177" s="338">
        <v>7.7219999999999997E-2</v>
      </c>
      <c r="J177" s="27"/>
      <c r="K177" s="27"/>
      <c r="L177" s="27"/>
      <c r="M177" s="387">
        <v>6</v>
      </c>
      <c r="N177" s="385">
        <v>454.87</v>
      </c>
      <c r="O177" s="328">
        <f t="shared" si="17"/>
        <v>35.1250614</v>
      </c>
      <c r="P177" s="330"/>
      <c r="Q177" s="27"/>
      <c r="R177" s="308"/>
      <c r="S177" s="307"/>
      <c r="T177" s="27"/>
    </row>
    <row r="178" spans="1:20" x14ac:dyDescent="0.25">
      <c r="A178" s="641"/>
      <c r="B178" s="595"/>
      <c r="C178" s="627" t="s">
        <v>336</v>
      </c>
      <c r="D178" s="603">
        <v>2</v>
      </c>
      <c r="E178" s="30" t="s">
        <v>43</v>
      </c>
      <c r="F178" s="30"/>
      <c r="G178" s="326">
        <v>5.0000000000000001E-3</v>
      </c>
      <c r="H178" s="335">
        <v>2</v>
      </c>
      <c r="I178" s="339">
        <v>3.8610000000000002</v>
      </c>
      <c r="J178" s="27"/>
      <c r="K178" s="27"/>
      <c r="L178" s="27"/>
      <c r="M178" s="387">
        <v>6</v>
      </c>
      <c r="N178" s="385">
        <v>454.87</v>
      </c>
      <c r="O178" s="328">
        <f t="shared" si="17"/>
        <v>1756.2530700000002</v>
      </c>
      <c r="P178" s="330"/>
      <c r="Q178" s="27"/>
      <c r="R178" s="308"/>
      <c r="S178" s="307"/>
      <c r="T178" s="27"/>
    </row>
    <row r="179" spans="1:20" x14ac:dyDescent="0.25">
      <c r="A179" s="641"/>
      <c r="B179" s="595"/>
      <c r="C179" s="628"/>
      <c r="D179" s="604"/>
      <c r="E179" s="30" t="s">
        <v>44</v>
      </c>
      <c r="F179" s="30"/>
      <c r="G179" s="326">
        <v>5.0000000000000001E-4</v>
      </c>
      <c r="H179" s="335">
        <v>4</v>
      </c>
      <c r="I179" s="337">
        <v>0.3861</v>
      </c>
      <c r="J179" s="27"/>
      <c r="K179" s="27"/>
      <c r="L179" s="27"/>
      <c r="M179" s="387">
        <v>6</v>
      </c>
      <c r="N179" s="385">
        <v>454.87</v>
      </c>
      <c r="O179" s="328">
        <f t="shared" si="17"/>
        <v>175.62530699999999</v>
      </c>
      <c r="P179" s="330"/>
      <c r="Q179" s="27"/>
      <c r="R179" s="308"/>
      <c r="S179" s="307"/>
      <c r="T179" s="27"/>
    </row>
    <row r="180" spans="1:20" x14ac:dyDescent="0.25">
      <c r="A180" s="641"/>
      <c r="B180" s="595"/>
      <c r="C180" s="627" t="s">
        <v>337</v>
      </c>
      <c r="D180" s="603">
        <v>2</v>
      </c>
      <c r="E180" s="30" t="s">
        <v>43</v>
      </c>
      <c r="F180" s="30"/>
      <c r="G180" s="332">
        <v>1E-3</v>
      </c>
      <c r="H180" s="332">
        <v>2</v>
      </c>
      <c r="I180" s="337">
        <v>3.0888</v>
      </c>
      <c r="J180" s="27"/>
      <c r="K180" s="27"/>
      <c r="L180" s="27"/>
      <c r="M180" s="387">
        <v>6</v>
      </c>
      <c r="N180" s="385">
        <v>454.87</v>
      </c>
      <c r="O180" s="328">
        <f t="shared" si="17"/>
        <v>1405.0024559999999</v>
      </c>
      <c r="P180" s="330"/>
      <c r="Q180" s="27"/>
      <c r="R180" s="308"/>
      <c r="S180" s="307"/>
      <c r="T180" s="27"/>
    </row>
    <row r="181" spans="1:20" x14ac:dyDescent="0.25">
      <c r="A181" s="641"/>
      <c r="B181" s="595"/>
      <c r="C181" s="628"/>
      <c r="D181" s="604"/>
      <c r="E181" s="30" t="s">
        <v>44</v>
      </c>
      <c r="F181" s="30"/>
      <c r="G181" s="332">
        <v>1E-4</v>
      </c>
      <c r="H181" s="332">
        <v>4</v>
      </c>
      <c r="I181" s="338">
        <v>0.30887999999999999</v>
      </c>
      <c r="J181" s="27"/>
      <c r="K181" s="27"/>
      <c r="L181" s="27"/>
      <c r="M181" s="387">
        <v>6</v>
      </c>
      <c r="N181" s="385">
        <v>454.87</v>
      </c>
      <c r="O181" s="328">
        <f t="shared" si="17"/>
        <v>140.5002456</v>
      </c>
      <c r="P181" s="330"/>
      <c r="Q181" s="27"/>
      <c r="R181" s="308"/>
      <c r="S181" s="307"/>
      <c r="T181" s="27"/>
    </row>
    <row r="182" spans="1:20" ht="47.25" x14ac:dyDescent="0.25">
      <c r="A182" s="642"/>
      <c r="B182" s="596"/>
      <c r="C182" s="208" t="s">
        <v>338</v>
      </c>
      <c r="D182" s="240">
        <v>1</v>
      </c>
      <c r="E182" s="30" t="s">
        <v>44</v>
      </c>
      <c r="F182" s="30"/>
      <c r="G182" s="326">
        <v>5.0000000000000001E-4</v>
      </c>
      <c r="H182" s="335">
        <v>4</v>
      </c>
      <c r="I182" s="333">
        <v>0.19305</v>
      </c>
      <c r="J182" s="27"/>
      <c r="K182" s="27"/>
      <c r="L182" s="27"/>
      <c r="M182" s="387">
        <v>6</v>
      </c>
      <c r="N182" s="385">
        <v>454.87</v>
      </c>
      <c r="O182" s="328">
        <f t="shared" si="17"/>
        <v>87.812653499999996</v>
      </c>
      <c r="P182" s="330"/>
      <c r="Q182" s="27"/>
      <c r="R182" s="308"/>
      <c r="S182" s="307"/>
      <c r="T182" s="27"/>
    </row>
    <row r="183" spans="1:20" ht="31.5" x14ac:dyDescent="0.25">
      <c r="A183" s="591">
        <v>2</v>
      </c>
      <c r="B183" s="212"/>
      <c r="C183" s="627" t="s">
        <v>289</v>
      </c>
      <c r="D183" s="603">
        <v>1</v>
      </c>
      <c r="E183" s="30" t="s">
        <v>290</v>
      </c>
      <c r="F183" s="221"/>
      <c r="G183" s="221">
        <v>0.18</v>
      </c>
      <c r="H183" s="221">
        <v>8</v>
      </c>
      <c r="I183" s="221">
        <v>1.44</v>
      </c>
      <c r="J183" s="221"/>
      <c r="K183" s="221"/>
      <c r="L183" s="221"/>
      <c r="M183" s="385">
        <v>6</v>
      </c>
      <c r="N183" s="385">
        <v>454.87</v>
      </c>
      <c r="O183" s="328">
        <f t="shared" si="17"/>
        <v>655.01279999999997</v>
      </c>
      <c r="P183" s="329" t="s">
        <v>291</v>
      </c>
      <c r="Q183" s="307">
        <v>5.0000000000000001E-3</v>
      </c>
      <c r="R183" s="308">
        <v>34</v>
      </c>
      <c r="S183" s="307">
        <f t="shared" si="14"/>
        <v>0.17</v>
      </c>
      <c r="T183" s="27"/>
    </row>
    <row r="184" spans="1:20" ht="31.5" x14ac:dyDescent="0.25">
      <c r="A184" s="592"/>
      <c r="B184" s="213"/>
      <c r="C184" s="632"/>
      <c r="D184" s="617"/>
      <c r="E184" s="30" t="s">
        <v>292</v>
      </c>
      <c r="F184" s="221"/>
      <c r="G184" s="221">
        <v>0.73</v>
      </c>
      <c r="H184" s="221">
        <v>3</v>
      </c>
      <c r="I184" s="221">
        <v>2.19</v>
      </c>
      <c r="J184" s="221"/>
      <c r="K184" s="221"/>
      <c r="L184" s="221"/>
      <c r="M184" s="385">
        <v>6</v>
      </c>
      <c r="N184" s="385">
        <v>454.87</v>
      </c>
      <c r="O184" s="328">
        <f t="shared" si="17"/>
        <v>996.1653</v>
      </c>
      <c r="P184" s="329" t="s">
        <v>293</v>
      </c>
      <c r="Q184" s="307">
        <v>4.0000000000000001E-3</v>
      </c>
      <c r="R184" s="308">
        <v>11200</v>
      </c>
      <c r="S184" s="307">
        <f t="shared" si="14"/>
        <v>44.800000000000004</v>
      </c>
      <c r="T184" s="27"/>
    </row>
    <row r="185" spans="1:20" ht="31.5" x14ac:dyDescent="0.25">
      <c r="A185" s="592"/>
      <c r="B185" s="213"/>
      <c r="C185" s="628"/>
      <c r="D185" s="604"/>
      <c r="E185" s="30" t="s">
        <v>294</v>
      </c>
      <c r="F185" s="215"/>
      <c r="G185" s="215">
        <v>5.75</v>
      </c>
      <c r="H185" s="215">
        <v>1</v>
      </c>
      <c r="I185" s="32">
        <v>5.75</v>
      </c>
      <c r="J185" s="215"/>
      <c r="K185" s="215"/>
      <c r="L185" s="215"/>
      <c r="M185" s="386">
        <v>6</v>
      </c>
      <c r="N185" s="385">
        <v>454.87</v>
      </c>
      <c r="O185" s="328">
        <f t="shared" si="17"/>
        <v>2615.5025000000001</v>
      </c>
      <c r="P185" s="329" t="s">
        <v>295</v>
      </c>
      <c r="Q185" s="307">
        <v>3.0000000000000001E-3</v>
      </c>
      <c r="R185" s="308">
        <v>2350</v>
      </c>
      <c r="S185" s="307">
        <f t="shared" si="14"/>
        <v>7.05</v>
      </c>
      <c r="T185" s="27"/>
    </row>
    <row r="186" spans="1:20" ht="31.5" x14ac:dyDescent="0.25">
      <c r="A186" s="592"/>
      <c r="B186" s="213"/>
      <c r="C186" s="627" t="s">
        <v>339</v>
      </c>
      <c r="D186" s="603">
        <v>1</v>
      </c>
      <c r="E186" s="611" t="s">
        <v>290</v>
      </c>
      <c r="F186" s="634"/>
      <c r="G186" s="611">
        <v>1.03</v>
      </c>
      <c r="H186" s="611">
        <v>8</v>
      </c>
      <c r="I186" s="618">
        <f>H186*G186</f>
        <v>8.24</v>
      </c>
      <c r="J186" s="621"/>
      <c r="K186" s="624"/>
      <c r="L186" s="624"/>
      <c r="M186" s="611">
        <v>4</v>
      </c>
      <c r="N186" s="633">
        <v>454.87</v>
      </c>
      <c r="O186" s="643">
        <f t="shared" si="17"/>
        <v>3748.1288</v>
      </c>
      <c r="P186" s="329" t="s">
        <v>297</v>
      </c>
      <c r="Q186" s="307">
        <v>0.04</v>
      </c>
      <c r="R186" s="308">
        <v>875.26</v>
      </c>
      <c r="S186" s="307">
        <f t="shared" si="14"/>
        <v>35.010399999999997</v>
      </c>
      <c r="T186" s="27"/>
    </row>
    <row r="187" spans="1:20" x14ac:dyDescent="0.25">
      <c r="A187" s="592"/>
      <c r="B187" s="213"/>
      <c r="C187" s="632"/>
      <c r="D187" s="617"/>
      <c r="E187" s="612"/>
      <c r="F187" s="625"/>
      <c r="G187" s="612"/>
      <c r="H187" s="612"/>
      <c r="I187" s="619"/>
      <c r="J187" s="622"/>
      <c r="K187" s="625"/>
      <c r="L187" s="625"/>
      <c r="M187" s="612"/>
      <c r="N187" s="606"/>
      <c r="O187" s="644"/>
      <c r="P187" s="329" t="s">
        <v>298</v>
      </c>
      <c r="Q187" s="307">
        <v>0.05</v>
      </c>
      <c r="R187" s="308">
        <v>179.8</v>
      </c>
      <c r="S187" s="307">
        <f t="shared" si="14"/>
        <v>8.99</v>
      </c>
      <c r="T187" s="27"/>
    </row>
    <row r="188" spans="1:20" ht="31.5" x14ac:dyDescent="0.25">
      <c r="A188" s="592"/>
      <c r="B188" s="213"/>
      <c r="C188" s="632"/>
      <c r="D188" s="617"/>
      <c r="E188" s="612"/>
      <c r="F188" s="625"/>
      <c r="G188" s="612"/>
      <c r="H188" s="612"/>
      <c r="I188" s="619"/>
      <c r="J188" s="622"/>
      <c r="K188" s="625"/>
      <c r="L188" s="625"/>
      <c r="M188" s="612"/>
      <c r="N188" s="606"/>
      <c r="O188" s="644"/>
      <c r="P188" s="329" t="s">
        <v>291</v>
      </c>
      <c r="Q188" s="307">
        <v>0.1</v>
      </c>
      <c r="R188" s="308">
        <v>34</v>
      </c>
      <c r="S188" s="307">
        <f t="shared" si="14"/>
        <v>3.4000000000000004</v>
      </c>
      <c r="T188" s="27"/>
    </row>
    <row r="189" spans="1:20" x14ac:dyDescent="0.25">
      <c r="A189" s="592"/>
      <c r="B189" s="213"/>
      <c r="C189" s="632"/>
      <c r="D189" s="617"/>
      <c r="E189" s="612"/>
      <c r="F189" s="625"/>
      <c r="G189" s="612"/>
      <c r="H189" s="612"/>
      <c r="I189" s="619"/>
      <c r="J189" s="622"/>
      <c r="K189" s="625"/>
      <c r="L189" s="625"/>
      <c r="M189" s="612"/>
      <c r="N189" s="606"/>
      <c r="O189" s="644"/>
      <c r="P189" s="329" t="s">
        <v>299</v>
      </c>
      <c r="Q189" s="307">
        <v>2</v>
      </c>
      <c r="R189" s="308">
        <v>4.0999999999999996</v>
      </c>
      <c r="S189" s="307">
        <f t="shared" si="14"/>
        <v>8.1999999999999993</v>
      </c>
      <c r="T189" s="27"/>
    </row>
    <row r="190" spans="1:20" x14ac:dyDescent="0.25">
      <c r="A190" s="592"/>
      <c r="B190" s="213"/>
      <c r="C190" s="632"/>
      <c r="D190" s="617"/>
      <c r="E190" s="490"/>
      <c r="F190" s="626"/>
      <c r="G190" s="490"/>
      <c r="H190" s="490"/>
      <c r="I190" s="620"/>
      <c r="J190" s="623"/>
      <c r="K190" s="626"/>
      <c r="L190" s="626"/>
      <c r="M190" s="490"/>
      <c r="N190" s="607"/>
      <c r="O190" s="645"/>
      <c r="P190" s="329" t="s">
        <v>300</v>
      </c>
      <c r="Q190" s="307">
        <v>0.25</v>
      </c>
      <c r="R190" s="308">
        <v>272</v>
      </c>
      <c r="S190" s="307">
        <f t="shared" si="14"/>
        <v>68</v>
      </c>
      <c r="T190" s="27"/>
    </row>
    <row r="191" spans="1:20" x14ac:dyDescent="0.25">
      <c r="A191" s="592"/>
      <c r="B191" s="213"/>
      <c r="C191" s="632"/>
      <c r="D191" s="617"/>
      <c r="E191" s="611" t="s">
        <v>292</v>
      </c>
      <c r="F191" s="634"/>
      <c r="G191" s="608">
        <v>2.46</v>
      </c>
      <c r="H191" s="608">
        <v>3</v>
      </c>
      <c r="I191" s="613">
        <f t="shared" ref="I191" si="18">H191*G191</f>
        <v>7.38</v>
      </c>
      <c r="J191" s="608"/>
      <c r="K191" s="608"/>
      <c r="L191" s="608"/>
      <c r="M191" s="611">
        <v>4</v>
      </c>
      <c r="N191" s="633">
        <v>454.87</v>
      </c>
      <c r="O191" s="643">
        <f t="shared" si="17"/>
        <v>3356.9405999999999</v>
      </c>
      <c r="P191" s="329" t="s">
        <v>298</v>
      </c>
      <c r="Q191" s="307">
        <v>0.2</v>
      </c>
      <c r="R191" s="308">
        <v>179.8</v>
      </c>
      <c r="S191" s="307">
        <f t="shared" si="14"/>
        <v>35.96</v>
      </c>
      <c r="T191" s="27"/>
    </row>
    <row r="192" spans="1:20" ht="31.5" x14ac:dyDescent="0.25">
      <c r="A192" s="592"/>
      <c r="B192" s="213"/>
      <c r="C192" s="632"/>
      <c r="D192" s="617"/>
      <c r="E192" s="612"/>
      <c r="F192" s="625"/>
      <c r="G192" s="609"/>
      <c r="H192" s="609"/>
      <c r="I192" s="614"/>
      <c r="J192" s="609"/>
      <c r="K192" s="609"/>
      <c r="L192" s="609"/>
      <c r="M192" s="612"/>
      <c r="N192" s="606"/>
      <c r="O192" s="644"/>
      <c r="P192" s="329" t="s">
        <v>297</v>
      </c>
      <c r="Q192" s="307">
        <v>0.01</v>
      </c>
      <c r="R192" s="308">
        <v>875.26</v>
      </c>
      <c r="S192" s="307">
        <f t="shared" si="14"/>
        <v>8.7525999999999993</v>
      </c>
      <c r="T192" s="27"/>
    </row>
    <row r="193" spans="1:20" ht="31.5" x14ac:dyDescent="0.25">
      <c r="A193" s="592"/>
      <c r="B193" s="213"/>
      <c r="C193" s="632"/>
      <c r="D193" s="617"/>
      <c r="E193" s="612"/>
      <c r="F193" s="625"/>
      <c r="G193" s="609"/>
      <c r="H193" s="609"/>
      <c r="I193" s="614"/>
      <c r="J193" s="609"/>
      <c r="K193" s="609"/>
      <c r="L193" s="609"/>
      <c r="M193" s="612"/>
      <c r="N193" s="606"/>
      <c r="O193" s="644"/>
      <c r="P193" s="329" t="s">
        <v>293</v>
      </c>
      <c r="Q193" s="307">
        <v>6.0000000000000001E-3</v>
      </c>
      <c r="R193" s="308">
        <v>11200</v>
      </c>
      <c r="S193" s="307">
        <f t="shared" si="14"/>
        <v>67.2</v>
      </c>
      <c r="T193" s="27"/>
    </row>
    <row r="194" spans="1:20" ht="31.5" x14ac:dyDescent="0.25">
      <c r="A194" s="592"/>
      <c r="B194" s="213"/>
      <c r="C194" s="632"/>
      <c r="D194" s="617"/>
      <c r="E194" s="612"/>
      <c r="F194" s="625"/>
      <c r="G194" s="609"/>
      <c r="H194" s="609"/>
      <c r="I194" s="614"/>
      <c r="J194" s="609"/>
      <c r="K194" s="609"/>
      <c r="L194" s="609"/>
      <c r="M194" s="612"/>
      <c r="N194" s="606"/>
      <c r="O194" s="644"/>
      <c r="P194" s="329" t="s">
        <v>295</v>
      </c>
      <c r="Q194" s="307">
        <v>4.0000000000000001E-3</v>
      </c>
      <c r="R194" s="308">
        <v>2350</v>
      </c>
      <c r="S194" s="307">
        <f t="shared" si="14"/>
        <v>9.4</v>
      </c>
      <c r="T194" s="27"/>
    </row>
    <row r="195" spans="1:20" ht="31.5" x14ac:dyDescent="0.25">
      <c r="A195" s="592"/>
      <c r="B195" s="213"/>
      <c r="C195" s="632"/>
      <c r="D195" s="617"/>
      <c r="E195" s="612"/>
      <c r="F195" s="625"/>
      <c r="G195" s="609"/>
      <c r="H195" s="609"/>
      <c r="I195" s="614"/>
      <c r="J195" s="609"/>
      <c r="K195" s="609"/>
      <c r="L195" s="609"/>
      <c r="M195" s="612"/>
      <c r="N195" s="606"/>
      <c r="O195" s="644"/>
      <c r="P195" s="329" t="s">
        <v>301</v>
      </c>
      <c r="Q195" s="307">
        <v>0.05</v>
      </c>
      <c r="R195" s="308">
        <v>1148</v>
      </c>
      <c r="S195" s="307">
        <f t="shared" si="14"/>
        <v>57.400000000000006</v>
      </c>
      <c r="T195" s="27"/>
    </row>
    <row r="196" spans="1:20" ht="31.5" x14ac:dyDescent="0.25">
      <c r="A196" s="592"/>
      <c r="B196" s="213"/>
      <c r="C196" s="632"/>
      <c r="D196" s="617"/>
      <c r="E196" s="612"/>
      <c r="F196" s="625"/>
      <c r="G196" s="609"/>
      <c r="H196" s="609"/>
      <c r="I196" s="614"/>
      <c r="J196" s="609"/>
      <c r="K196" s="609"/>
      <c r="L196" s="609"/>
      <c r="M196" s="612"/>
      <c r="N196" s="606"/>
      <c r="O196" s="644"/>
      <c r="P196" s="329" t="s">
        <v>291</v>
      </c>
      <c r="Q196" s="307">
        <v>0.02</v>
      </c>
      <c r="R196" s="308">
        <v>34</v>
      </c>
      <c r="S196" s="307">
        <f t="shared" si="14"/>
        <v>0.68</v>
      </c>
      <c r="T196" s="27"/>
    </row>
    <row r="197" spans="1:20" x14ac:dyDescent="0.25">
      <c r="A197" s="592"/>
      <c r="B197" s="213"/>
      <c r="C197" s="632"/>
      <c r="D197" s="617"/>
      <c r="E197" s="612"/>
      <c r="F197" s="625"/>
      <c r="G197" s="609"/>
      <c r="H197" s="609"/>
      <c r="I197" s="614"/>
      <c r="J197" s="609"/>
      <c r="K197" s="609"/>
      <c r="L197" s="609"/>
      <c r="M197" s="612"/>
      <c r="N197" s="606"/>
      <c r="O197" s="644"/>
      <c r="P197" s="329" t="s">
        <v>300</v>
      </c>
      <c r="Q197" s="307">
        <v>0.25</v>
      </c>
      <c r="R197" s="308">
        <v>272</v>
      </c>
      <c r="S197" s="307">
        <f t="shared" si="14"/>
        <v>68</v>
      </c>
      <c r="T197" s="27"/>
    </row>
    <row r="198" spans="1:20" x14ac:dyDescent="0.25">
      <c r="A198" s="592"/>
      <c r="B198" s="213"/>
      <c r="C198" s="632"/>
      <c r="D198" s="617"/>
      <c r="E198" s="612"/>
      <c r="F198" s="625"/>
      <c r="G198" s="609"/>
      <c r="H198" s="609"/>
      <c r="I198" s="614"/>
      <c r="J198" s="609"/>
      <c r="K198" s="609"/>
      <c r="L198" s="609"/>
      <c r="M198" s="612"/>
      <c r="N198" s="606"/>
      <c r="O198" s="644"/>
      <c r="P198" s="329" t="s">
        <v>302</v>
      </c>
      <c r="Q198" s="307">
        <v>0.08</v>
      </c>
      <c r="R198" s="308">
        <v>950</v>
      </c>
      <c r="S198" s="307">
        <f t="shared" si="14"/>
        <v>76</v>
      </c>
      <c r="T198" s="27"/>
    </row>
    <row r="199" spans="1:20" ht="31.5" x14ac:dyDescent="0.25">
      <c r="A199" s="592"/>
      <c r="B199" s="213"/>
      <c r="C199" s="632"/>
      <c r="D199" s="617"/>
      <c r="E199" s="490"/>
      <c r="F199" s="626"/>
      <c r="G199" s="610"/>
      <c r="H199" s="610"/>
      <c r="I199" s="615"/>
      <c r="J199" s="610"/>
      <c r="K199" s="610"/>
      <c r="L199" s="610"/>
      <c r="M199" s="490"/>
      <c r="N199" s="607"/>
      <c r="O199" s="645"/>
      <c r="P199" s="329" t="s">
        <v>303</v>
      </c>
      <c r="Q199" s="307">
        <v>1</v>
      </c>
      <c r="R199" s="308">
        <v>6790</v>
      </c>
      <c r="S199" s="307">
        <f t="shared" ref="S199:S262" si="19">(Q199*R199)</f>
        <v>6790</v>
      </c>
      <c r="T199" s="27"/>
    </row>
    <row r="200" spans="1:20" ht="31.5" x14ac:dyDescent="0.25">
      <c r="A200" s="592"/>
      <c r="B200" s="213"/>
      <c r="C200" s="632"/>
      <c r="D200" s="617"/>
      <c r="E200" s="611" t="s">
        <v>294</v>
      </c>
      <c r="F200" s="634"/>
      <c r="G200" s="608">
        <v>8.51</v>
      </c>
      <c r="H200" s="608">
        <v>1</v>
      </c>
      <c r="I200" s="613">
        <f t="shared" ref="I200" si="20">H200*G200</f>
        <v>8.51</v>
      </c>
      <c r="J200" s="608"/>
      <c r="K200" s="608"/>
      <c r="L200" s="608"/>
      <c r="M200" s="611">
        <v>4</v>
      </c>
      <c r="N200" s="633">
        <v>454.87</v>
      </c>
      <c r="O200" s="643">
        <f t="shared" ref="O200:O262" si="21">I200*N200</f>
        <v>3870.9436999999998</v>
      </c>
      <c r="P200" s="329" t="s">
        <v>293</v>
      </c>
      <c r="Q200" s="307">
        <v>6.0000000000000001E-3</v>
      </c>
      <c r="R200" s="308">
        <v>11200</v>
      </c>
      <c r="S200" s="307">
        <f t="shared" si="19"/>
        <v>67.2</v>
      </c>
      <c r="T200" s="27"/>
    </row>
    <row r="201" spans="1:20" ht="31.5" x14ac:dyDescent="0.25">
      <c r="A201" s="592"/>
      <c r="B201" s="213"/>
      <c r="C201" s="632"/>
      <c r="D201" s="617"/>
      <c r="E201" s="612"/>
      <c r="F201" s="625"/>
      <c r="G201" s="609"/>
      <c r="H201" s="609"/>
      <c r="I201" s="614"/>
      <c r="J201" s="609"/>
      <c r="K201" s="609"/>
      <c r="L201" s="609"/>
      <c r="M201" s="612"/>
      <c r="N201" s="606"/>
      <c r="O201" s="644"/>
      <c r="P201" s="329" t="s">
        <v>295</v>
      </c>
      <c r="Q201" s="307">
        <v>4.0000000000000001E-3</v>
      </c>
      <c r="R201" s="308">
        <v>2350</v>
      </c>
      <c r="S201" s="307">
        <f t="shared" si="19"/>
        <v>9.4</v>
      </c>
      <c r="T201" s="27"/>
    </row>
    <row r="202" spans="1:20" ht="31.5" x14ac:dyDescent="0.25">
      <c r="A202" s="592"/>
      <c r="B202" s="213"/>
      <c r="C202" s="632"/>
      <c r="D202" s="617"/>
      <c r="E202" s="612"/>
      <c r="F202" s="625"/>
      <c r="G202" s="609"/>
      <c r="H202" s="609"/>
      <c r="I202" s="614"/>
      <c r="J202" s="609"/>
      <c r="K202" s="609"/>
      <c r="L202" s="609"/>
      <c r="M202" s="612"/>
      <c r="N202" s="606"/>
      <c r="O202" s="644"/>
      <c r="P202" s="329" t="s">
        <v>291</v>
      </c>
      <c r="Q202" s="307">
        <v>0.02</v>
      </c>
      <c r="R202" s="308">
        <v>34</v>
      </c>
      <c r="S202" s="307">
        <f t="shared" si="19"/>
        <v>0.68</v>
      </c>
      <c r="T202" s="27"/>
    </row>
    <row r="203" spans="1:20" ht="31.5" x14ac:dyDescent="0.25">
      <c r="A203" s="592"/>
      <c r="B203" s="213"/>
      <c r="C203" s="632"/>
      <c r="D203" s="617"/>
      <c r="E203" s="612"/>
      <c r="F203" s="625"/>
      <c r="G203" s="609"/>
      <c r="H203" s="609"/>
      <c r="I203" s="614"/>
      <c r="J203" s="609"/>
      <c r="K203" s="609"/>
      <c r="L203" s="609"/>
      <c r="M203" s="612"/>
      <c r="N203" s="606"/>
      <c r="O203" s="644"/>
      <c r="P203" s="329" t="s">
        <v>301</v>
      </c>
      <c r="Q203" s="307">
        <v>0.05</v>
      </c>
      <c r="R203" s="308">
        <v>1148</v>
      </c>
      <c r="S203" s="307">
        <f t="shared" si="19"/>
        <v>57.400000000000006</v>
      </c>
      <c r="T203" s="27"/>
    </row>
    <row r="204" spans="1:20" x14ac:dyDescent="0.25">
      <c r="A204" s="592"/>
      <c r="B204" s="213"/>
      <c r="C204" s="632"/>
      <c r="D204" s="617"/>
      <c r="E204" s="612"/>
      <c r="F204" s="625"/>
      <c r="G204" s="609"/>
      <c r="H204" s="609"/>
      <c r="I204" s="614"/>
      <c r="J204" s="609"/>
      <c r="K204" s="609"/>
      <c r="L204" s="609"/>
      <c r="M204" s="612"/>
      <c r="N204" s="606"/>
      <c r="O204" s="644"/>
      <c r="P204" s="329" t="s">
        <v>300</v>
      </c>
      <c r="Q204" s="307">
        <v>0.25</v>
      </c>
      <c r="R204" s="308">
        <v>272</v>
      </c>
      <c r="S204" s="307">
        <f t="shared" si="19"/>
        <v>68</v>
      </c>
      <c r="T204" s="27"/>
    </row>
    <row r="205" spans="1:20" x14ac:dyDescent="0.25">
      <c r="A205" s="592"/>
      <c r="B205" s="213"/>
      <c r="C205" s="632"/>
      <c r="D205" s="617"/>
      <c r="E205" s="612"/>
      <c r="F205" s="625"/>
      <c r="G205" s="609"/>
      <c r="H205" s="609"/>
      <c r="I205" s="614"/>
      <c r="J205" s="609"/>
      <c r="K205" s="609"/>
      <c r="L205" s="609"/>
      <c r="M205" s="612"/>
      <c r="N205" s="606"/>
      <c r="O205" s="644"/>
      <c r="P205" s="329" t="s">
        <v>302</v>
      </c>
      <c r="Q205" s="307">
        <v>0.08</v>
      </c>
      <c r="R205" s="308">
        <v>950</v>
      </c>
      <c r="S205" s="307">
        <f t="shared" si="19"/>
        <v>76</v>
      </c>
      <c r="T205" s="27"/>
    </row>
    <row r="206" spans="1:20" ht="31.5" x14ac:dyDescent="0.25">
      <c r="A206" s="592"/>
      <c r="B206" s="213"/>
      <c r="C206" s="632"/>
      <c r="D206" s="617"/>
      <c r="E206" s="612"/>
      <c r="F206" s="625"/>
      <c r="G206" s="609"/>
      <c r="H206" s="609"/>
      <c r="I206" s="614"/>
      <c r="J206" s="609"/>
      <c r="K206" s="609"/>
      <c r="L206" s="609"/>
      <c r="M206" s="612"/>
      <c r="N206" s="606"/>
      <c r="O206" s="644"/>
      <c r="P206" s="329" t="s">
        <v>303</v>
      </c>
      <c r="Q206" s="307">
        <v>1</v>
      </c>
      <c r="R206" s="308">
        <v>6790</v>
      </c>
      <c r="S206" s="307">
        <f t="shared" si="19"/>
        <v>6790</v>
      </c>
      <c r="T206" s="27"/>
    </row>
    <row r="207" spans="1:20" ht="31.5" x14ac:dyDescent="0.25">
      <c r="A207" s="592"/>
      <c r="B207" s="213"/>
      <c r="C207" s="632"/>
      <c r="D207" s="617"/>
      <c r="E207" s="612"/>
      <c r="F207" s="625"/>
      <c r="G207" s="609"/>
      <c r="H207" s="609"/>
      <c r="I207" s="614"/>
      <c r="J207" s="609"/>
      <c r="K207" s="609"/>
      <c r="L207" s="609"/>
      <c r="M207" s="612"/>
      <c r="N207" s="606"/>
      <c r="O207" s="644"/>
      <c r="P207" s="329" t="s">
        <v>304</v>
      </c>
      <c r="Q207" s="307">
        <v>3</v>
      </c>
      <c r="R207" s="308">
        <v>256.5</v>
      </c>
      <c r="S207" s="307">
        <f t="shared" si="19"/>
        <v>769.5</v>
      </c>
      <c r="T207" s="27"/>
    </row>
    <row r="208" spans="1:20" ht="31.5" x14ac:dyDescent="0.25">
      <c r="A208" s="592"/>
      <c r="B208" s="213"/>
      <c r="C208" s="632"/>
      <c r="D208" s="617"/>
      <c r="E208" s="612"/>
      <c r="F208" s="625"/>
      <c r="G208" s="609"/>
      <c r="H208" s="609"/>
      <c r="I208" s="614"/>
      <c r="J208" s="609"/>
      <c r="K208" s="609"/>
      <c r="L208" s="609"/>
      <c r="M208" s="612"/>
      <c r="N208" s="606"/>
      <c r="O208" s="644"/>
      <c r="P208" s="329" t="s">
        <v>305</v>
      </c>
      <c r="Q208" s="307">
        <v>0.03</v>
      </c>
      <c r="R208" s="308">
        <v>165</v>
      </c>
      <c r="S208" s="307">
        <f t="shared" si="19"/>
        <v>4.95</v>
      </c>
      <c r="T208" s="27"/>
    </row>
    <row r="209" spans="1:20" ht="47.25" x14ac:dyDescent="0.25">
      <c r="A209" s="592"/>
      <c r="B209" s="213"/>
      <c r="C209" s="632"/>
      <c r="D209" s="617"/>
      <c r="E209" s="612"/>
      <c r="F209" s="625"/>
      <c r="G209" s="609"/>
      <c r="H209" s="609"/>
      <c r="I209" s="614"/>
      <c r="J209" s="609"/>
      <c r="K209" s="609"/>
      <c r="L209" s="609"/>
      <c r="M209" s="612"/>
      <c r="N209" s="606"/>
      <c r="O209" s="644"/>
      <c r="P209" s="329" t="s">
        <v>306</v>
      </c>
      <c r="Q209" s="307">
        <v>0.01</v>
      </c>
      <c r="R209" s="308">
        <v>207</v>
      </c>
      <c r="S209" s="307">
        <f t="shared" si="19"/>
        <v>2.0699999999999998</v>
      </c>
      <c r="T209" s="27"/>
    </row>
    <row r="210" spans="1:20" x14ac:dyDescent="0.25">
      <c r="A210" s="592"/>
      <c r="B210" s="213"/>
      <c r="C210" s="632"/>
      <c r="D210" s="617"/>
      <c r="E210" s="612"/>
      <c r="F210" s="625"/>
      <c r="G210" s="609"/>
      <c r="H210" s="609"/>
      <c r="I210" s="614"/>
      <c r="J210" s="609"/>
      <c r="K210" s="609"/>
      <c r="L210" s="609"/>
      <c r="M210" s="612"/>
      <c r="N210" s="606"/>
      <c r="O210" s="644"/>
      <c r="P210" s="329" t="s">
        <v>307</v>
      </c>
      <c r="Q210" s="307">
        <v>0.2</v>
      </c>
      <c r="R210" s="308">
        <v>133</v>
      </c>
      <c r="S210" s="307">
        <f t="shared" si="19"/>
        <v>26.6</v>
      </c>
      <c r="T210" s="27"/>
    </row>
    <row r="211" spans="1:20" x14ac:dyDescent="0.25">
      <c r="A211" s="592"/>
      <c r="B211" s="213"/>
      <c r="C211" s="632"/>
      <c r="D211" s="617"/>
      <c r="E211" s="612"/>
      <c r="F211" s="625"/>
      <c r="G211" s="609"/>
      <c r="H211" s="609"/>
      <c r="I211" s="614"/>
      <c r="J211" s="609"/>
      <c r="K211" s="609"/>
      <c r="L211" s="609"/>
      <c r="M211" s="612"/>
      <c r="N211" s="606"/>
      <c r="O211" s="644"/>
      <c r="P211" s="329" t="s">
        <v>308</v>
      </c>
      <c r="Q211" s="307">
        <v>0.25</v>
      </c>
      <c r="R211" s="308">
        <v>625</v>
      </c>
      <c r="S211" s="307">
        <f t="shared" si="19"/>
        <v>156.25</v>
      </c>
      <c r="T211" s="27"/>
    </row>
    <row r="212" spans="1:20" x14ac:dyDescent="0.25">
      <c r="A212" s="592"/>
      <c r="B212" s="213"/>
      <c r="C212" s="632"/>
      <c r="D212" s="617"/>
      <c r="E212" s="612"/>
      <c r="F212" s="625"/>
      <c r="G212" s="609"/>
      <c r="H212" s="609"/>
      <c r="I212" s="614"/>
      <c r="J212" s="609"/>
      <c r="K212" s="609"/>
      <c r="L212" s="609"/>
      <c r="M212" s="612"/>
      <c r="N212" s="606"/>
      <c r="O212" s="644"/>
      <c r="P212" s="329" t="s">
        <v>298</v>
      </c>
      <c r="Q212" s="307">
        <v>0.2</v>
      </c>
      <c r="R212" s="308">
        <v>179.8</v>
      </c>
      <c r="S212" s="307">
        <f t="shared" si="19"/>
        <v>35.96</v>
      </c>
      <c r="T212" s="27"/>
    </row>
    <row r="213" spans="1:20" ht="31.5" x14ac:dyDescent="0.25">
      <c r="A213" s="592"/>
      <c r="B213" s="213"/>
      <c r="C213" s="628"/>
      <c r="D213" s="604"/>
      <c r="E213" s="490"/>
      <c r="F213" s="626"/>
      <c r="G213" s="610"/>
      <c r="H213" s="610"/>
      <c r="I213" s="615"/>
      <c r="J213" s="610"/>
      <c r="K213" s="610"/>
      <c r="L213" s="610"/>
      <c r="M213" s="490"/>
      <c r="N213" s="607"/>
      <c r="O213" s="645"/>
      <c r="P213" s="329" t="s">
        <v>297</v>
      </c>
      <c r="Q213" s="307">
        <v>0.01</v>
      </c>
      <c r="R213" s="308">
        <v>875.26</v>
      </c>
      <c r="S213" s="307">
        <f t="shared" si="19"/>
        <v>8.7525999999999993</v>
      </c>
      <c r="T213" s="27"/>
    </row>
    <row r="214" spans="1:20" x14ac:dyDescent="0.25">
      <c r="A214" s="592"/>
      <c r="B214" s="213"/>
      <c r="C214" s="627" t="s">
        <v>340</v>
      </c>
      <c r="D214" s="603">
        <v>1</v>
      </c>
      <c r="E214" s="611" t="s">
        <v>290</v>
      </c>
      <c r="F214" s="634"/>
      <c r="G214" s="608">
        <v>0.32</v>
      </c>
      <c r="H214" s="608">
        <v>8</v>
      </c>
      <c r="I214" s="613">
        <f>H214*G214</f>
        <v>2.56</v>
      </c>
      <c r="J214" s="629"/>
      <c r="K214" s="608"/>
      <c r="L214" s="608"/>
      <c r="M214" s="611">
        <v>5</v>
      </c>
      <c r="N214" s="633">
        <v>454.87</v>
      </c>
      <c r="O214" s="643">
        <f t="shared" si="21"/>
        <v>1164.4672</v>
      </c>
      <c r="P214" s="329" t="s">
        <v>310</v>
      </c>
      <c r="Q214" s="307">
        <v>0.01</v>
      </c>
      <c r="R214" s="308">
        <v>272</v>
      </c>
      <c r="S214" s="307">
        <f t="shared" si="19"/>
        <v>2.72</v>
      </c>
      <c r="T214" s="27"/>
    </row>
    <row r="215" spans="1:20" x14ac:dyDescent="0.25">
      <c r="A215" s="592"/>
      <c r="B215" s="213"/>
      <c r="C215" s="632"/>
      <c r="D215" s="617"/>
      <c r="E215" s="612"/>
      <c r="F215" s="625"/>
      <c r="G215" s="609"/>
      <c r="H215" s="609"/>
      <c r="I215" s="614"/>
      <c r="J215" s="630"/>
      <c r="K215" s="609"/>
      <c r="L215" s="609"/>
      <c r="M215" s="612"/>
      <c r="N215" s="606"/>
      <c r="O215" s="644"/>
      <c r="P215" s="329" t="s">
        <v>298</v>
      </c>
      <c r="Q215" s="307">
        <v>0.03</v>
      </c>
      <c r="R215" s="308">
        <v>179.8</v>
      </c>
      <c r="S215" s="307">
        <f t="shared" si="19"/>
        <v>5.3940000000000001</v>
      </c>
      <c r="T215" s="27"/>
    </row>
    <row r="216" spans="1:20" ht="31.5" x14ac:dyDescent="0.25">
      <c r="A216" s="592"/>
      <c r="B216" s="213"/>
      <c r="C216" s="632"/>
      <c r="D216" s="617"/>
      <c r="E216" s="490"/>
      <c r="F216" s="626"/>
      <c r="G216" s="610"/>
      <c r="H216" s="610"/>
      <c r="I216" s="615"/>
      <c r="J216" s="631"/>
      <c r="K216" s="610"/>
      <c r="L216" s="610"/>
      <c r="M216" s="490"/>
      <c r="N216" s="607"/>
      <c r="O216" s="645"/>
      <c r="P216" s="329" t="s">
        <v>311</v>
      </c>
      <c r="Q216" s="307">
        <v>0.03</v>
      </c>
      <c r="R216" s="308">
        <v>1385</v>
      </c>
      <c r="S216" s="307">
        <f t="shared" si="19"/>
        <v>41.55</v>
      </c>
      <c r="T216" s="27"/>
    </row>
    <row r="217" spans="1:20" x14ac:dyDescent="0.25">
      <c r="A217" s="592"/>
      <c r="B217" s="213"/>
      <c r="C217" s="632"/>
      <c r="D217" s="617"/>
      <c r="E217" s="611" t="s">
        <v>292</v>
      </c>
      <c r="F217" s="634"/>
      <c r="G217" s="608">
        <v>0.63</v>
      </c>
      <c r="H217" s="608">
        <v>3</v>
      </c>
      <c r="I217" s="613">
        <f t="shared" ref="I217" si="22">H217*G217</f>
        <v>1.8900000000000001</v>
      </c>
      <c r="J217" s="608"/>
      <c r="K217" s="608"/>
      <c r="L217" s="608"/>
      <c r="M217" s="611">
        <v>5</v>
      </c>
      <c r="N217" s="633">
        <v>454.87</v>
      </c>
      <c r="O217" s="643">
        <f t="shared" si="21"/>
        <v>859.7043000000001</v>
      </c>
      <c r="P217" s="329" t="s">
        <v>310</v>
      </c>
      <c r="Q217" s="307">
        <v>0.01</v>
      </c>
      <c r="R217" s="308">
        <v>272</v>
      </c>
      <c r="S217" s="307">
        <f t="shared" si="19"/>
        <v>2.72</v>
      </c>
      <c r="T217" s="27"/>
    </row>
    <row r="218" spans="1:20" x14ac:dyDescent="0.25">
      <c r="A218" s="592"/>
      <c r="B218" s="213"/>
      <c r="C218" s="632"/>
      <c r="D218" s="617"/>
      <c r="E218" s="612"/>
      <c r="F218" s="625"/>
      <c r="G218" s="609"/>
      <c r="H218" s="609"/>
      <c r="I218" s="614"/>
      <c r="J218" s="609"/>
      <c r="K218" s="609"/>
      <c r="L218" s="609"/>
      <c r="M218" s="612"/>
      <c r="N218" s="606"/>
      <c r="O218" s="644"/>
      <c r="P218" s="329" t="s">
        <v>312</v>
      </c>
      <c r="Q218" s="307">
        <v>0.5</v>
      </c>
      <c r="R218" s="308">
        <v>272</v>
      </c>
      <c r="S218" s="307">
        <f t="shared" si="19"/>
        <v>136</v>
      </c>
      <c r="T218" s="27"/>
    </row>
    <row r="219" spans="1:20" x14ac:dyDescent="0.25">
      <c r="A219" s="592"/>
      <c r="B219" s="213"/>
      <c r="C219" s="632"/>
      <c r="D219" s="617"/>
      <c r="E219" s="612"/>
      <c r="F219" s="625"/>
      <c r="G219" s="609"/>
      <c r="H219" s="609"/>
      <c r="I219" s="614"/>
      <c r="J219" s="609"/>
      <c r="K219" s="609"/>
      <c r="L219" s="609"/>
      <c r="M219" s="612"/>
      <c r="N219" s="606"/>
      <c r="O219" s="644"/>
      <c r="P219" s="329" t="s">
        <v>313</v>
      </c>
      <c r="Q219" s="307">
        <v>0.1</v>
      </c>
      <c r="R219" s="308">
        <v>632</v>
      </c>
      <c r="S219" s="307">
        <f t="shared" si="19"/>
        <v>63.2</v>
      </c>
      <c r="T219" s="27"/>
    </row>
    <row r="220" spans="1:20" x14ac:dyDescent="0.25">
      <c r="A220" s="592"/>
      <c r="B220" s="213"/>
      <c r="C220" s="632"/>
      <c r="D220" s="617"/>
      <c r="E220" s="612"/>
      <c r="F220" s="625"/>
      <c r="G220" s="609"/>
      <c r="H220" s="609"/>
      <c r="I220" s="614"/>
      <c r="J220" s="609"/>
      <c r="K220" s="609"/>
      <c r="L220" s="609"/>
      <c r="M220" s="612"/>
      <c r="N220" s="606"/>
      <c r="O220" s="644"/>
      <c r="P220" s="329" t="s">
        <v>314</v>
      </c>
      <c r="Q220" s="307">
        <v>0.03</v>
      </c>
      <c r="R220" s="308">
        <v>179</v>
      </c>
      <c r="S220" s="307">
        <f t="shared" si="19"/>
        <v>5.37</v>
      </c>
      <c r="T220" s="27"/>
    </row>
    <row r="221" spans="1:20" ht="31.5" x14ac:dyDescent="0.25">
      <c r="A221" s="592"/>
      <c r="B221" s="213"/>
      <c r="C221" s="632"/>
      <c r="D221" s="617"/>
      <c r="E221" s="612"/>
      <c r="F221" s="625"/>
      <c r="G221" s="609"/>
      <c r="H221" s="609"/>
      <c r="I221" s="614"/>
      <c r="J221" s="609"/>
      <c r="K221" s="609"/>
      <c r="L221" s="609"/>
      <c r="M221" s="612"/>
      <c r="N221" s="606"/>
      <c r="O221" s="644"/>
      <c r="P221" s="329" t="s">
        <v>315</v>
      </c>
      <c r="Q221" s="307">
        <v>4.0000000000000001E-3</v>
      </c>
      <c r="R221" s="308">
        <v>302</v>
      </c>
      <c r="S221" s="307">
        <f t="shared" si="19"/>
        <v>1.208</v>
      </c>
      <c r="T221" s="27"/>
    </row>
    <row r="222" spans="1:20" ht="31.5" x14ac:dyDescent="0.25">
      <c r="A222" s="592"/>
      <c r="B222" s="213"/>
      <c r="C222" s="632"/>
      <c r="D222" s="617"/>
      <c r="E222" s="612"/>
      <c r="F222" s="625"/>
      <c r="G222" s="609"/>
      <c r="H222" s="609"/>
      <c r="I222" s="614"/>
      <c r="J222" s="609"/>
      <c r="K222" s="609"/>
      <c r="L222" s="609"/>
      <c r="M222" s="612"/>
      <c r="N222" s="606"/>
      <c r="O222" s="644"/>
      <c r="P222" s="329" t="s">
        <v>316</v>
      </c>
      <c r="Q222" s="307">
        <v>5.0000000000000001E-3</v>
      </c>
      <c r="R222" s="308">
        <v>950</v>
      </c>
      <c r="S222" s="307">
        <f t="shared" si="19"/>
        <v>4.75</v>
      </c>
      <c r="T222" s="27"/>
    </row>
    <row r="223" spans="1:20" ht="31.5" x14ac:dyDescent="0.25">
      <c r="A223" s="592"/>
      <c r="B223" s="213"/>
      <c r="C223" s="632"/>
      <c r="D223" s="617"/>
      <c r="E223" s="612"/>
      <c r="F223" s="625"/>
      <c r="G223" s="609"/>
      <c r="H223" s="609"/>
      <c r="I223" s="614"/>
      <c r="J223" s="609"/>
      <c r="K223" s="609"/>
      <c r="L223" s="609"/>
      <c r="M223" s="612"/>
      <c r="N223" s="606"/>
      <c r="O223" s="644"/>
      <c r="P223" s="329" t="s">
        <v>291</v>
      </c>
      <c r="Q223" s="307">
        <v>5.0000000000000001E-3</v>
      </c>
      <c r="R223" s="308">
        <v>34</v>
      </c>
      <c r="S223" s="307">
        <f t="shared" si="19"/>
        <v>0.17</v>
      </c>
      <c r="T223" s="27"/>
    </row>
    <row r="224" spans="1:20" x14ac:dyDescent="0.25">
      <c r="A224" s="592"/>
      <c r="B224" s="213"/>
      <c r="C224" s="632"/>
      <c r="D224" s="617"/>
      <c r="E224" s="612"/>
      <c r="F224" s="625"/>
      <c r="G224" s="609"/>
      <c r="H224" s="609"/>
      <c r="I224" s="614"/>
      <c r="J224" s="609"/>
      <c r="K224" s="609"/>
      <c r="L224" s="609"/>
      <c r="M224" s="612"/>
      <c r="N224" s="606"/>
      <c r="O224" s="644"/>
      <c r="P224" s="329" t="s">
        <v>298</v>
      </c>
      <c r="Q224" s="307">
        <v>7.0000000000000007E-2</v>
      </c>
      <c r="R224" s="308">
        <v>179.8</v>
      </c>
      <c r="S224" s="307">
        <f t="shared" si="19"/>
        <v>12.586000000000002</v>
      </c>
      <c r="T224" s="27"/>
    </row>
    <row r="225" spans="1:20" ht="31.5" x14ac:dyDescent="0.25">
      <c r="A225" s="592"/>
      <c r="B225" s="213"/>
      <c r="C225" s="632"/>
      <c r="D225" s="617"/>
      <c r="E225" s="490"/>
      <c r="F225" s="626"/>
      <c r="G225" s="610"/>
      <c r="H225" s="610"/>
      <c r="I225" s="615"/>
      <c r="J225" s="610"/>
      <c r="K225" s="610"/>
      <c r="L225" s="610"/>
      <c r="M225" s="490"/>
      <c r="N225" s="607"/>
      <c r="O225" s="645"/>
      <c r="P225" s="329" t="s">
        <v>311</v>
      </c>
      <c r="Q225" s="307">
        <v>0.01</v>
      </c>
      <c r="R225" s="308">
        <v>1385</v>
      </c>
      <c r="S225" s="307">
        <f t="shared" si="19"/>
        <v>13.85</v>
      </c>
      <c r="T225" s="27"/>
    </row>
    <row r="226" spans="1:20" x14ac:dyDescent="0.25">
      <c r="A226" s="592"/>
      <c r="B226" s="213"/>
      <c r="C226" s="632"/>
      <c r="D226" s="617"/>
      <c r="E226" s="611" t="s">
        <v>294</v>
      </c>
      <c r="F226" s="634"/>
      <c r="G226" s="608">
        <v>2.36</v>
      </c>
      <c r="H226" s="608">
        <v>1</v>
      </c>
      <c r="I226" s="613">
        <f t="shared" ref="I226" si="23">H226*G226</f>
        <v>2.36</v>
      </c>
      <c r="J226" s="608"/>
      <c r="K226" s="608"/>
      <c r="L226" s="608"/>
      <c r="M226" s="611">
        <v>5</v>
      </c>
      <c r="N226" s="633">
        <v>454.87</v>
      </c>
      <c r="O226" s="643">
        <f t="shared" si="21"/>
        <v>1073.4931999999999</v>
      </c>
      <c r="P226" s="329" t="s">
        <v>310</v>
      </c>
      <c r="Q226" s="307">
        <v>0.01</v>
      </c>
      <c r="R226" s="308">
        <v>272</v>
      </c>
      <c r="S226" s="307">
        <f t="shared" si="19"/>
        <v>2.72</v>
      </c>
      <c r="T226" s="27"/>
    </row>
    <row r="227" spans="1:20" x14ac:dyDescent="0.25">
      <c r="A227" s="592"/>
      <c r="B227" s="213"/>
      <c r="C227" s="632"/>
      <c r="D227" s="617"/>
      <c r="E227" s="612"/>
      <c r="F227" s="625"/>
      <c r="G227" s="609"/>
      <c r="H227" s="609"/>
      <c r="I227" s="614"/>
      <c r="J227" s="609"/>
      <c r="K227" s="609"/>
      <c r="L227" s="609"/>
      <c r="M227" s="612"/>
      <c r="N227" s="606"/>
      <c r="O227" s="644"/>
      <c r="P227" s="329" t="s">
        <v>314</v>
      </c>
      <c r="Q227" s="307">
        <v>0.03</v>
      </c>
      <c r="R227" s="308">
        <v>179</v>
      </c>
      <c r="S227" s="307">
        <f t="shared" si="19"/>
        <v>5.37</v>
      </c>
      <c r="T227" s="27"/>
    </row>
    <row r="228" spans="1:20" ht="31.5" x14ac:dyDescent="0.25">
      <c r="A228" s="592"/>
      <c r="B228" s="213"/>
      <c r="C228" s="632"/>
      <c r="D228" s="617"/>
      <c r="E228" s="612"/>
      <c r="F228" s="625"/>
      <c r="G228" s="609"/>
      <c r="H228" s="609"/>
      <c r="I228" s="614"/>
      <c r="J228" s="609"/>
      <c r="K228" s="609"/>
      <c r="L228" s="609"/>
      <c r="M228" s="612"/>
      <c r="N228" s="606"/>
      <c r="O228" s="644"/>
      <c r="P228" s="329" t="s">
        <v>315</v>
      </c>
      <c r="Q228" s="307">
        <v>4.0000000000000001E-3</v>
      </c>
      <c r="R228" s="308">
        <v>302</v>
      </c>
      <c r="S228" s="307">
        <f t="shared" si="19"/>
        <v>1.208</v>
      </c>
      <c r="T228" s="27"/>
    </row>
    <row r="229" spans="1:20" ht="31.5" x14ac:dyDescent="0.25">
      <c r="A229" s="592"/>
      <c r="B229" s="213"/>
      <c r="C229" s="632"/>
      <c r="D229" s="617"/>
      <c r="E229" s="612"/>
      <c r="F229" s="625"/>
      <c r="G229" s="609"/>
      <c r="H229" s="609"/>
      <c r="I229" s="614"/>
      <c r="J229" s="609"/>
      <c r="K229" s="609"/>
      <c r="L229" s="609"/>
      <c r="M229" s="612"/>
      <c r="N229" s="606"/>
      <c r="O229" s="644"/>
      <c r="P229" s="329" t="s">
        <v>316</v>
      </c>
      <c r="Q229" s="307">
        <v>5.0000000000000001E-3</v>
      </c>
      <c r="R229" s="308">
        <v>950</v>
      </c>
      <c r="S229" s="307">
        <f t="shared" si="19"/>
        <v>4.75</v>
      </c>
      <c r="T229" s="27"/>
    </row>
    <row r="230" spans="1:20" ht="31.5" x14ac:dyDescent="0.25">
      <c r="A230" s="592"/>
      <c r="B230" s="213"/>
      <c r="C230" s="632"/>
      <c r="D230" s="617"/>
      <c r="E230" s="612"/>
      <c r="F230" s="625"/>
      <c r="G230" s="609"/>
      <c r="H230" s="609"/>
      <c r="I230" s="614"/>
      <c r="J230" s="609"/>
      <c r="K230" s="609"/>
      <c r="L230" s="609"/>
      <c r="M230" s="612"/>
      <c r="N230" s="606"/>
      <c r="O230" s="644"/>
      <c r="P230" s="329" t="s">
        <v>291</v>
      </c>
      <c r="Q230" s="307">
        <v>5.0000000000000001E-3</v>
      </c>
      <c r="R230" s="308">
        <v>34</v>
      </c>
      <c r="S230" s="307">
        <f t="shared" si="19"/>
        <v>0.17</v>
      </c>
      <c r="T230" s="27"/>
    </row>
    <row r="231" spans="1:20" x14ac:dyDescent="0.25">
      <c r="A231" s="592"/>
      <c r="B231" s="213"/>
      <c r="C231" s="632"/>
      <c r="D231" s="617"/>
      <c r="E231" s="612"/>
      <c r="F231" s="625"/>
      <c r="G231" s="609"/>
      <c r="H231" s="609"/>
      <c r="I231" s="614"/>
      <c r="J231" s="609"/>
      <c r="K231" s="609"/>
      <c r="L231" s="609"/>
      <c r="M231" s="612"/>
      <c r="N231" s="606"/>
      <c r="O231" s="644"/>
      <c r="P231" s="329" t="s">
        <v>317</v>
      </c>
      <c r="Q231" s="307">
        <v>0.2</v>
      </c>
      <c r="R231" s="308">
        <v>294.12</v>
      </c>
      <c r="S231" s="307">
        <f t="shared" si="19"/>
        <v>58.824000000000005</v>
      </c>
      <c r="T231" s="27"/>
    </row>
    <row r="232" spans="1:20" x14ac:dyDescent="0.25">
      <c r="A232" s="592"/>
      <c r="B232" s="213"/>
      <c r="C232" s="632"/>
      <c r="D232" s="617"/>
      <c r="E232" s="612"/>
      <c r="F232" s="625"/>
      <c r="G232" s="609"/>
      <c r="H232" s="609"/>
      <c r="I232" s="614"/>
      <c r="J232" s="609"/>
      <c r="K232" s="609"/>
      <c r="L232" s="609"/>
      <c r="M232" s="612"/>
      <c r="N232" s="606"/>
      <c r="O232" s="644"/>
      <c r="P232" s="329" t="s">
        <v>318</v>
      </c>
      <c r="Q232" s="307">
        <v>1</v>
      </c>
      <c r="R232" s="308">
        <v>256.5</v>
      </c>
      <c r="S232" s="307">
        <f t="shared" si="19"/>
        <v>256.5</v>
      </c>
      <c r="T232" s="27"/>
    </row>
    <row r="233" spans="1:20" ht="31.5" x14ac:dyDescent="0.25">
      <c r="A233" s="592"/>
      <c r="B233" s="213"/>
      <c r="C233" s="632"/>
      <c r="D233" s="617"/>
      <c r="E233" s="612"/>
      <c r="F233" s="625"/>
      <c r="G233" s="609"/>
      <c r="H233" s="609"/>
      <c r="I233" s="614"/>
      <c r="J233" s="609"/>
      <c r="K233" s="609"/>
      <c r="L233" s="609"/>
      <c r="M233" s="612"/>
      <c r="N233" s="606"/>
      <c r="O233" s="644"/>
      <c r="P233" s="329" t="s">
        <v>319</v>
      </c>
      <c r="Q233" s="307">
        <v>1.5</v>
      </c>
      <c r="R233" s="308">
        <v>400</v>
      </c>
      <c r="S233" s="307">
        <f t="shared" si="19"/>
        <v>600</v>
      </c>
      <c r="T233" s="27"/>
    </row>
    <row r="234" spans="1:20" ht="31.5" x14ac:dyDescent="0.25">
      <c r="A234" s="592"/>
      <c r="B234" s="213"/>
      <c r="C234" s="632"/>
      <c r="D234" s="617"/>
      <c r="E234" s="612"/>
      <c r="F234" s="625"/>
      <c r="G234" s="609"/>
      <c r="H234" s="609"/>
      <c r="I234" s="614"/>
      <c r="J234" s="609"/>
      <c r="K234" s="609"/>
      <c r="L234" s="609"/>
      <c r="M234" s="612"/>
      <c r="N234" s="606"/>
      <c r="O234" s="644"/>
      <c r="P234" s="329" t="s">
        <v>320</v>
      </c>
      <c r="Q234" s="307">
        <v>2</v>
      </c>
      <c r="R234" s="308">
        <v>102</v>
      </c>
      <c r="S234" s="307">
        <f t="shared" si="19"/>
        <v>204</v>
      </c>
      <c r="T234" s="27"/>
    </row>
    <row r="235" spans="1:20" x14ac:dyDescent="0.25">
      <c r="A235" s="592"/>
      <c r="B235" s="213"/>
      <c r="C235" s="632"/>
      <c r="D235" s="617"/>
      <c r="E235" s="612"/>
      <c r="F235" s="625"/>
      <c r="G235" s="609"/>
      <c r="H235" s="609"/>
      <c r="I235" s="614"/>
      <c r="J235" s="609"/>
      <c r="K235" s="609"/>
      <c r="L235" s="609"/>
      <c r="M235" s="612"/>
      <c r="N235" s="606"/>
      <c r="O235" s="644"/>
      <c r="P235" s="329" t="s">
        <v>298</v>
      </c>
      <c r="Q235" s="307">
        <v>7.0000000000000007E-2</v>
      </c>
      <c r="R235" s="308">
        <v>179.8</v>
      </c>
      <c r="S235" s="307">
        <f t="shared" si="19"/>
        <v>12.586000000000002</v>
      </c>
      <c r="T235" s="27"/>
    </row>
    <row r="236" spans="1:20" x14ac:dyDescent="0.25">
      <c r="A236" s="592"/>
      <c r="B236" s="213"/>
      <c r="C236" s="632"/>
      <c r="D236" s="617"/>
      <c r="E236" s="612"/>
      <c r="F236" s="625"/>
      <c r="G236" s="609"/>
      <c r="H236" s="609"/>
      <c r="I236" s="614"/>
      <c r="J236" s="609"/>
      <c r="K236" s="609"/>
      <c r="L236" s="609"/>
      <c r="M236" s="612"/>
      <c r="N236" s="606"/>
      <c r="O236" s="644"/>
      <c r="P236" s="329" t="s">
        <v>321</v>
      </c>
      <c r="Q236" s="307">
        <v>2</v>
      </c>
      <c r="R236" s="308">
        <v>527</v>
      </c>
      <c r="S236" s="307">
        <f t="shared" si="19"/>
        <v>1054</v>
      </c>
      <c r="T236" s="27"/>
    </row>
    <row r="237" spans="1:20" ht="94.5" x14ac:dyDescent="0.25">
      <c r="A237" s="592"/>
      <c r="B237" s="213" t="s">
        <v>1028</v>
      </c>
      <c r="C237" s="628"/>
      <c r="D237" s="604"/>
      <c r="E237" s="490"/>
      <c r="F237" s="626"/>
      <c r="G237" s="610"/>
      <c r="H237" s="610"/>
      <c r="I237" s="615"/>
      <c r="J237" s="610"/>
      <c r="K237" s="610"/>
      <c r="L237" s="610"/>
      <c r="M237" s="490"/>
      <c r="N237" s="607"/>
      <c r="O237" s="645"/>
      <c r="P237" s="329" t="s">
        <v>311</v>
      </c>
      <c r="Q237" s="307">
        <v>0.01</v>
      </c>
      <c r="R237" s="308">
        <v>1385</v>
      </c>
      <c r="S237" s="307">
        <f t="shared" si="19"/>
        <v>13.85</v>
      </c>
      <c r="T237" s="27"/>
    </row>
    <row r="238" spans="1:20" x14ac:dyDescent="0.25">
      <c r="A238" s="592"/>
      <c r="B238" s="213"/>
      <c r="C238" s="627" t="s">
        <v>341</v>
      </c>
      <c r="D238" s="603">
        <v>1</v>
      </c>
      <c r="E238" s="611" t="s">
        <v>290</v>
      </c>
      <c r="F238" s="634"/>
      <c r="G238" s="608">
        <v>0.32</v>
      </c>
      <c r="H238" s="608">
        <v>8</v>
      </c>
      <c r="I238" s="613">
        <f>H238*G238</f>
        <v>2.56</v>
      </c>
      <c r="J238" s="629"/>
      <c r="K238" s="608"/>
      <c r="L238" s="608"/>
      <c r="M238" s="611">
        <v>5</v>
      </c>
      <c r="N238" s="633">
        <v>454.87</v>
      </c>
      <c r="O238" s="643">
        <f t="shared" si="21"/>
        <v>1164.4672</v>
      </c>
      <c r="P238" s="329" t="s">
        <v>310</v>
      </c>
      <c r="Q238" s="307">
        <v>0.01</v>
      </c>
      <c r="R238" s="308">
        <v>272</v>
      </c>
      <c r="S238" s="307">
        <f t="shared" si="19"/>
        <v>2.72</v>
      </c>
      <c r="T238" s="27"/>
    </row>
    <row r="239" spans="1:20" x14ac:dyDescent="0.25">
      <c r="A239" s="592"/>
      <c r="B239" s="213"/>
      <c r="C239" s="632"/>
      <c r="D239" s="617"/>
      <c r="E239" s="612"/>
      <c r="F239" s="625"/>
      <c r="G239" s="609"/>
      <c r="H239" s="609"/>
      <c r="I239" s="614"/>
      <c r="J239" s="630"/>
      <c r="K239" s="609"/>
      <c r="L239" s="609"/>
      <c r="M239" s="612"/>
      <c r="N239" s="606"/>
      <c r="O239" s="644"/>
      <c r="P239" s="329" t="s">
        <v>298</v>
      </c>
      <c r="Q239" s="307">
        <v>0.03</v>
      </c>
      <c r="R239" s="308">
        <v>179.8</v>
      </c>
      <c r="S239" s="307">
        <f t="shared" si="19"/>
        <v>5.3940000000000001</v>
      </c>
      <c r="T239" s="27"/>
    </row>
    <row r="240" spans="1:20" ht="31.5" x14ac:dyDescent="0.25">
      <c r="A240" s="592"/>
      <c r="B240" s="213"/>
      <c r="C240" s="632"/>
      <c r="D240" s="617"/>
      <c r="E240" s="490"/>
      <c r="F240" s="626"/>
      <c r="G240" s="610"/>
      <c r="H240" s="610"/>
      <c r="I240" s="615"/>
      <c r="J240" s="631"/>
      <c r="K240" s="610"/>
      <c r="L240" s="610"/>
      <c r="M240" s="490"/>
      <c r="N240" s="607"/>
      <c r="O240" s="645"/>
      <c r="P240" s="329" t="s">
        <v>311</v>
      </c>
      <c r="Q240" s="307">
        <v>0.03</v>
      </c>
      <c r="R240" s="308">
        <v>1385</v>
      </c>
      <c r="S240" s="307">
        <f t="shared" si="19"/>
        <v>41.55</v>
      </c>
      <c r="T240" s="27"/>
    </row>
    <row r="241" spans="1:20" x14ac:dyDescent="0.25">
      <c r="A241" s="592"/>
      <c r="B241" s="213"/>
      <c r="C241" s="632"/>
      <c r="D241" s="617"/>
      <c r="E241" s="611" t="s">
        <v>292</v>
      </c>
      <c r="F241" s="634"/>
      <c r="G241" s="608">
        <v>0.63</v>
      </c>
      <c r="H241" s="608">
        <v>3</v>
      </c>
      <c r="I241" s="613">
        <f t="shared" ref="I241" si="24">H241*G241</f>
        <v>1.8900000000000001</v>
      </c>
      <c r="J241" s="608"/>
      <c r="K241" s="608"/>
      <c r="L241" s="608"/>
      <c r="M241" s="611">
        <v>5</v>
      </c>
      <c r="N241" s="633">
        <v>454.87</v>
      </c>
      <c r="O241" s="643">
        <f t="shared" si="21"/>
        <v>859.7043000000001</v>
      </c>
      <c r="P241" s="329" t="s">
        <v>310</v>
      </c>
      <c r="Q241" s="307">
        <v>0.01</v>
      </c>
      <c r="R241" s="308">
        <v>272</v>
      </c>
      <c r="S241" s="307">
        <f t="shared" si="19"/>
        <v>2.72</v>
      </c>
      <c r="T241" s="27"/>
    </row>
    <row r="242" spans="1:20" x14ac:dyDescent="0.25">
      <c r="A242" s="592"/>
      <c r="B242" s="213"/>
      <c r="C242" s="632"/>
      <c r="D242" s="617"/>
      <c r="E242" s="612"/>
      <c r="F242" s="625"/>
      <c r="G242" s="609"/>
      <c r="H242" s="609"/>
      <c r="I242" s="614"/>
      <c r="J242" s="609"/>
      <c r="K242" s="609"/>
      <c r="L242" s="609"/>
      <c r="M242" s="612"/>
      <c r="N242" s="606"/>
      <c r="O242" s="644"/>
      <c r="P242" s="329" t="s">
        <v>312</v>
      </c>
      <c r="Q242" s="307">
        <v>0.5</v>
      </c>
      <c r="R242" s="308">
        <v>272</v>
      </c>
      <c r="S242" s="307">
        <f t="shared" si="19"/>
        <v>136</v>
      </c>
      <c r="T242" s="27"/>
    </row>
    <row r="243" spans="1:20" x14ac:dyDescent="0.25">
      <c r="A243" s="592"/>
      <c r="B243" s="213"/>
      <c r="C243" s="632"/>
      <c r="D243" s="617"/>
      <c r="E243" s="612"/>
      <c r="F243" s="625"/>
      <c r="G243" s="609"/>
      <c r="H243" s="609"/>
      <c r="I243" s="614"/>
      <c r="J243" s="609"/>
      <c r="K243" s="609"/>
      <c r="L243" s="609"/>
      <c r="M243" s="612"/>
      <c r="N243" s="606"/>
      <c r="O243" s="644"/>
      <c r="P243" s="329" t="s">
        <v>313</v>
      </c>
      <c r="Q243" s="307">
        <v>0.1</v>
      </c>
      <c r="R243" s="308">
        <v>632</v>
      </c>
      <c r="S243" s="307">
        <f t="shared" si="19"/>
        <v>63.2</v>
      </c>
      <c r="T243" s="27"/>
    </row>
    <row r="244" spans="1:20" x14ac:dyDescent="0.25">
      <c r="A244" s="592"/>
      <c r="B244" s="213"/>
      <c r="C244" s="632"/>
      <c r="D244" s="617"/>
      <c r="E244" s="612"/>
      <c r="F244" s="625"/>
      <c r="G244" s="609"/>
      <c r="H244" s="609"/>
      <c r="I244" s="614"/>
      <c r="J244" s="609"/>
      <c r="K244" s="609"/>
      <c r="L244" s="609"/>
      <c r="M244" s="612"/>
      <c r="N244" s="606"/>
      <c r="O244" s="644"/>
      <c r="P244" s="329" t="s">
        <v>314</v>
      </c>
      <c r="Q244" s="307">
        <v>0.03</v>
      </c>
      <c r="R244" s="308">
        <v>179</v>
      </c>
      <c r="S244" s="307">
        <f t="shared" si="19"/>
        <v>5.37</v>
      </c>
      <c r="T244" s="27"/>
    </row>
    <row r="245" spans="1:20" ht="31.5" x14ac:dyDescent="0.25">
      <c r="A245" s="592"/>
      <c r="B245" s="213"/>
      <c r="C245" s="632"/>
      <c r="D245" s="617"/>
      <c r="E245" s="612"/>
      <c r="F245" s="625"/>
      <c r="G245" s="609"/>
      <c r="H245" s="609"/>
      <c r="I245" s="614"/>
      <c r="J245" s="609"/>
      <c r="K245" s="609"/>
      <c r="L245" s="609"/>
      <c r="M245" s="612"/>
      <c r="N245" s="606"/>
      <c r="O245" s="644"/>
      <c r="P245" s="329" t="s">
        <v>315</v>
      </c>
      <c r="Q245" s="307">
        <v>4.0000000000000001E-3</v>
      </c>
      <c r="R245" s="308">
        <v>302</v>
      </c>
      <c r="S245" s="307">
        <f t="shared" si="19"/>
        <v>1.208</v>
      </c>
      <c r="T245" s="27"/>
    </row>
    <row r="246" spans="1:20" ht="31.5" x14ac:dyDescent="0.25">
      <c r="A246" s="592"/>
      <c r="B246" s="213"/>
      <c r="C246" s="632"/>
      <c r="D246" s="617"/>
      <c r="E246" s="612"/>
      <c r="F246" s="625"/>
      <c r="G246" s="609"/>
      <c r="H246" s="609"/>
      <c r="I246" s="614"/>
      <c r="J246" s="609"/>
      <c r="K246" s="609"/>
      <c r="L246" s="609"/>
      <c r="M246" s="612"/>
      <c r="N246" s="606"/>
      <c r="O246" s="644"/>
      <c r="P246" s="329" t="s">
        <v>316</v>
      </c>
      <c r="Q246" s="307">
        <v>5.0000000000000001E-3</v>
      </c>
      <c r="R246" s="308">
        <v>950</v>
      </c>
      <c r="S246" s="307">
        <f t="shared" si="19"/>
        <v>4.75</v>
      </c>
      <c r="T246" s="27"/>
    </row>
    <row r="247" spans="1:20" ht="31.5" x14ac:dyDescent="0.25">
      <c r="A247" s="592"/>
      <c r="B247" s="213"/>
      <c r="C247" s="632"/>
      <c r="D247" s="617"/>
      <c r="E247" s="612"/>
      <c r="F247" s="625"/>
      <c r="G247" s="609"/>
      <c r="H247" s="609"/>
      <c r="I247" s="614"/>
      <c r="J247" s="609"/>
      <c r="K247" s="609"/>
      <c r="L247" s="609"/>
      <c r="M247" s="612"/>
      <c r="N247" s="606"/>
      <c r="O247" s="644"/>
      <c r="P247" s="329" t="s">
        <v>291</v>
      </c>
      <c r="Q247" s="307">
        <v>5.0000000000000001E-3</v>
      </c>
      <c r="R247" s="308">
        <v>34</v>
      </c>
      <c r="S247" s="307">
        <f t="shared" si="19"/>
        <v>0.17</v>
      </c>
      <c r="T247" s="27"/>
    </row>
    <row r="248" spans="1:20" x14ac:dyDescent="0.25">
      <c r="A248" s="592"/>
      <c r="B248" s="213"/>
      <c r="C248" s="632"/>
      <c r="D248" s="617"/>
      <c r="E248" s="612"/>
      <c r="F248" s="625"/>
      <c r="G248" s="609"/>
      <c r="H248" s="609"/>
      <c r="I248" s="614"/>
      <c r="J248" s="609"/>
      <c r="K248" s="609"/>
      <c r="L248" s="609"/>
      <c r="M248" s="612"/>
      <c r="N248" s="606"/>
      <c r="O248" s="644"/>
      <c r="P248" s="329" t="s">
        <v>298</v>
      </c>
      <c r="Q248" s="307">
        <v>7.0000000000000007E-2</v>
      </c>
      <c r="R248" s="308">
        <v>179.8</v>
      </c>
      <c r="S248" s="307">
        <f t="shared" si="19"/>
        <v>12.586000000000002</v>
      </c>
      <c r="T248" s="27"/>
    </row>
    <row r="249" spans="1:20" ht="31.5" x14ac:dyDescent="0.25">
      <c r="A249" s="592"/>
      <c r="B249" s="213"/>
      <c r="C249" s="632"/>
      <c r="D249" s="617"/>
      <c r="E249" s="490"/>
      <c r="F249" s="626"/>
      <c r="G249" s="610"/>
      <c r="H249" s="610"/>
      <c r="I249" s="615"/>
      <c r="J249" s="610"/>
      <c r="K249" s="610"/>
      <c r="L249" s="610"/>
      <c r="M249" s="490"/>
      <c r="N249" s="607"/>
      <c r="O249" s="645"/>
      <c r="P249" s="329" t="s">
        <v>311</v>
      </c>
      <c r="Q249" s="307">
        <v>0.01</v>
      </c>
      <c r="R249" s="308">
        <v>1385</v>
      </c>
      <c r="S249" s="307">
        <f t="shared" si="19"/>
        <v>13.85</v>
      </c>
      <c r="T249" s="27"/>
    </row>
    <row r="250" spans="1:20" x14ac:dyDescent="0.25">
      <c r="A250" s="592"/>
      <c r="B250" s="213"/>
      <c r="C250" s="632"/>
      <c r="D250" s="617"/>
      <c r="E250" s="611" t="s">
        <v>294</v>
      </c>
      <c r="F250" s="634"/>
      <c r="G250" s="608">
        <v>2.36</v>
      </c>
      <c r="H250" s="608">
        <v>1</v>
      </c>
      <c r="I250" s="613">
        <f t="shared" ref="I250" si="25">H250*G250</f>
        <v>2.36</v>
      </c>
      <c r="J250" s="608"/>
      <c r="K250" s="608"/>
      <c r="L250" s="608"/>
      <c r="M250" s="611">
        <v>5</v>
      </c>
      <c r="N250" s="633">
        <v>454.87</v>
      </c>
      <c r="O250" s="643">
        <f t="shared" si="21"/>
        <v>1073.4931999999999</v>
      </c>
      <c r="P250" s="329" t="s">
        <v>310</v>
      </c>
      <c r="Q250" s="307">
        <v>0.01</v>
      </c>
      <c r="R250" s="308">
        <v>272</v>
      </c>
      <c r="S250" s="307">
        <f t="shared" si="19"/>
        <v>2.72</v>
      </c>
      <c r="T250" s="27"/>
    </row>
    <row r="251" spans="1:20" x14ac:dyDescent="0.25">
      <c r="A251" s="592"/>
      <c r="B251" s="213"/>
      <c r="C251" s="632"/>
      <c r="D251" s="617"/>
      <c r="E251" s="612"/>
      <c r="F251" s="625"/>
      <c r="G251" s="609"/>
      <c r="H251" s="609"/>
      <c r="I251" s="614"/>
      <c r="J251" s="609"/>
      <c r="K251" s="609"/>
      <c r="L251" s="609"/>
      <c r="M251" s="612"/>
      <c r="N251" s="606"/>
      <c r="O251" s="644"/>
      <c r="P251" s="329" t="s">
        <v>314</v>
      </c>
      <c r="Q251" s="307">
        <v>0.03</v>
      </c>
      <c r="R251" s="308">
        <v>179</v>
      </c>
      <c r="S251" s="307">
        <f t="shared" si="19"/>
        <v>5.37</v>
      </c>
      <c r="T251" s="27"/>
    </row>
    <row r="252" spans="1:20" ht="31.5" x14ac:dyDescent="0.25">
      <c r="A252" s="592"/>
      <c r="B252" s="213"/>
      <c r="C252" s="632"/>
      <c r="D252" s="617"/>
      <c r="E252" s="612"/>
      <c r="F252" s="625"/>
      <c r="G252" s="609"/>
      <c r="H252" s="609"/>
      <c r="I252" s="614"/>
      <c r="J252" s="609"/>
      <c r="K252" s="609"/>
      <c r="L252" s="609"/>
      <c r="M252" s="612"/>
      <c r="N252" s="606"/>
      <c r="O252" s="644"/>
      <c r="P252" s="329" t="s">
        <v>315</v>
      </c>
      <c r="Q252" s="307">
        <v>4.0000000000000001E-3</v>
      </c>
      <c r="R252" s="308">
        <v>302</v>
      </c>
      <c r="S252" s="307">
        <f t="shared" si="19"/>
        <v>1.208</v>
      </c>
      <c r="T252" s="27"/>
    </row>
    <row r="253" spans="1:20" ht="31.5" x14ac:dyDescent="0.25">
      <c r="A253" s="592"/>
      <c r="B253" s="213"/>
      <c r="C253" s="632"/>
      <c r="D253" s="617"/>
      <c r="E253" s="612"/>
      <c r="F253" s="625"/>
      <c r="G253" s="609"/>
      <c r="H253" s="609"/>
      <c r="I253" s="614"/>
      <c r="J253" s="609"/>
      <c r="K253" s="609"/>
      <c r="L253" s="609"/>
      <c r="M253" s="612"/>
      <c r="N253" s="606"/>
      <c r="O253" s="644"/>
      <c r="P253" s="329" t="s">
        <v>316</v>
      </c>
      <c r="Q253" s="307">
        <v>5.0000000000000001E-3</v>
      </c>
      <c r="R253" s="308">
        <v>950</v>
      </c>
      <c r="S253" s="307">
        <f t="shared" si="19"/>
        <v>4.75</v>
      </c>
      <c r="T253" s="27"/>
    </row>
    <row r="254" spans="1:20" ht="31.5" x14ac:dyDescent="0.25">
      <c r="A254" s="592"/>
      <c r="B254" s="213"/>
      <c r="C254" s="632"/>
      <c r="D254" s="617"/>
      <c r="E254" s="612"/>
      <c r="F254" s="625"/>
      <c r="G254" s="609"/>
      <c r="H254" s="609"/>
      <c r="I254" s="614"/>
      <c r="J254" s="609"/>
      <c r="K254" s="609"/>
      <c r="L254" s="609"/>
      <c r="M254" s="612"/>
      <c r="N254" s="606"/>
      <c r="O254" s="644"/>
      <c r="P254" s="329" t="s">
        <v>291</v>
      </c>
      <c r="Q254" s="307">
        <v>5.0000000000000001E-3</v>
      </c>
      <c r="R254" s="308">
        <v>34</v>
      </c>
      <c r="S254" s="307">
        <f t="shared" si="19"/>
        <v>0.17</v>
      </c>
      <c r="T254" s="27"/>
    </row>
    <row r="255" spans="1:20" x14ac:dyDescent="0.25">
      <c r="A255" s="592"/>
      <c r="B255" s="213"/>
      <c r="C255" s="632"/>
      <c r="D255" s="617"/>
      <c r="E255" s="612"/>
      <c r="F255" s="625"/>
      <c r="G255" s="609"/>
      <c r="H255" s="609"/>
      <c r="I255" s="614"/>
      <c r="J255" s="609"/>
      <c r="K255" s="609"/>
      <c r="L255" s="609"/>
      <c r="M255" s="612"/>
      <c r="N255" s="606"/>
      <c r="O255" s="644"/>
      <c r="P255" s="329" t="s">
        <v>317</v>
      </c>
      <c r="Q255" s="307">
        <v>0.2</v>
      </c>
      <c r="R255" s="308">
        <v>294.12</v>
      </c>
      <c r="S255" s="307">
        <f t="shared" si="19"/>
        <v>58.824000000000005</v>
      </c>
      <c r="T255" s="27"/>
    </row>
    <row r="256" spans="1:20" x14ac:dyDescent="0.25">
      <c r="A256" s="592"/>
      <c r="B256" s="213"/>
      <c r="C256" s="632"/>
      <c r="D256" s="617"/>
      <c r="E256" s="612"/>
      <c r="F256" s="625"/>
      <c r="G256" s="609"/>
      <c r="H256" s="609"/>
      <c r="I256" s="614"/>
      <c r="J256" s="609"/>
      <c r="K256" s="609"/>
      <c r="L256" s="609"/>
      <c r="M256" s="612"/>
      <c r="N256" s="606"/>
      <c r="O256" s="644"/>
      <c r="P256" s="329" t="s">
        <v>318</v>
      </c>
      <c r="Q256" s="307">
        <v>1</v>
      </c>
      <c r="R256" s="308">
        <v>256.5</v>
      </c>
      <c r="S256" s="307">
        <f t="shared" si="19"/>
        <v>256.5</v>
      </c>
      <c r="T256" s="27"/>
    </row>
    <row r="257" spans="1:20" ht="31.5" x14ac:dyDescent="0.25">
      <c r="A257" s="592"/>
      <c r="B257" s="213"/>
      <c r="C257" s="632"/>
      <c r="D257" s="617"/>
      <c r="E257" s="612"/>
      <c r="F257" s="625"/>
      <c r="G257" s="609"/>
      <c r="H257" s="609"/>
      <c r="I257" s="614"/>
      <c r="J257" s="609"/>
      <c r="K257" s="609"/>
      <c r="L257" s="609"/>
      <c r="M257" s="612"/>
      <c r="N257" s="606"/>
      <c r="O257" s="644"/>
      <c r="P257" s="329" t="s">
        <v>319</v>
      </c>
      <c r="Q257" s="307">
        <v>1.5</v>
      </c>
      <c r="R257" s="308">
        <v>400</v>
      </c>
      <c r="S257" s="307">
        <f t="shared" si="19"/>
        <v>600</v>
      </c>
      <c r="T257" s="27"/>
    </row>
    <row r="258" spans="1:20" ht="31.5" x14ac:dyDescent="0.25">
      <c r="A258" s="592"/>
      <c r="B258" s="213"/>
      <c r="C258" s="632"/>
      <c r="D258" s="617"/>
      <c r="E258" s="612"/>
      <c r="F258" s="625"/>
      <c r="G258" s="609"/>
      <c r="H258" s="609"/>
      <c r="I258" s="614"/>
      <c r="J258" s="609"/>
      <c r="K258" s="609"/>
      <c r="L258" s="609"/>
      <c r="M258" s="612"/>
      <c r="N258" s="606"/>
      <c r="O258" s="644"/>
      <c r="P258" s="329" t="s">
        <v>320</v>
      </c>
      <c r="Q258" s="307">
        <v>2</v>
      </c>
      <c r="R258" s="308">
        <v>102</v>
      </c>
      <c r="S258" s="307">
        <f t="shared" si="19"/>
        <v>204</v>
      </c>
      <c r="T258" s="27"/>
    </row>
    <row r="259" spans="1:20" x14ac:dyDescent="0.25">
      <c r="A259" s="592"/>
      <c r="B259" s="213"/>
      <c r="C259" s="632"/>
      <c r="D259" s="617"/>
      <c r="E259" s="612"/>
      <c r="F259" s="625"/>
      <c r="G259" s="609"/>
      <c r="H259" s="609"/>
      <c r="I259" s="614"/>
      <c r="J259" s="609"/>
      <c r="K259" s="609"/>
      <c r="L259" s="609"/>
      <c r="M259" s="612"/>
      <c r="N259" s="606"/>
      <c r="O259" s="644"/>
      <c r="P259" s="329" t="s">
        <v>298</v>
      </c>
      <c r="Q259" s="307">
        <v>7.0000000000000007E-2</v>
      </c>
      <c r="R259" s="308">
        <v>179.8</v>
      </c>
      <c r="S259" s="307">
        <f t="shared" si="19"/>
        <v>12.586000000000002</v>
      </c>
      <c r="T259" s="27"/>
    </row>
    <row r="260" spans="1:20" x14ac:dyDescent="0.25">
      <c r="A260" s="592"/>
      <c r="B260" s="213"/>
      <c r="C260" s="632"/>
      <c r="D260" s="617"/>
      <c r="E260" s="612"/>
      <c r="F260" s="625"/>
      <c r="G260" s="609"/>
      <c r="H260" s="609"/>
      <c r="I260" s="614"/>
      <c r="J260" s="609"/>
      <c r="K260" s="609"/>
      <c r="L260" s="609"/>
      <c r="M260" s="612"/>
      <c r="N260" s="606"/>
      <c r="O260" s="644"/>
      <c r="P260" s="329" t="s">
        <v>321</v>
      </c>
      <c r="Q260" s="307">
        <v>2</v>
      </c>
      <c r="R260" s="308">
        <v>527</v>
      </c>
      <c r="S260" s="307">
        <f t="shared" si="19"/>
        <v>1054</v>
      </c>
      <c r="T260" s="27"/>
    </row>
    <row r="261" spans="1:20" ht="31.5" x14ac:dyDescent="0.25">
      <c r="A261" s="592"/>
      <c r="B261" s="213"/>
      <c r="C261" s="628"/>
      <c r="D261" s="604"/>
      <c r="E261" s="490"/>
      <c r="F261" s="626"/>
      <c r="G261" s="610"/>
      <c r="H261" s="610"/>
      <c r="I261" s="615"/>
      <c r="J261" s="610"/>
      <c r="K261" s="610"/>
      <c r="L261" s="610"/>
      <c r="M261" s="490"/>
      <c r="N261" s="607"/>
      <c r="O261" s="645"/>
      <c r="P261" s="329" t="s">
        <v>311</v>
      </c>
      <c r="Q261" s="307">
        <v>0.01</v>
      </c>
      <c r="R261" s="308">
        <v>1385</v>
      </c>
      <c r="S261" s="307">
        <f t="shared" si="19"/>
        <v>13.85</v>
      </c>
      <c r="T261" s="27"/>
    </row>
    <row r="262" spans="1:20" ht="31.5" x14ac:dyDescent="0.25">
      <c r="A262" s="592"/>
      <c r="B262" s="213"/>
      <c r="C262" s="627" t="s">
        <v>342</v>
      </c>
      <c r="D262" s="603">
        <v>1</v>
      </c>
      <c r="E262" s="611" t="s">
        <v>290</v>
      </c>
      <c r="F262" s="634"/>
      <c r="G262" s="608">
        <v>0.04</v>
      </c>
      <c r="H262" s="608">
        <v>8</v>
      </c>
      <c r="I262" s="613">
        <f>H262*G262</f>
        <v>0.32</v>
      </c>
      <c r="J262" s="629"/>
      <c r="K262" s="608"/>
      <c r="L262" s="608"/>
      <c r="M262" s="611">
        <v>4</v>
      </c>
      <c r="N262" s="633">
        <v>454.87</v>
      </c>
      <c r="O262" s="643">
        <f t="shared" si="21"/>
        <v>145.55840000000001</v>
      </c>
      <c r="P262" s="329" t="s">
        <v>311</v>
      </c>
      <c r="Q262" s="307">
        <v>0.01</v>
      </c>
      <c r="R262" s="308">
        <v>1385</v>
      </c>
      <c r="S262" s="307">
        <f t="shared" si="19"/>
        <v>13.85</v>
      </c>
      <c r="T262" s="27"/>
    </row>
    <row r="263" spans="1:20" x14ac:dyDescent="0.25">
      <c r="A263" s="592"/>
      <c r="B263" s="213"/>
      <c r="C263" s="632"/>
      <c r="D263" s="617"/>
      <c r="E263" s="612"/>
      <c r="F263" s="625"/>
      <c r="G263" s="609"/>
      <c r="H263" s="609"/>
      <c r="I263" s="614"/>
      <c r="J263" s="630"/>
      <c r="K263" s="609"/>
      <c r="L263" s="609"/>
      <c r="M263" s="612"/>
      <c r="N263" s="606"/>
      <c r="O263" s="644"/>
      <c r="P263" s="329" t="s">
        <v>298</v>
      </c>
      <c r="Q263" s="307">
        <v>0.04</v>
      </c>
      <c r="R263" s="308">
        <v>179.8</v>
      </c>
      <c r="S263" s="307">
        <f t="shared" ref="S263:S326" si="26">(Q263*R263)</f>
        <v>7.1920000000000002</v>
      </c>
      <c r="T263" s="27"/>
    </row>
    <row r="264" spans="1:20" x14ac:dyDescent="0.25">
      <c r="A264" s="592"/>
      <c r="B264" s="213"/>
      <c r="C264" s="632"/>
      <c r="D264" s="617"/>
      <c r="E264" s="612"/>
      <c r="F264" s="625"/>
      <c r="G264" s="609"/>
      <c r="H264" s="609"/>
      <c r="I264" s="614"/>
      <c r="J264" s="630"/>
      <c r="K264" s="609"/>
      <c r="L264" s="609"/>
      <c r="M264" s="612"/>
      <c r="N264" s="606"/>
      <c r="O264" s="644"/>
      <c r="P264" s="330" t="s">
        <v>324</v>
      </c>
      <c r="Q264" s="331">
        <v>1</v>
      </c>
      <c r="R264" s="308">
        <v>44</v>
      </c>
      <c r="S264" s="307">
        <f t="shared" si="26"/>
        <v>44</v>
      </c>
      <c r="T264" s="27"/>
    </row>
    <row r="265" spans="1:20" x14ac:dyDescent="0.25">
      <c r="A265" s="592"/>
      <c r="B265" s="213"/>
      <c r="C265" s="632"/>
      <c r="D265" s="617"/>
      <c r="E265" s="612"/>
      <c r="F265" s="625"/>
      <c r="G265" s="609"/>
      <c r="H265" s="609"/>
      <c r="I265" s="614"/>
      <c r="J265" s="630"/>
      <c r="K265" s="609"/>
      <c r="L265" s="609"/>
      <c r="M265" s="612"/>
      <c r="N265" s="606"/>
      <c r="O265" s="644"/>
      <c r="P265" s="330" t="s">
        <v>325</v>
      </c>
      <c r="Q265" s="307">
        <v>0.01</v>
      </c>
      <c r="R265" s="308">
        <v>649</v>
      </c>
      <c r="S265" s="307">
        <f t="shared" si="26"/>
        <v>6.49</v>
      </c>
      <c r="T265" s="27"/>
    </row>
    <row r="266" spans="1:20" x14ac:dyDescent="0.25">
      <c r="A266" s="592"/>
      <c r="B266" s="213"/>
      <c r="C266" s="632"/>
      <c r="D266" s="617"/>
      <c r="E266" s="612"/>
      <c r="F266" s="625"/>
      <c r="G266" s="609"/>
      <c r="H266" s="609"/>
      <c r="I266" s="614"/>
      <c r="J266" s="630"/>
      <c r="K266" s="609"/>
      <c r="L266" s="609"/>
      <c r="M266" s="612"/>
      <c r="N266" s="606"/>
      <c r="O266" s="644"/>
      <c r="P266" s="330" t="s">
        <v>326</v>
      </c>
      <c r="Q266" s="331">
        <v>0.03</v>
      </c>
      <c r="R266" s="308">
        <v>1148</v>
      </c>
      <c r="S266" s="307">
        <f t="shared" si="26"/>
        <v>34.44</v>
      </c>
      <c r="T266" s="27"/>
    </row>
    <row r="267" spans="1:20" x14ac:dyDescent="0.25">
      <c r="A267" s="592"/>
      <c r="B267" s="213"/>
      <c r="C267" s="632"/>
      <c r="D267" s="617"/>
      <c r="E267" s="490"/>
      <c r="F267" s="626"/>
      <c r="G267" s="610"/>
      <c r="H267" s="610"/>
      <c r="I267" s="615"/>
      <c r="J267" s="631"/>
      <c r="K267" s="610"/>
      <c r="L267" s="610"/>
      <c r="M267" s="490"/>
      <c r="N267" s="607"/>
      <c r="O267" s="645"/>
      <c r="P267" s="329" t="s">
        <v>318</v>
      </c>
      <c r="Q267" s="331">
        <v>2</v>
      </c>
      <c r="R267" s="308">
        <v>256.5</v>
      </c>
      <c r="S267" s="307">
        <f t="shared" si="26"/>
        <v>513</v>
      </c>
      <c r="T267" s="27"/>
    </row>
    <row r="268" spans="1:20" x14ac:dyDescent="0.25">
      <c r="A268" s="592"/>
      <c r="B268" s="213"/>
      <c r="C268" s="632"/>
      <c r="D268" s="617"/>
      <c r="E268" s="611" t="s">
        <v>292</v>
      </c>
      <c r="F268" s="634"/>
      <c r="G268" s="608">
        <v>0.06</v>
      </c>
      <c r="H268" s="608">
        <v>3</v>
      </c>
      <c r="I268" s="613">
        <f t="shared" ref="I268" si="27">H268*G268</f>
        <v>0.18</v>
      </c>
      <c r="J268" s="608"/>
      <c r="K268" s="608"/>
      <c r="L268" s="608"/>
      <c r="M268" s="611">
        <v>4</v>
      </c>
      <c r="N268" s="633">
        <v>454.87</v>
      </c>
      <c r="O268" s="643">
        <f t="shared" ref="O268:O320" si="28">I268*N268</f>
        <v>81.876599999999996</v>
      </c>
      <c r="P268" s="329" t="s">
        <v>298</v>
      </c>
      <c r="Q268" s="307">
        <v>0.09</v>
      </c>
      <c r="R268" s="308">
        <v>179.8</v>
      </c>
      <c r="S268" s="307">
        <f t="shared" si="26"/>
        <v>16.182000000000002</v>
      </c>
      <c r="T268" s="27"/>
    </row>
    <row r="269" spans="1:20" x14ac:dyDescent="0.25">
      <c r="A269" s="592"/>
      <c r="B269" s="213"/>
      <c r="C269" s="632"/>
      <c r="D269" s="617"/>
      <c r="E269" s="612"/>
      <c r="F269" s="625"/>
      <c r="G269" s="609"/>
      <c r="H269" s="609"/>
      <c r="I269" s="614"/>
      <c r="J269" s="609"/>
      <c r="K269" s="609"/>
      <c r="L269" s="609"/>
      <c r="M269" s="612"/>
      <c r="N269" s="606"/>
      <c r="O269" s="644"/>
      <c r="P269" s="330" t="s">
        <v>302</v>
      </c>
      <c r="Q269" s="331">
        <v>0.05</v>
      </c>
      <c r="R269" s="308">
        <v>950</v>
      </c>
      <c r="S269" s="307">
        <f t="shared" si="26"/>
        <v>47.5</v>
      </c>
      <c r="T269" s="27"/>
    </row>
    <row r="270" spans="1:20" ht="31.5" x14ac:dyDescent="0.25">
      <c r="A270" s="592"/>
      <c r="B270" s="213"/>
      <c r="C270" s="632"/>
      <c r="D270" s="617"/>
      <c r="E270" s="612"/>
      <c r="F270" s="625"/>
      <c r="G270" s="609"/>
      <c r="H270" s="609"/>
      <c r="I270" s="614"/>
      <c r="J270" s="609"/>
      <c r="K270" s="609"/>
      <c r="L270" s="609"/>
      <c r="M270" s="612"/>
      <c r="N270" s="606"/>
      <c r="O270" s="644"/>
      <c r="P270" s="329" t="s">
        <v>311</v>
      </c>
      <c r="Q270" s="307">
        <v>0.01</v>
      </c>
      <c r="R270" s="308">
        <v>1385</v>
      </c>
      <c r="S270" s="307">
        <f t="shared" si="26"/>
        <v>13.85</v>
      </c>
      <c r="T270" s="27"/>
    </row>
    <row r="271" spans="1:20" x14ac:dyDescent="0.25">
      <c r="A271" s="592"/>
      <c r="B271" s="213"/>
      <c r="C271" s="632"/>
      <c r="D271" s="617"/>
      <c r="E271" s="612"/>
      <c r="F271" s="625"/>
      <c r="G271" s="609"/>
      <c r="H271" s="609"/>
      <c r="I271" s="614"/>
      <c r="J271" s="609"/>
      <c r="K271" s="609"/>
      <c r="L271" s="609"/>
      <c r="M271" s="612"/>
      <c r="N271" s="606"/>
      <c r="O271" s="644"/>
      <c r="P271" s="330" t="s">
        <v>327</v>
      </c>
      <c r="Q271" s="331">
        <v>0.04</v>
      </c>
      <c r="R271" s="308">
        <v>302</v>
      </c>
      <c r="S271" s="307">
        <f t="shared" si="26"/>
        <v>12.08</v>
      </c>
      <c r="T271" s="27"/>
    </row>
    <row r="272" spans="1:20" x14ac:dyDescent="0.25">
      <c r="A272" s="592"/>
      <c r="B272" s="213"/>
      <c r="C272" s="632"/>
      <c r="D272" s="617"/>
      <c r="E272" s="612"/>
      <c r="F272" s="625"/>
      <c r="G272" s="609"/>
      <c r="H272" s="609"/>
      <c r="I272" s="614"/>
      <c r="J272" s="609"/>
      <c r="K272" s="609"/>
      <c r="L272" s="609"/>
      <c r="M272" s="612"/>
      <c r="N272" s="606"/>
      <c r="O272" s="644"/>
      <c r="P272" s="329" t="s">
        <v>318</v>
      </c>
      <c r="Q272" s="331">
        <v>2</v>
      </c>
      <c r="R272" s="308">
        <v>256.5</v>
      </c>
      <c r="S272" s="307">
        <f t="shared" si="26"/>
        <v>513</v>
      </c>
      <c r="T272" s="27"/>
    </row>
    <row r="273" spans="1:20" x14ac:dyDescent="0.25">
      <c r="A273" s="592"/>
      <c r="B273" s="213"/>
      <c r="C273" s="632"/>
      <c r="D273" s="617"/>
      <c r="E273" s="612"/>
      <c r="F273" s="625"/>
      <c r="G273" s="609"/>
      <c r="H273" s="609"/>
      <c r="I273" s="614"/>
      <c r="J273" s="609"/>
      <c r="K273" s="609"/>
      <c r="L273" s="609"/>
      <c r="M273" s="612"/>
      <c r="N273" s="606"/>
      <c r="O273" s="644"/>
      <c r="P273" s="330" t="s">
        <v>325</v>
      </c>
      <c r="Q273" s="307">
        <v>0.01</v>
      </c>
      <c r="R273" s="308">
        <v>649</v>
      </c>
      <c r="S273" s="307">
        <f t="shared" si="26"/>
        <v>6.49</v>
      </c>
      <c r="T273" s="27"/>
    </row>
    <row r="274" spans="1:20" x14ac:dyDescent="0.25">
      <c r="A274" s="592"/>
      <c r="B274" s="213"/>
      <c r="C274" s="632"/>
      <c r="D274" s="617"/>
      <c r="E274" s="612"/>
      <c r="F274" s="625"/>
      <c r="G274" s="609"/>
      <c r="H274" s="609"/>
      <c r="I274" s="614"/>
      <c r="J274" s="609"/>
      <c r="K274" s="609"/>
      <c r="L274" s="609"/>
      <c r="M274" s="612"/>
      <c r="N274" s="606"/>
      <c r="O274" s="644"/>
      <c r="P274" s="330" t="s">
        <v>324</v>
      </c>
      <c r="Q274" s="331">
        <v>1</v>
      </c>
      <c r="R274" s="308">
        <v>44</v>
      </c>
      <c r="S274" s="307">
        <f t="shared" si="26"/>
        <v>44</v>
      </c>
      <c r="T274" s="27"/>
    </row>
    <row r="275" spans="1:20" ht="31.5" x14ac:dyDescent="0.25">
      <c r="A275" s="592"/>
      <c r="B275" s="213"/>
      <c r="C275" s="632"/>
      <c r="D275" s="617"/>
      <c r="E275" s="490"/>
      <c r="F275" s="626"/>
      <c r="G275" s="610"/>
      <c r="H275" s="610"/>
      <c r="I275" s="615"/>
      <c r="J275" s="610"/>
      <c r="K275" s="610"/>
      <c r="L275" s="610"/>
      <c r="M275" s="490"/>
      <c r="N275" s="607"/>
      <c r="O275" s="645"/>
      <c r="P275" s="329" t="s">
        <v>291</v>
      </c>
      <c r="Q275" s="307">
        <v>0.02</v>
      </c>
      <c r="R275" s="308">
        <v>34</v>
      </c>
      <c r="S275" s="307">
        <f t="shared" si="26"/>
        <v>0.68</v>
      </c>
      <c r="T275" s="27"/>
    </row>
    <row r="276" spans="1:20" x14ac:dyDescent="0.25">
      <c r="A276" s="592"/>
      <c r="B276" s="213"/>
      <c r="C276" s="628"/>
      <c r="D276" s="604"/>
      <c r="E276" s="34" t="s">
        <v>294</v>
      </c>
      <c r="F276" s="30"/>
      <c r="G276" s="27">
        <v>1.26</v>
      </c>
      <c r="H276" s="27">
        <v>1</v>
      </c>
      <c r="I276" s="238">
        <f t="shared" ref="I276" si="29">H276*G276</f>
        <v>1.26</v>
      </c>
      <c r="J276" s="27"/>
      <c r="K276" s="27"/>
      <c r="L276" s="27"/>
      <c r="M276" s="387">
        <v>4</v>
      </c>
      <c r="N276" s="385">
        <v>454.87</v>
      </c>
      <c r="O276" s="328">
        <f t="shared" si="28"/>
        <v>573.13620000000003</v>
      </c>
      <c r="P276" s="329" t="s">
        <v>328</v>
      </c>
      <c r="Q276" s="27"/>
      <c r="R276" s="308"/>
      <c r="S276" s="307"/>
      <c r="T276" s="27"/>
    </row>
    <row r="277" spans="1:20" x14ac:dyDescent="0.25">
      <c r="A277" s="592"/>
      <c r="B277" s="213"/>
      <c r="C277" s="627" t="s">
        <v>333</v>
      </c>
      <c r="D277" s="603">
        <v>1</v>
      </c>
      <c r="E277" s="30" t="s">
        <v>43</v>
      </c>
      <c r="F277" s="30"/>
      <c r="G277" s="326">
        <v>5.0000000000000001E-3</v>
      </c>
      <c r="H277" s="335">
        <v>2</v>
      </c>
      <c r="I277" s="333">
        <v>1.9305000000000001</v>
      </c>
      <c r="J277" s="336"/>
      <c r="K277" s="27"/>
      <c r="L277" s="27"/>
      <c r="M277" s="387">
        <v>6</v>
      </c>
      <c r="N277" s="385">
        <v>454.87</v>
      </c>
      <c r="O277" s="328">
        <f t="shared" si="28"/>
        <v>878.1265350000001</v>
      </c>
      <c r="P277" s="329"/>
      <c r="Q277" s="27"/>
      <c r="R277" s="308"/>
      <c r="S277" s="307"/>
      <c r="T277" s="27"/>
    </row>
    <row r="278" spans="1:20" x14ac:dyDescent="0.25">
      <c r="A278" s="592"/>
      <c r="B278" s="213"/>
      <c r="C278" s="628"/>
      <c r="D278" s="604"/>
      <c r="E278" s="30" t="s">
        <v>44</v>
      </c>
      <c r="F278" s="30"/>
      <c r="G278" s="326">
        <v>5.0000000000000001E-4</v>
      </c>
      <c r="H278" s="335">
        <v>4</v>
      </c>
      <c r="I278" s="333">
        <v>0.19305</v>
      </c>
      <c r="J278" s="27"/>
      <c r="K278" s="27"/>
      <c r="L278" s="27"/>
      <c r="M278" s="387">
        <v>6</v>
      </c>
      <c r="N278" s="385">
        <v>454.87</v>
      </c>
      <c r="O278" s="328">
        <f t="shared" si="28"/>
        <v>87.812653499999996</v>
      </c>
      <c r="P278" s="330"/>
      <c r="Q278" s="27"/>
      <c r="R278" s="308"/>
      <c r="S278" s="307"/>
      <c r="T278" s="27"/>
    </row>
    <row r="279" spans="1:20" x14ac:dyDescent="0.25">
      <c r="A279" s="592"/>
      <c r="B279" s="213"/>
      <c r="C279" s="627" t="s">
        <v>343</v>
      </c>
      <c r="D279" s="603">
        <v>1</v>
      </c>
      <c r="E279" s="30" t="s">
        <v>43</v>
      </c>
      <c r="F279" s="30"/>
      <c r="G279" s="332">
        <v>2E-3</v>
      </c>
      <c r="H279" s="332">
        <v>2</v>
      </c>
      <c r="I279" s="333">
        <v>3.0888</v>
      </c>
      <c r="J279" s="333">
        <v>6</v>
      </c>
      <c r="K279" s="334"/>
      <c r="L279" s="334"/>
      <c r="M279" s="399">
        <v>6</v>
      </c>
      <c r="N279" s="385">
        <v>454.87</v>
      </c>
      <c r="O279" s="328">
        <f t="shared" si="28"/>
        <v>1405.0024559999999</v>
      </c>
      <c r="P279" s="329"/>
      <c r="Q279" s="307"/>
      <c r="R279" s="308"/>
      <c r="S279" s="307"/>
      <c r="T279" s="27"/>
    </row>
    <row r="280" spans="1:20" x14ac:dyDescent="0.25">
      <c r="A280" s="592"/>
      <c r="B280" s="213"/>
      <c r="C280" s="628"/>
      <c r="D280" s="604"/>
      <c r="E280" s="30" t="s">
        <v>44</v>
      </c>
      <c r="F280" s="30"/>
      <c r="G280" s="332">
        <v>2E-3</v>
      </c>
      <c r="H280" s="332">
        <v>4</v>
      </c>
      <c r="I280" s="333">
        <v>3.0888</v>
      </c>
      <c r="J280" s="333">
        <v>6</v>
      </c>
      <c r="K280" s="27"/>
      <c r="L280" s="27"/>
      <c r="M280" s="387">
        <v>6</v>
      </c>
      <c r="N280" s="385">
        <v>454.87</v>
      </c>
      <c r="O280" s="328">
        <f t="shared" si="28"/>
        <v>1405.0024559999999</v>
      </c>
      <c r="P280" s="330"/>
      <c r="Q280" s="27"/>
      <c r="R280" s="308"/>
      <c r="S280" s="307"/>
      <c r="T280" s="27"/>
    </row>
    <row r="281" spans="1:20" x14ac:dyDescent="0.25">
      <c r="A281" s="592"/>
      <c r="B281" s="213"/>
      <c r="C281" s="627" t="s">
        <v>344</v>
      </c>
      <c r="D281" s="603">
        <v>1</v>
      </c>
      <c r="E281" s="30" t="s">
        <v>43</v>
      </c>
      <c r="F281" s="30"/>
      <c r="G281" s="326">
        <v>5.0000000000000001E-3</v>
      </c>
      <c r="H281" s="335">
        <v>2</v>
      </c>
      <c r="I281" s="333">
        <v>1.9305000000000001</v>
      </c>
      <c r="J281" s="336"/>
      <c r="K281" s="27"/>
      <c r="L281" s="27"/>
      <c r="M281" s="387">
        <v>6</v>
      </c>
      <c r="N281" s="385">
        <v>454.87</v>
      </c>
      <c r="O281" s="328">
        <f t="shared" si="28"/>
        <v>878.1265350000001</v>
      </c>
      <c r="P281" s="330"/>
      <c r="Q281" s="27"/>
      <c r="R281" s="308"/>
      <c r="S281" s="307"/>
      <c r="T281" s="27"/>
    </row>
    <row r="282" spans="1:20" x14ac:dyDescent="0.25">
      <c r="A282" s="592"/>
      <c r="B282" s="213"/>
      <c r="C282" s="628"/>
      <c r="D282" s="604"/>
      <c r="E282" s="30" t="s">
        <v>44</v>
      </c>
      <c r="F282" s="30"/>
      <c r="G282" s="326">
        <v>5.0000000000000001E-4</v>
      </c>
      <c r="H282" s="335">
        <v>4</v>
      </c>
      <c r="I282" s="333">
        <v>0.19305</v>
      </c>
      <c r="J282" s="27"/>
      <c r="K282" s="27"/>
      <c r="L282" s="27"/>
      <c r="M282" s="387">
        <v>6</v>
      </c>
      <c r="N282" s="385">
        <v>454.87</v>
      </c>
      <c r="O282" s="328">
        <f t="shared" si="28"/>
        <v>87.812653499999996</v>
      </c>
      <c r="P282" s="330"/>
      <c r="Q282" s="27"/>
      <c r="R282" s="308"/>
      <c r="S282" s="307"/>
      <c r="T282" s="27"/>
    </row>
    <row r="283" spans="1:20" x14ac:dyDescent="0.25">
      <c r="A283" s="592"/>
      <c r="B283" s="213"/>
      <c r="C283" s="627" t="s">
        <v>345</v>
      </c>
      <c r="D283" s="603">
        <v>2</v>
      </c>
      <c r="E283" s="30" t="s">
        <v>43</v>
      </c>
      <c r="F283" s="30"/>
      <c r="G283" s="332">
        <v>1E-3</v>
      </c>
      <c r="H283" s="332">
        <v>2</v>
      </c>
      <c r="I283" s="337">
        <v>3.0888</v>
      </c>
      <c r="J283" s="27"/>
      <c r="K283" s="27"/>
      <c r="L283" s="27"/>
      <c r="M283" s="387">
        <v>6</v>
      </c>
      <c r="N283" s="385">
        <v>454.87</v>
      </c>
      <c r="O283" s="328">
        <f t="shared" si="28"/>
        <v>1405.0024559999999</v>
      </c>
      <c r="P283" s="330"/>
      <c r="Q283" s="27"/>
      <c r="R283" s="308"/>
      <c r="S283" s="307"/>
      <c r="T283" s="27"/>
    </row>
    <row r="284" spans="1:20" x14ac:dyDescent="0.25">
      <c r="A284" s="592"/>
      <c r="B284" s="213"/>
      <c r="C284" s="628"/>
      <c r="D284" s="604"/>
      <c r="E284" s="30" t="s">
        <v>44</v>
      </c>
      <c r="F284" s="30"/>
      <c r="G284" s="332">
        <v>1E-4</v>
      </c>
      <c r="H284" s="332">
        <v>4</v>
      </c>
      <c r="I284" s="338">
        <v>0.30887999999999999</v>
      </c>
      <c r="J284" s="27"/>
      <c r="K284" s="27"/>
      <c r="L284" s="27"/>
      <c r="M284" s="387">
        <v>6</v>
      </c>
      <c r="N284" s="385">
        <v>454.87</v>
      </c>
      <c r="O284" s="328">
        <f t="shared" si="28"/>
        <v>140.5002456</v>
      </c>
      <c r="P284" s="330"/>
      <c r="Q284" s="27"/>
      <c r="R284" s="308"/>
      <c r="S284" s="307"/>
      <c r="T284" s="27"/>
    </row>
    <row r="285" spans="1:20" x14ac:dyDescent="0.25">
      <c r="A285" s="593"/>
      <c r="B285" s="340"/>
      <c r="C285" s="240" t="s">
        <v>346</v>
      </c>
      <c r="D285" s="240">
        <v>1</v>
      </c>
      <c r="E285" s="30" t="s">
        <v>44</v>
      </c>
      <c r="F285" s="30"/>
      <c r="G285" s="326">
        <v>5.0000000000000001E-4</v>
      </c>
      <c r="H285" s="335">
        <v>4</v>
      </c>
      <c r="I285" s="333">
        <v>0.19305</v>
      </c>
      <c r="J285" s="27"/>
      <c r="K285" s="27"/>
      <c r="L285" s="27"/>
      <c r="M285" s="387">
        <v>6</v>
      </c>
      <c r="N285" s="385">
        <v>454.87</v>
      </c>
      <c r="O285" s="328">
        <f t="shared" si="28"/>
        <v>87.812653499999996</v>
      </c>
      <c r="P285" s="330"/>
      <c r="Q285" s="27"/>
      <c r="R285" s="308"/>
      <c r="S285" s="307"/>
      <c r="T285" s="27"/>
    </row>
    <row r="286" spans="1:20" ht="31.5" x14ac:dyDescent="0.25">
      <c r="A286" s="591">
        <v>3</v>
      </c>
      <c r="B286" s="594" t="s">
        <v>1029</v>
      </c>
      <c r="C286" s="627" t="s">
        <v>289</v>
      </c>
      <c r="D286" s="603">
        <v>1</v>
      </c>
      <c r="E286" s="30" t="s">
        <v>290</v>
      </c>
      <c r="F286" s="221"/>
      <c r="G286" s="221">
        <v>0.18</v>
      </c>
      <c r="H286" s="221">
        <v>8</v>
      </c>
      <c r="I286" s="221">
        <v>1.44</v>
      </c>
      <c r="J286" s="221"/>
      <c r="K286" s="221"/>
      <c r="L286" s="221"/>
      <c r="M286" s="385">
        <v>6</v>
      </c>
      <c r="N286" s="385">
        <v>454.87</v>
      </c>
      <c r="O286" s="328">
        <f t="shared" si="28"/>
        <v>655.01279999999997</v>
      </c>
      <c r="P286" s="329" t="s">
        <v>291</v>
      </c>
      <c r="Q286" s="307">
        <v>5.0000000000000001E-3</v>
      </c>
      <c r="R286" s="308">
        <v>34</v>
      </c>
      <c r="S286" s="307">
        <f t="shared" si="26"/>
        <v>0.17</v>
      </c>
      <c r="T286" s="27"/>
    </row>
    <row r="287" spans="1:20" ht="31.5" x14ac:dyDescent="0.25">
      <c r="A287" s="592"/>
      <c r="B287" s="595"/>
      <c r="C287" s="632"/>
      <c r="D287" s="617"/>
      <c r="E287" s="30" t="s">
        <v>292</v>
      </c>
      <c r="F287" s="221"/>
      <c r="G287" s="221">
        <v>0.73</v>
      </c>
      <c r="H287" s="221">
        <v>3</v>
      </c>
      <c r="I287" s="221">
        <v>2.19</v>
      </c>
      <c r="J287" s="221"/>
      <c r="K287" s="221"/>
      <c r="L287" s="221"/>
      <c r="M287" s="385">
        <v>6</v>
      </c>
      <c r="N287" s="385">
        <v>454.87</v>
      </c>
      <c r="O287" s="328">
        <f t="shared" si="28"/>
        <v>996.1653</v>
      </c>
      <c r="P287" s="329" t="s">
        <v>293</v>
      </c>
      <c r="Q287" s="307">
        <v>4.0000000000000001E-3</v>
      </c>
      <c r="R287" s="308">
        <v>11200</v>
      </c>
      <c r="S287" s="307">
        <f t="shared" si="26"/>
        <v>44.800000000000004</v>
      </c>
      <c r="T287" s="27"/>
    </row>
    <row r="288" spans="1:20" ht="31.5" x14ac:dyDescent="0.25">
      <c r="A288" s="592"/>
      <c r="B288" s="595"/>
      <c r="C288" s="628"/>
      <c r="D288" s="604"/>
      <c r="E288" s="30" t="s">
        <v>294</v>
      </c>
      <c r="F288" s="215"/>
      <c r="G288" s="215">
        <v>5.75</v>
      </c>
      <c r="H288" s="215">
        <v>1</v>
      </c>
      <c r="I288" s="32">
        <v>5.75</v>
      </c>
      <c r="J288" s="215"/>
      <c r="K288" s="215"/>
      <c r="L288" s="215"/>
      <c r="M288" s="386">
        <v>6</v>
      </c>
      <c r="N288" s="385">
        <v>454.87</v>
      </c>
      <c r="O288" s="328">
        <f t="shared" si="28"/>
        <v>2615.5025000000001</v>
      </c>
      <c r="P288" s="329" t="s">
        <v>295</v>
      </c>
      <c r="Q288" s="307">
        <v>3.0000000000000001E-3</v>
      </c>
      <c r="R288" s="308">
        <v>2350</v>
      </c>
      <c r="S288" s="307">
        <f t="shared" si="26"/>
        <v>7.05</v>
      </c>
      <c r="T288" s="27"/>
    </row>
    <row r="289" spans="1:20" ht="31.5" x14ac:dyDescent="0.25">
      <c r="A289" s="592"/>
      <c r="B289" s="595"/>
      <c r="C289" s="627" t="s">
        <v>347</v>
      </c>
      <c r="D289" s="603">
        <v>1</v>
      </c>
      <c r="E289" s="611" t="s">
        <v>290</v>
      </c>
      <c r="F289" s="634"/>
      <c r="G289" s="611">
        <v>1.03</v>
      </c>
      <c r="H289" s="611">
        <v>8</v>
      </c>
      <c r="I289" s="618">
        <f>H289*G289</f>
        <v>8.24</v>
      </c>
      <c r="J289" s="621"/>
      <c r="K289" s="624"/>
      <c r="L289" s="624"/>
      <c r="M289" s="611">
        <v>4</v>
      </c>
      <c r="N289" s="633">
        <v>454.87</v>
      </c>
      <c r="O289" s="643">
        <f t="shared" si="28"/>
        <v>3748.1288</v>
      </c>
      <c r="P289" s="329" t="s">
        <v>297</v>
      </c>
      <c r="Q289" s="307">
        <v>0.04</v>
      </c>
      <c r="R289" s="308">
        <v>875.26</v>
      </c>
      <c r="S289" s="307">
        <f t="shared" si="26"/>
        <v>35.010399999999997</v>
      </c>
      <c r="T289" s="27"/>
    </row>
    <row r="290" spans="1:20" x14ac:dyDescent="0.25">
      <c r="A290" s="592"/>
      <c r="B290" s="595"/>
      <c r="C290" s="632"/>
      <c r="D290" s="617"/>
      <c r="E290" s="612"/>
      <c r="F290" s="625"/>
      <c r="G290" s="612"/>
      <c r="H290" s="612"/>
      <c r="I290" s="619"/>
      <c r="J290" s="622"/>
      <c r="K290" s="625"/>
      <c r="L290" s="625"/>
      <c r="M290" s="612"/>
      <c r="N290" s="606"/>
      <c r="O290" s="644"/>
      <c r="P290" s="329" t="s">
        <v>298</v>
      </c>
      <c r="Q290" s="307">
        <v>0.05</v>
      </c>
      <c r="R290" s="308">
        <v>179.8</v>
      </c>
      <c r="S290" s="307">
        <f t="shared" si="26"/>
        <v>8.99</v>
      </c>
      <c r="T290" s="27"/>
    </row>
    <row r="291" spans="1:20" ht="31.5" x14ac:dyDescent="0.25">
      <c r="A291" s="592"/>
      <c r="B291" s="595"/>
      <c r="C291" s="632"/>
      <c r="D291" s="617"/>
      <c r="E291" s="612"/>
      <c r="F291" s="625"/>
      <c r="G291" s="612"/>
      <c r="H291" s="612"/>
      <c r="I291" s="619"/>
      <c r="J291" s="622"/>
      <c r="K291" s="625"/>
      <c r="L291" s="625"/>
      <c r="M291" s="612"/>
      <c r="N291" s="606"/>
      <c r="O291" s="644"/>
      <c r="P291" s="329" t="s">
        <v>291</v>
      </c>
      <c r="Q291" s="307">
        <v>0.1</v>
      </c>
      <c r="R291" s="308">
        <v>34</v>
      </c>
      <c r="S291" s="307">
        <f t="shared" si="26"/>
        <v>3.4000000000000004</v>
      </c>
      <c r="T291" s="27"/>
    </row>
    <row r="292" spans="1:20" x14ac:dyDescent="0.25">
      <c r="A292" s="592"/>
      <c r="B292" s="595"/>
      <c r="C292" s="632"/>
      <c r="D292" s="617"/>
      <c r="E292" s="612"/>
      <c r="F292" s="625"/>
      <c r="G292" s="612"/>
      <c r="H292" s="612"/>
      <c r="I292" s="619"/>
      <c r="J292" s="622"/>
      <c r="K292" s="625"/>
      <c r="L292" s="625"/>
      <c r="M292" s="612"/>
      <c r="N292" s="606"/>
      <c r="O292" s="644"/>
      <c r="P292" s="329" t="s">
        <v>299</v>
      </c>
      <c r="Q292" s="307">
        <v>2</v>
      </c>
      <c r="R292" s="308">
        <v>4.0999999999999996</v>
      </c>
      <c r="S292" s="307">
        <f t="shared" si="26"/>
        <v>8.1999999999999993</v>
      </c>
      <c r="T292" s="27"/>
    </row>
    <row r="293" spans="1:20" x14ac:dyDescent="0.25">
      <c r="A293" s="592"/>
      <c r="B293" s="595"/>
      <c r="C293" s="632"/>
      <c r="D293" s="617"/>
      <c r="E293" s="490"/>
      <c r="F293" s="626"/>
      <c r="G293" s="490"/>
      <c r="H293" s="490"/>
      <c r="I293" s="620"/>
      <c r="J293" s="623"/>
      <c r="K293" s="626"/>
      <c r="L293" s="626"/>
      <c r="M293" s="490"/>
      <c r="N293" s="607"/>
      <c r="O293" s="645"/>
      <c r="P293" s="329" t="s">
        <v>300</v>
      </c>
      <c r="Q293" s="307">
        <v>0.25</v>
      </c>
      <c r="R293" s="308">
        <v>272</v>
      </c>
      <c r="S293" s="307">
        <f t="shared" si="26"/>
        <v>68</v>
      </c>
      <c r="T293" s="27"/>
    </row>
    <row r="294" spans="1:20" x14ac:dyDescent="0.25">
      <c r="A294" s="592"/>
      <c r="B294" s="595"/>
      <c r="C294" s="632"/>
      <c r="D294" s="617"/>
      <c r="E294" s="611" t="s">
        <v>292</v>
      </c>
      <c r="F294" s="634"/>
      <c r="G294" s="608">
        <v>2.46</v>
      </c>
      <c r="H294" s="608">
        <v>3</v>
      </c>
      <c r="I294" s="613">
        <f t="shared" ref="I294" si="30">H294*G294</f>
        <v>7.38</v>
      </c>
      <c r="J294" s="608"/>
      <c r="K294" s="608"/>
      <c r="L294" s="608"/>
      <c r="M294" s="611">
        <v>4</v>
      </c>
      <c r="N294" s="633">
        <v>454.87</v>
      </c>
      <c r="O294" s="643">
        <f t="shared" si="28"/>
        <v>3356.9405999999999</v>
      </c>
      <c r="P294" s="329" t="s">
        <v>298</v>
      </c>
      <c r="Q294" s="307">
        <v>0.2</v>
      </c>
      <c r="R294" s="308">
        <v>179.8</v>
      </c>
      <c r="S294" s="307">
        <f t="shared" si="26"/>
        <v>35.96</v>
      </c>
      <c r="T294" s="27"/>
    </row>
    <row r="295" spans="1:20" ht="31.5" x14ac:dyDescent="0.25">
      <c r="A295" s="592"/>
      <c r="B295" s="595"/>
      <c r="C295" s="632"/>
      <c r="D295" s="617"/>
      <c r="E295" s="612"/>
      <c r="F295" s="625"/>
      <c r="G295" s="609"/>
      <c r="H295" s="609"/>
      <c r="I295" s="614"/>
      <c r="J295" s="609"/>
      <c r="K295" s="609"/>
      <c r="L295" s="609"/>
      <c r="M295" s="612"/>
      <c r="N295" s="606"/>
      <c r="O295" s="644"/>
      <c r="P295" s="329" t="s">
        <v>297</v>
      </c>
      <c r="Q295" s="307">
        <v>0.01</v>
      </c>
      <c r="R295" s="308">
        <v>875.26</v>
      </c>
      <c r="S295" s="307">
        <f t="shared" si="26"/>
        <v>8.7525999999999993</v>
      </c>
      <c r="T295" s="27"/>
    </row>
    <row r="296" spans="1:20" ht="31.5" x14ac:dyDescent="0.25">
      <c r="A296" s="592"/>
      <c r="B296" s="595"/>
      <c r="C296" s="632"/>
      <c r="D296" s="617"/>
      <c r="E296" s="612"/>
      <c r="F296" s="625"/>
      <c r="G296" s="609"/>
      <c r="H296" s="609"/>
      <c r="I296" s="614"/>
      <c r="J296" s="609"/>
      <c r="K296" s="609"/>
      <c r="L296" s="609"/>
      <c r="M296" s="612"/>
      <c r="N296" s="606"/>
      <c r="O296" s="644"/>
      <c r="P296" s="329" t="s">
        <v>293</v>
      </c>
      <c r="Q296" s="307">
        <v>6.0000000000000001E-3</v>
      </c>
      <c r="R296" s="308">
        <v>11200</v>
      </c>
      <c r="S296" s="307">
        <f t="shared" si="26"/>
        <v>67.2</v>
      </c>
      <c r="T296" s="27"/>
    </row>
    <row r="297" spans="1:20" ht="31.5" x14ac:dyDescent="0.25">
      <c r="A297" s="592"/>
      <c r="B297" s="595"/>
      <c r="C297" s="632"/>
      <c r="D297" s="617"/>
      <c r="E297" s="612"/>
      <c r="F297" s="625"/>
      <c r="G297" s="609"/>
      <c r="H297" s="609"/>
      <c r="I297" s="614"/>
      <c r="J297" s="609"/>
      <c r="K297" s="609"/>
      <c r="L297" s="609"/>
      <c r="M297" s="612"/>
      <c r="N297" s="606"/>
      <c r="O297" s="644"/>
      <c r="P297" s="329" t="s">
        <v>295</v>
      </c>
      <c r="Q297" s="307">
        <v>4.0000000000000001E-3</v>
      </c>
      <c r="R297" s="308">
        <v>2350</v>
      </c>
      <c r="S297" s="307">
        <f t="shared" si="26"/>
        <v>9.4</v>
      </c>
      <c r="T297" s="27"/>
    </row>
    <row r="298" spans="1:20" ht="31.5" x14ac:dyDescent="0.25">
      <c r="A298" s="592"/>
      <c r="B298" s="595"/>
      <c r="C298" s="632"/>
      <c r="D298" s="617"/>
      <c r="E298" s="612"/>
      <c r="F298" s="625"/>
      <c r="G298" s="609"/>
      <c r="H298" s="609"/>
      <c r="I298" s="614"/>
      <c r="J298" s="609"/>
      <c r="K298" s="609"/>
      <c r="L298" s="609"/>
      <c r="M298" s="612"/>
      <c r="N298" s="606"/>
      <c r="O298" s="644"/>
      <c r="P298" s="329" t="s">
        <v>301</v>
      </c>
      <c r="Q298" s="307">
        <v>0.05</v>
      </c>
      <c r="R298" s="308">
        <v>1148</v>
      </c>
      <c r="S298" s="307">
        <f t="shared" si="26"/>
        <v>57.400000000000006</v>
      </c>
      <c r="T298" s="27"/>
    </row>
    <row r="299" spans="1:20" ht="31.5" x14ac:dyDescent="0.25">
      <c r="A299" s="592"/>
      <c r="B299" s="595"/>
      <c r="C299" s="632"/>
      <c r="D299" s="617"/>
      <c r="E299" s="612"/>
      <c r="F299" s="625"/>
      <c r="G299" s="609"/>
      <c r="H299" s="609"/>
      <c r="I299" s="614"/>
      <c r="J299" s="609"/>
      <c r="K299" s="609"/>
      <c r="L299" s="609"/>
      <c r="M299" s="612"/>
      <c r="N299" s="606"/>
      <c r="O299" s="644"/>
      <c r="P299" s="329" t="s">
        <v>291</v>
      </c>
      <c r="Q299" s="307">
        <v>0.02</v>
      </c>
      <c r="R299" s="308">
        <v>34</v>
      </c>
      <c r="S299" s="307">
        <f t="shared" si="26"/>
        <v>0.68</v>
      </c>
      <c r="T299" s="27"/>
    </row>
    <row r="300" spans="1:20" x14ac:dyDescent="0.25">
      <c r="A300" s="592"/>
      <c r="B300" s="595"/>
      <c r="C300" s="632"/>
      <c r="D300" s="617"/>
      <c r="E300" s="612"/>
      <c r="F300" s="625"/>
      <c r="G300" s="609"/>
      <c r="H300" s="609"/>
      <c r="I300" s="614"/>
      <c r="J300" s="609"/>
      <c r="K300" s="609"/>
      <c r="L300" s="609"/>
      <c r="M300" s="612"/>
      <c r="N300" s="606"/>
      <c r="O300" s="644"/>
      <c r="P300" s="329" t="s">
        <v>300</v>
      </c>
      <c r="Q300" s="307">
        <v>0.25</v>
      </c>
      <c r="R300" s="308">
        <v>272</v>
      </c>
      <c r="S300" s="307">
        <f t="shared" si="26"/>
        <v>68</v>
      </c>
      <c r="T300" s="27"/>
    </row>
    <row r="301" spans="1:20" x14ac:dyDescent="0.25">
      <c r="A301" s="592"/>
      <c r="B301" s="595"/>
      <c r="C301" s="632"/>
      <c r="D301" s="617"/>
      <c r="E301" s="612"/>
      <c r="F301" s="625"/>
      <c r="G301" s="609"/>
      <c r="H301" s="609"/>
      <c r="I301" s="614"/>
      <c r="J301" s="609"/>
      <c r="K301" s="609"/>
      <c r="L301" s="609"/>
      <c r="M301" s="612"/>
      <c r="N301" s="606"/>
      <c r="O301" s="644"/>
      <c r="P301" s="329" t="s">
        <v>302</v>
      </c>
      <c r="Q301" s="307">
        <v>0.08</v>
      </c>
      <c r="R301" s="308">
        <v>950</v>
      </c>
      <c r="S301" s="307">
        <f t="shared" si="26"/>
        <v>76</v>
      </c>
      <c r="T301" s="27"/>
    </row>
    <row r="302" spans="1:20" ht="31.5" x14ac:dyDescent="0.25">
      <c r="A302" s="592"/>
      <c r="B302" s="595"/>
      <c r="C302" s="632"/>
      <c r="D302" s="617"/>
      <c r="E302" s="490"/>
      <c r="F302" s="626"/>
      <c r="G302" s="610"/>
      <c r="H302" s="610"/>
      <c r="I302" s="615"/>
      <c r="J302" s="610"/>
      <c r="K302" s="610"/>
      <c r="L302" s="610"/>
      <c r="M302" s="490"/>
      <c r="N302" s="607"/>
      <c r="O302" s="645"/>
      <c r="P302" s="329" t="s">
        <v>303</v>
      </c>
      <c r="Q302" s="307">
        <v>1</v>
      </c>
      <c r="R302" s="308">
        <v>6790</v>
      </c>
      <c r="S302" s="307">
        <f t="shared" si="26"/>
        <v>6790</v>
      </c>
      <c r="T302" s="27"/>
    </row>
    <row r="303" spans="1:20" ht="31.5" x14ac:dyDescent="0.25">
      <c r="A303" s="592"/>
      <c r="B303" s="595"/>
      <c r="C303" s="632"/>
      <c r="D303" s="617"/>
      <c r="E303" s="611" t="s">
        <v>294</v>
      </c>
      <c r="F303" s="634"/>
      <c r="G303" s="608">
        <v>8.51</v>
      </c>
      <c r="H303" s="608">
        <v>1</v>
      </c>
      <c r="I303" s="613">
        <f t="shared" ref="I303" si="31">H303*G303</f>
        <v>8.51</v>
      </c>
      <c r="J303" s="608"/>
      <c r="K303" s="608"/>
      <c r="L303" s="608"/>
      <c r="M303" s="611">
        <v>4</v>
      </c>
      <c r="N303" s="633">
        <v>454.87</v>
      </c>
      <c r="O303" s="643">
        <f t="shared" si="28"/>
        <v>3870.9436999999998</v>
      </c>
      <c r="P303" s="329" t="s">
        <v>293</v>
      </c>
      <c r="Q303" s="307">
        <v>6.0000000000000001E-3</v>
      </c>
      <c r="R303" s="308">
        <v>11200</v>
      </c>
      <c r="S303" s="307">
        <f t="shared" si="26"/>
        <v>67.2</v>
      </c>
      <c r="T303" s="27"/>
    </row>
    <row r="304" spans="1:20" ht="31.5" x14ac:dyDescent="0.25">
      <c r="A304" s="592"/>
      <c r="B304" s="595"/>
      <c r="C304" s="632"/>
      <c r="D304" s="617"/>
      <c r="E304" s="612"/>
      <c r="F304" s="625"/>
      <c r="G304" s="609"/>
      <c r="H304" s="609"/>
      <c r="I304" s="614"/>
      <c r="J304" s="609"/>
      <c r="K304" s="609"/>
      <c r="L304" s="609"/>
      <c r="M304" s="612"/>
      <c r="N304" s="606"/>
      <c r="O304" s="644"/>
      <c r="P304" s="329" t="s">
        <v>295</v>
      </c>
      <c r="Q304" s="307">
        <v>4.0000000000000001E-3</v>
      </c>
      <c r="R304" s="308">
        <v>2350</v>
      </c>
      <c r="S304" s="307">
        <f t="shared" si="26"/>
        <v>9.4</v>
      </c>
      <c r="T304" s="27"/>
    </row>
    <row r="305" spans="1:20" ht="31.5" x14ac:dyDescent="0.25">
      <c r="A305" s="592"/>
      <c r="B305" s="595"/>
      <c r="C305" s="632"/>
      <c r="D305" s="617"/>
      <c r="E305" s="612"/>
      <c r="F305" s="625"/>
      <c r="G305" s="609"/>
      <c r="H305" s="609"/>
      <c r="I305" s="614"/>
      <c r="J305" s="609"/>
      <c r="K305" s="609"/>
      <c r="L305" s="609"/>
      <c r="M305" s="612"/>
      <c r="N305" s="606"/>
      <c r="O305" s="644"/>
      <c r="P305" s="329" t="s">
        <v>291</v>
      </c>
      <c r="Q305" s="307">
        <v>0.02</v>
      </c>
      <c r="R305" s="308">
        <v>34</v>
      </c>
      <c r="S305" s="307">
        <f t="shared" si="26"/>
        <v>0.68</v>
      </c>
      <c r="T305" s="27"/>
    </row>
    <row r="306" spans="1:20" ht="31.5" x14ac:dyDescent="0.25">
      <c r="A306" s="592"/>
      <c r="B306" s="595"/>
      <c r="C306" s="632"/>
      <c r="D306" s="617"/>
      <c r="E306" s="612"/>
      <c r="F306" s="625"/>
      <c r="G306" s="609"/>
      <c r="H306" s="609"/>
      <c r="I306" s="614"/>
      <c r="J306" s="609"/>
      <c r="K306" s="609"/>
      <c r="L306" s="609"/>
      <c r="M306" s="612"/>
      <c r="N306" s="606"/>
      <c r="O306" s="644"/>
      <c r="P306" s="329" t="s">
        <v>301</v>
      </c>
      <c r="Q306" s="307">
        <v>0.05</v>
      </c>
      <c r="R306" s="308">
        <v>1148</v>
      </c>
      <c r="S306" s="307">
        <f t="shared" si="26"/>
        <v>57.400000000000006</v>
      </c>
      <c r="T306" s="27"/>
    </row>
    <row r="307" spans="1:20" x14ac:dyDescent="0.25">
      <c r="A307" s="592"/>
      <c r="B307" s="595"/>
      <c r="C307" s="632"/>
      <c r="D307" s="617"/>
      <c r="E307" s="612"/>
      <c r="F307" s="625"/>
      <c r="G307" s="609"/>
      <c r="H307" s="609"/>
      <c r="I307" s="614"/>
      <c r="J307" s="609"/>
      <c r="K307" s="609"/>
      <c r="L307" s="609"/>
      <c r="M307" s="612"/>
      <c r="N307" s="606"/>
      <c r="O307" s="644"/>
      <c r="P307" s="329" t="s">
        <v>300</v>
      </c>
      <c r="Q307" s="307">
        <v>0.25</v>
      </c>
      <c r="R307" s="308">
        <v>272</v>
      </c>
      <c r="S307" s="307">
        <f t="shared" si="26"/>
        <v>68</v>
      </c>
      <c r="T307" s="27"/>
    </row>
    <row r="308" spans="1:20" x14ac:dyDescent="0.25">
      <c r="A308" s="592"/>
      <c r="B308" s="595"/>
      <c r="C308" s="632"/>
      <c r="D308" s="617"/>
      <c r="E308" s="612"/>
      <c r="F308" s="625"/>
      <c r="G308" s="609"/>
      <c r="H308" s="609"/>
      <c r="I308" s="614"/>
      <c r="J308" s="609"/>
      <c r="K308" s="609"/>
      <c r="L308" s="609"/>
      <c r="M308" s="612"/>
      <c r="N308" s="606"/>
      <c r="O308" s="644"/>
      <c r="P308" s="329" t="s">
        <v>302</v>
      </c>
      <c r="Q308" s="307">
        <v>0.08</v>
      </c>
      <c r="R308" s="308">
        <v>950</v>
      </c>
      <c r="S308" s="307">
        <f t="shared" si="26"/>
        <v>76</v>
      </c>
      <c r="T308" s="27"/>
    </row>
    <row r="309" spans="1:20" ht="31.5" x14ac:dyDescent="0.25">
      <c r="A309" s="592"/>
      <c r="B309" s="595"/>
      <c r="C309" s="632"/>
      <c r="D309" s="617"/>
      <c r="E309" s="612"/>
      <c r="F309" s="625"/>
      <c r="G309" s="609"/>
      <c r="H309" s="609"/>
      <c r="I309" s="614"/>
      <c r="J309" s="609"/>
      <c r="K309" s="609"/>
      <c r="L309" s="609"/>
      <c r="M309" s="612"/>
      <c r="N309" s="606"/>
      <c r="O309" s="644"/>
      <c r="P309" s="329" t="s">
        <v>303</v>
      </c>
      <c r="Q309" s="307">
        <v>1</v>
      </c>
      <c r="R309" s="308">
        <v>6790</v>
      </c>
      <c r="S309" s="307">
        <f t="shared" si="26"/>
        <v>6790</v>
      </c>
      <c r="T309" s="27"/>
    </row>
    <row r="310" spans="1:20" ht="31.5" x14ac:dyDescent="0.25">
      <c r="A310" s="592"/>
      <c r="B310" s="595"/>
      <c r="C310" s="632"/>
      <c r="D310" s="617"/>
      <c r="E310" s="612"/>
      <c r="F310" s="625"/>
      <c r="G310" s="609"/>
      <c r="H310" s="609"/>
      <c r="I310" s="614"/>
      <c r="J310" s="609"/>
      <c r="K310" s="609"/>
      <c r="L310" s="609"/>
      <c r="M310" s="612"/>
      <c r="N310" s="606"/>
      <c r="O310" s="644"/>
      <c r="P310" s="329" t="s">
        <v>304</v>
      </c>
      <c r="Q310" s="307">
        <v>3</v>
      </c>
      <c r="R310" s="308">
        <v>256.5</v>
      </c>
      <c r="S310" s="307">
        <f t="shared" si="26"/>
        <v>769.5</v>
      </c>
      <c r="T310" s="27"/>
    </row>
    <row r="311" spans="1:20" ht="31.5" x14ac:dyDescent="0.25">
      <c r="A311" s="592"/>
      <c r="B311" s="595"/>
      <c r="C311" s="632"/>
      <c r="D311" s="617"/>
      <c r="E311" s="612"/>
      <c r="F311" s="625"/>
      <c r="G311" s="609"/>
      <c r="H311" s="609"/>
      <c r="I311" s="614"/>
      <c r="J311" s="609"/>
      <c r="K311" s="609"/>
      <c r="L311" s="609"/>
      <c r="M311" s="612"/>
      <c r="N311" s="606"/>
      <c r="O311" s="644"/>
      <c r="P311" s="329" t="s">
        <v>305</v>
      </c>
      <c r="Q311" s="307">
        <v>0.03</v>
      </c>
      <c r="R311" s="308">
        <v>165</v>
      </c>
      <c r="S311" s="307">
        <f t="shared" si="26"/>
        <v>4.95</v>
      </c>
      <c r="T311" s="27"/>
    </row>
    <row r="312" spans="1:20" ht="47.25" x14ac:dyDescent="0.25">
      <c r="A312" s="592"/>
      <c r="B312" s="595"/>
      <c r="C312" s="632"/>
      <c r="D312" s="617"/>
      <c r="E312" s="612"/>
      <c r="F312" s="625"/>
      <c r="G312" s="609"/>
      <c r="H312" s="609"/>
      <c r="I312" s="614"/>
      <c r="J312" s="609"/>
      <c r="K312" s="609"/>
      <c r="L312" s="609"/>
      <c r="M312" s="612"/>
      <c r="N312" s="606"/>
      <c r="O312" s="644"/>
      <c r="P312" s="329" t="s">
        <v>306</v>
      </c>
      <c r="Q312" s="307">
        <v>0.01</v>
      </c>
      <c r="R312" s="308">
        <v>207</v>
      </c>
      <c r="S312" s="307">
        <f t="shared" si="26"/>
        <v>2.0699999999999998</v>
      </c>
      <c r="T312" s="27"/>
    </row>
    <row r="313" spans="1:20" x14ac:dyDescent="0.25">
      <c r="A313" s="592"/>
      <c r="B313" s="595"/>
      <c r="C313" s="632"/>
      <c r="D313" s="617"/>
      <c r="E313" s="612"/>
      <c r="F313" s="625"/>
      <c r="G313" s="609"/>
      <c r="H313" s="609"/>
      <c r="I313" s="614"/>
      <c r="J313" s="609"/>
      <c r="K313" s="609"/>
      <c r="L313" s="609"/>
      <c r="M313" s="612"/>
      <c r="N313" s="606"/>
      <c r="O313" s="644"/>
      <c r="P313" s="329" t="s">
        <v>307</v>
      </c>
      <c r="Q313" s="307">
        <v>0.2</v>
      </c>
      <c r="R313" s="308">
        <v>133</v>
      </c>
      <c r="S313" s="307">
        <f t="shared" si="26"/>
        <v>26.6</v>
      </c>
      <c r="T313" s="27"/>
    </row>
    <row r="314" spans="1:20" x14ac:dyDescent="0.25">
      <c r="A314" s="592"/>
      <c r="B314" s="595"/>
      <c r="C314" s="632"/>
      <c r="D314" s="617"/>
      <c r="E314" s="612"/>
      <c r="F314" s="625"/>
      <c r="G314" s="609"/>
      <c r="H314" s="609"/>
      <c r="I314" s="614"/>
      <c r="J314" s="609"/>
      <c r="K314" s="609"/>
      <c r="L314" s="609"/>
      <c r="M314" s="612"/>
      <c r="N314" s="606"/>
      <c r="O314" s="644"/>
      <c r="P314" s="329" t="s">
        <v>308</v>
      </c>
      <c r="Q314" s="307">
        <v>0.25</v>
      </c>
      <c r="R314" s="308">
        <v>625</v>
      </c>
      <c r="S314" s="307">
        <f t="shared" si="26"/>
        <v>156.25</v>
      </c>
      <c r="T314" s="27"/>
    </row>
    <row r="315" spans="1:20" x14ac:dyDescent="0.25">
      <c r="A315" s="592"/>
      <c r="B315" s="595"/>
      <c r="C315" s="632"/>
      <c r="D315" s="617"/>
      <c r="E315" s="612"/>
      <c r="F315" s="625"/>
      <c r="G315" s="609"/>
      <c r="H315" s="609"/>
      <c r="I315" s="614"/>
      <c r="J315" s="609"/>
      <c r="K315" s="609"/>
      <c r="L315" s="609"/>
      <c r="M315" s="612"/>
      <c r="N315" s="606"/>
      <c r="O315" s="644"/>
      <c r="P315" s="329" t="s">
        <v>298</v>
      </c>
      <c r="Q315" s="307">
        <v>0.2</v>
      </c>
      <c r="R315" s="308">
        <v>179.8</v>
      </c>
      <c r="S315" s="307">
        <f t="shared" si="26"/>
        <v>35.96</v>
      </c>
      <c r="T315" s="27"/>
    </row>
    <row r="316" spans="1:20" ht="31.5" x14ac:dyDescent="0.25">
      <c r="A316" s="592"/>
      <c r="B316" s="595"/>
      <c r="C316" s="628"/>
      <c r="D316" s="604"/>
      <c r="E316" s="490"/>
      <c r="F316" s="626"/>
      <c r="G316" s="610"/>
      <c r="H316" s="610"/>
      <c r="I316" s="615"/>
      <c r="J316" s="610"/>
      <c r="K316" s="610"/>
      <c r="L316" s="610"/>
      <c r="M316" s="490"/>
      <c r="N316" s="607"/>
      <c r="O316" s="645"/>
      <c r="P316" s="329" t="s">
        <v>297</v>
      </c>
      <c r="Q316" s="307">
        <v>0.01</v>
      </c>
      <c r="R316" s="308">
        <v>875.26</v>
      </c>
      <c r="S316" s="307">
        <f t="shared" si="26"/>
        <v>8.7525999999999993</v>
      </c>
      <c r="T316" s="27"/>
    </row>
    <row r="317" spans="1:20" x14ac:dyDescent="0.25">
      <c r="A317" s="592"/>
      <c r="B317" s="595"/>
      <c r="C317" s="627" t="s">
        <v>340</v>
      </c>
      <c r="D317" s="603">
        <v>1</v>
      </c>
      <c r="E317" s="611" t="s">
        <v>290</v>
      </c>
      <c r="F317" s="30"/>
      <c r="G317" s="608">
        <v>0.32</v>
      </c>
      <c r="H317" s="608">
        <v>8</v>
      </c>
      <c r="I317" s="613">
        <f>H317*G317</f>
        <v>2.56</v>
      </c>
      <c r="J317" s="629"/>
      <c r="K317" s="608"/>
      <c r="L317" s="608"/>
      <c r="M317" s="611">
        <v>5</v>
      </c>
      <c r="N317" s="633">
        <v>454.87</v>
      </c>
      <c r="O317" s="643">
        <f t="shared" si="28"/>
        <v>1164.4672</v>
      </c>
      <c r="P317" s="329" t="s">
        <v>310</v>
      </c>
      <c r="Q317" s="307">
        <v>0.01</v>
      </c>
      <c r="R317" s="308">
        <v>272</v>
      </c>
      <c r="S317" s="307">
        <f t="shared" si="26"/>
        <v>2.72</v>
      </c>
      <c r="T317" s="27"/>
    </row>
    <row r="318" spans="1:20" x14ac:dyDescent="0.25">
      <c r="A318" s="592"/>
      <c r="B318" s="595"/>
      <c r="C318" s="632"/>
      <c r="D318" s="617"/>
      <c r="E318" s="612"/>
      <c r="F318" s="30"/>
      <c r="G318" s="609"/>
      <c r="H318" s="609"/>
      <c r="I318" s="614"/>
      <c r="J318" s="630"/>
      <c r="K318" s="609"/>
      <c r="L318" s="609"/>
      <c r="M318" s="612"/>
      <c r="N318" s="606"/>
      <c r="O318" s="644"/>
      <c r="P318" s="329" t="s">
        <v>298</v>
      </c>
      <c r="Q318" s="307">
        <v>0.03</v>
      </c>
      <c r="R318" s="308">
        <v>179.8</v>
      </c>
      <c r="S318" s="307">
        <f t="shared" si="26"/>
        <v>5.3940000000000001</v>
      </c>
      <c r="T318" s="27"/>
    </row>
    <row r="319" spans="1:20" ht="31.5" x14ac:dyDescent="0.25">
      <c r="A319" s="592"/>
      <c r="B319" s="595"/>
      <c r="C319" s="632"/>
      <c r="D319" s="617"/>
      <c r="E319" s="490"/>
      <c r="F319" s="30"/>
      <c r="G319" s="610"/>
      <c r="H319" s="610"/>
      <c r="I319" s="615"/>
      <c r="J319" s="631"/>
      <c r="K319" s="610"/>
      <c r="L319" s="610"/>
      <c r="M319" s="490"/>
      <c r="N319" s="607"/>
      <c r="O319" s="645"/>
      <c r="P319" s="329" t="s">
        <v>311</v>
      </c>
      <c r="Q319" s="307">
        <v>0.03</v>
      </c>
      <c r="R319" s="308">
        <v>1385</v>
      </c>
      <c r="S319" s="307">
        <f t="shared" si="26"/>
        <v>41.55</v>
      </c>
      <c r="T319" s="27"/>
    </row>
    <row r="320" spans="1:20" x14ac:dyDescent="0.25">
      <c r="A320" s="592"/>
      <c r="B320" s="595"/>
      <c r="C320" s="632"/>
      <c r="D320" s="617"/>
      <c r="E320" s="611" t="s">
        <v>292</v>
      </c>
      <c r="F320" s="30"/>
      <c r="G320" s="608">
        <v>0.63</v>
      </c>
      <c r="H320" s="608">
        <v>3</v>
      </c>
      <c r="I320" s="613">
        <f t="shared" ref="I320" si="32">H320*G320</f>
        <v>1.8900000000000001</v>
      </c>
      <c r="J320" s="608"/>
      <c r="K320" s="608"/>
      <c r="L320" s="608"/>
      <c r="M320" s="611">
        <v>5</v>
      </c>
      <c r="N320" s="633">
        <v>454.87</v>
      </c>
      <c r="O320" s="643">
        <f t="shared" si="28"/>
        <v>859.7043000000001</v>
      </c>
      <c r="P320" s="329" t="s">
        <v>310</v>
      </c>
      <c r="Q320" s="307">
        <v>0.01</v>
      </c>
      <c r="R320" s="308">
        <v>272</v>
      </c>
      <c r="S320" s="307">
        <f t="shared" si="26"/>
        <v>2.72</v>
      </c>
      <c r="T320" s="27"/>
    </row>
    <row r="321" spans="1:20" x14ac:dyDescent="0.25">
      <c r="A321" s="592"/>
      <c r="B321" s="595"/>
      <c r="C321" s="632"/>
      <c r="D321" s="617"/>
      <c r="E321" s="612"/>
      <c r="F321" s="30"/>
      <c r="G321" s="609"/>
      <c r="H321" s="609"/>
      <c r="I321" s="614"/>
      <c r="J321" s="609"/>
      <c r="K321" s="609"/>
      <c r="L321" s="609"/>
      <c r="M321" s="612"/>
      <c r="N321" s="606"/>
      <c r="O321" s="644"/>
      <c r="P321" s="329" t="s">
        <v>312</v>
      </c>
      <c r="Q321" s="307">
        <v>0.5</v>
      </c>
      <c r="R321" s="308">
        <v>272</v>
      </c>
      <c r="S321" s="307">
        <f t="shared" si="26"/>
        <v>136</v>
      </c>
      <c r="T321" s="27"/>
    </row>
    <row r="322" spans="1:20" x14ac:dyDescent="0.25">
      <c r="A322" s="592"/>
      <c r="B322" s="595"/>
      <c r="C322" s="632"/>
      <c r="D322" s="617"/>
      <c r="E322" s="612"/>
      <c r="F322" s="30"/>
      <c r="G322" s="609"/>
      <c r="H322" s="609"/>
      <c r="I322" s="614"/>
      <c r="J322" s="609"/>
      <c r="K322" s="609"/>
      <c r="L322" s="609"/>
      <c r="M322" s="612"/>
      <c r="N322" s="606"/>
      <c r="O322" s="644"/>
      <c r="P322" s="329" t="s">
        <v>313</v>
      </c>
      <c r="Q322" s="307">
        <v>0.1</v>
      </c>
      <c r="R322" s="308">
        <v>632</v>
      </c>
      <c r="S322" s="307">
        <f t="shared" si="26"/>
        <v>63.2</v>
      </c>
      <c r="T322" s="27"/>
    </row>
    <row r="323" spans="1:20" x14ac:dyDescent="0.25">
      <c r="A323" s="592"/>
      <c r="B323" s="595"/>
      <c r="C323" s="632"/>
      <c r="D323" s="617"/>
      <c r="E323" s="612"/>
      <c r="F323" s="30"/>
      <c r="G323" s="609"/>
      <c r="H323" s="609"/>
      <c r="I323" s="614"/>
      <c r="J323" s="609"/>
      <c r="K323" s="609"/>
      <c r="L323" s="609"/>
      <c r="M323" s="612"/>
      <c r="N323" s="606"/>
      <c r="O323" s="644"/>
      <c r="P323" s="329" t="s">
        <v>314</v>
      </c>
      <c r="Q323" s="307">
        <v>0.03</v>
      </c>
      <c r="R323" s="308">
        <v>179</v>
      </c>
      <c r="S323" s="307">
        <f t="shared" si="26"/>
        <v>5.37</v>
      </c>
      <c r="T323" s="27"/>
    </row>
    <row r="324" spans="1:20" ht="31.5" x14ac:dyDescent="0.25">
      <c r="A324" s="592"/>
      <c r="B324" s="595"/>
      <c r="C324" s="632"/>
      <c r="D324" s="617"/>
      <c r="E324" s="612"/>
      <c r="F324" s="30"/>
      <c r="G324" s="609"/>
      <c r="H324" s="609"/>
      <c r="I324" s="614"/>
      <c r="J324" s="609"/>
      <c r="K324" s="609"/>
      <c r="L324" s="609"/>
      <c r="M324" s="612"/>
      <c r="N324" s="606"/>
      <c r="O324" s="644"/>
      <c r="P324" s="329" t="s">
        <v>315</v>
      </c>
      <c r="Q324" s="307">
        <v>4.0000000000000001E-3</v>
      </c>
      <c r="R324" s="308">
        <v>302</v>
      </c>
      <c r="S324" s="307">
        <f t="shared" si="26"/>
        <v>1.208</v>
      </c>
      <c r="T324" s="27"/>
    </row>
    <row r="325" spans="1:20" ht="31.5" x14ac:dyDescent="0.25">
      <c r="A325" s="592"/>
      <c r="B325" s="595"/>
      <c r="C325" s="632"/>
      <c r="D325" s="617"/>
      <c r="E325" s="612"/>
      <c r="F325" s="30"/>
      <c r="G325" s="609"/>
      <c r="H325" s="609"/>
      <c r="I325" s="614"/>
      <c r="J325" s="609"/>
      <c r="K325" s="609"/>
      <c r="L325" s="609"/>
      <c r="M325" s="612"/>
      <c r="N325" s="606"/>
      <c r="O325" s="644"/>
      <c r="P325" s="329" t="s">
        <v>316</v>
      </c>
      <c r="Q325" s="307">
        <v>5.0000000000000001E-3</v>
      </c>
      <c r="R325" s="308">
        <v>950</v>
      </c>
      <c r="S325" s="307">
        <f t="shared" si="26"/>
        <v>4.75</v>
      </c>
      <c r="T325" s="27"/>
    </row>
    <row r="326" spans="1:20" ht="31.5" x14ac:dyDescent="0.25">
      <c r="A326" s="592"/>
      <c r="B326" s="595"/>
      <c r="C326" s="632"/>
      <c r="D326" s="617"/>
      <c r="E326" s="612"/>
      <c r="F326" s="30"/>
      <c r="G326" s="609"/>
      <c r="H326" s="609"/>
      <c r="I326" s="614"/>
      <c r="J326" s="609"/>
      <c r="K326" s="609"/>
      <c r="L326" s="609"/>
      <c r="M326" s="612"/>
      <c r="N326" s="606"/>
      <c r="O326" s="644"/>
      <c r="P326" s="329" t="s">
        <v>291</v>
      </c>
      <c r="Q326" s="307">
        <v>5.0000000000000001E-3</v>
      </c>
      <c r="R326" s="308">
        <v>34</v>
      </c>
      <c r="S326" s="307">
        <f t="shared" si="26"/>
        <v>0.17</v>
      </c>
      <c r="T326" s="27"/>
    </row>
    <row r="327" spans="1:20" x14ac:dyDescent="0.25">
      <c r="A327" s="592"/>
      <c r="B327" s="595"/>
      <c r="C327" s="632"/>
      <c r="D327" s="617"/>
      <c r="E327" s="612"/>
      <c r="F327" s="30"/>
      <c r="G327" s="609"/>
      <c r="H327" s="609"/>
      <c r="I327" s="614"/>
      <c r="J327" s="609"/>
      <c r="K327" s="609"/>
      <c r="L327" s="609"/>
      <c r="M327" s="612"/>
      <c r="N327" s="606"/>
      <c r="O327" s="644"/>
      <c r="P327" s="329" t="s">
        <v>298</v>
      </c>
      <c r="Q327" s="307">
        <v>7.0000000000000007E-2</v>
      </c>
      <c r="R327" s="308">
        <v>179.8</v>
      </c>
      <c r="S327" s="307">
        <f t="shared" ref="S327:S390" si="33">(Q327*R327)</f>
        <v>12.586000000000002</v>
      </c>
      <c r="T327" s="27"/>
    </row>
    <row r="328" spans="1:20" ht="31.5" x14ac:dyDescent="0.25">
      <c r="A328" s="592"/>
      <c r="B328" s="595"/>
      <c r="C328" s="632"/>
      <c r="D328" s="617"/>
      <c r="E328" s="490"/>
      <c r="F328" s="30"/>
      <c r="G328" s="610"/>
      <c r="H328" s="610"/>
      <c r="I328" s="615"/>
      <c r="J328" s="610"/>
      <c r="K328" s="610"/>
      <c r="L328" s="610"/>
      <c r="M328" s="490"/>
      <c r="N328" s="607"/>
      <c r="O328" s="645"/>
      <c r="P328" s="329" t="s">
        <v>311</v>
      </c>
      <c r="Q328" s="307">
        <v>0.01</v>
      </c>
      <c r="R328" s="308">
        <v>1385</v>
      </c>
      <c r="S328" s="307">
        <f t="shared" si="33"/>
        <v>13.85</v>
      </c>
      <c r="T328" s="27"/>
    </row>
    <row r="329" spans="1:20" x14ac:dyDescent="0.25">
      <c r="A329" s="592"/>
      <c r="B329" s="595"/>
      <c r="C329" s="632"/>
      <c r="D329" s="617"/>
      <c r="E329" s="611" t="s">
        <v>294</v>
      </c>
      <c r="F329" s="30"/>
      <c r="G329" s="608">
        <v>2.36</v>
      </c>
      <c r="H329" s="608">
        <v>1</v>
      </c>
      <c r="I329" s="613">
        <f t="shared" ref="I329" si="34">H329*G329</f>
        <v>2.36</v>
      </c>
      <c r="J329" s="608"/>
      <c r="K329" s="608"/>
      <c r="L329" s="608"/>
      <c r="M329" s="611">
        <v>5</v>
      </c>
      <c r="N329" s="633">
        <v>454.87</v>
      </c>
      <c r="O329" s="643">
        <f t="shared" ref="O329:O387" si="35">I329*N329</f>
        <v>1073.4931999999999</v>
      </c>
      <c r="P329" s="329" t="s">
        <v>310</v>
      </c>
      <c r="Q329" s="307">
        <v>0.01</v>
      </c>
      <c r="R329" s="308">
        <v>272</v>
      </c>
      <c r="S329" s="307">
        <f t="shared" si="33"/>
        <v>2.72</v>
      </c>
      <c r="T329" s="27"/>
    </row>
    <row r="330" spans="1:20" x14ac:dyDescent="0.25">
      <c r="A330" s="592"/>
      <c r="B330" s="595"/>
      <c r="C330" s="632"/>
      <c r="D330" s="617"/>
      <c r="E330" s="612"/>
      <c r="F330" s="30"/>
      <c r="G330" s="609"/>
      <c r="H330" s="609"/>
      <c r="I330" s="614"/>
      <c r="J330" s="609"/>
      <c r="K330" s="609"/>
      <c r="L330" s="609"/>
      <c r="M330" s="612"/>
      <c r="N330" s="606"/>
      <c r="O330" s="644"/>
      <c r="P330" s="329" t="s">
        <v>314</v>
      </c>
      <c r="Q330" s="307">
        <v>0.03</v>
      </c>
      <c r="R330" s="308">
        <v>179</v>
      </c>
      <c r="S330" s="307">
        <f t="shared" si="33"/>
        <v>5.37</v>
      </c>
      <c r="T330" s="27"/>
    </row>
    <row r="331" spans="1:20" ht="31.5" x14ac:dyDescent="0.25">
      <c r="A331" s="592"/>
      <c r="B331" s="595"/>
      <c r="C331" s="632"/>
      <c r="D331" s="617"/>
      <c r="E331" s="612"/>
      <c r="F331" s="30"/>
      <c r="G331" s="609"/>
      <c r="H331" s="609"/>
      <c r="I331" s="614"/>
      <c r="J331" s="609"/>
      <c r="K331" s="609"/>
      <c r="L331" s="609"/>
      <c r="M331" s="612"/>
      <c r="N331" s="606"/>
      <c r="O331" s="644"/>
      <c r="P331" s="329" t="s">
        <v>315</v>
      </c>
      <c r="Q331" s="307">
        <v>4.0000000000000001E-3</v>
      </c>
      <c r="R331" s="308">
        <v>302</v>
      </c>
      <c r="S331" s="307">
        <f t="shared" si="33"/>
        <v>1.208</v>
      </c>
      <c r="T331" s="27"/>
    </row>
    <row r="332" spans="1:20" ht="31.5" x14ac:dyDescent="0.25">
      <c r="A332" s="592"/>
      <c r="B332" s="595"/>
      <c r="C332" s="632"/>
      <c r="D332" s="617"/>
      <c r="E332" s="612"/>
      <c r="F332" s="30"/>
      <c r="G332" s="609"/>
      <c r="H332" s="609"/>
      <c r="I332" s="614"/>
      <c r="J332" s="609"/>
      <c r="K332" s="609"/>
      <c r="L332" s="609"/>
      <c r="M332" s="612"/>
      <c r="N332" s="606"/>
      <c r="O332" s="644"/>
      <c r="P332" s="329" t="s">
        <v>316</v>
      </c>
      <c r="Q332" s="307">
        <v>5.0000000000000001E-3</v>
      </c>
      <c r="R332" s="308">
        <v>950</v>
      </c>
      <c r="S332" s="307">
        <f t="shared" si="33"/>
        <v>4.75</v>
      </c>
      <c r="T332" s="27"/>
    </row>
    <row r="333" spans="1:20" ht="31.5" x14ac:dyDescent="0.25">
      <c r="A333" s="592"/>
      <c r="B333" s="595"/>
      <c r="C333" s="632"/>
      <c r="D333" s="617"/>
      <c r="E333" s="612"/>
      <c r="F333" s="30"/>
      <c r="G333" s="609"/>
      <c r="H333" s="609"/>
      <c r="I333" s="614"/>
      <c r="J333" s="609"/>
      <c r="K333" s="609"/>
      <c r="L333" s="609"/>
      <c r="M333" s="612"/>
      <c r="N333" s="606"/>
      <c r="O333" s="644"/>
      <c r="P333" s="329" t="s">
        <v>291</v>
      </c>
      <c r="Q333" s="307">
        <v>5.0000000000000001E-3</v>
      </c>
      <c r="R333" s="308">
        <v>34</v>
      </c>
      <c r="S333" s="307">
        <f t="shared" si="33"/>
        <v>0.17</v>
      </c>
      <c r="T333" s="27"/>
    </row>
    <row r="334" spans="1:20" x14ac:dyDescent="0.25">
      <c r="A334" s="592"/>
      <c r="B334" s="595"/>
      <c r="C334" s="632"/>
      <c r="D334" s="617"/>
      <c r="E334" s="612"/>
      <c r="F334" s="30"/>
      <c r="G334" s="609"/>
      <c r="H334" s="609"/>
      <c r="I334" s="614"/>
      <c r="J334" s="609"/>
      <c r="K334" s="609"/>
      <c r="L334" s="609"/>
      <c r="M334" s="612"/>
      <c r="N334" s="606"/>
      <c r="O334" s="644"/>
      <c r="P334" s="329" t="s">
        <v>317</v>
      </c>
      <c r="Q334" s="307">
        <v>0.2</v>
      </c>
      <c r="R334" s="308">
        <v>294.12</v>
      </c>
      <c r="S334" s="307">
        <f t="shared" si="33"/>
        <v>58.824000000000005</v>
      </c>
      <c r="T334" s="27"/>
    </row>
    <row r="335" spans="1:20" x14ac:dyDescent="0.25">
      <c r="A335" s="592"/>
      <c r="B335" s="595"/>
      <c r="C335" s="632"/>
      <c r="D335" s="617"/>
      <c r="E335" s="612"/>
      <c r="F335" s="30"/>
      <c r="G335" s="609"/>
      <c r="H335" s="609"/>
      <c r="I335" s="614"/>
      <c r="J335" s="609"/>
      <c r="K335" s="609"/>
      <c r="L335" s="609"/>
      <c r="M335" s="612"/>
      <c r="N335" s="606"/>
      <c r="O335" s="644"/>
      <c r="P335" s="329" t="s">
        <v>318</v>
      </c>
      <c r="Q335" s="307">
        <v>1</v>
      </c>
      <c r="R335" s="308">
        <v>256.5</v>
      </c>
      <c r="S335" s="307">
        <f t="shared" si="33"/>
        <v>256.5</v>
      </c>
      <c r="T335" s="27"/>
    </row>
    <row r="336" spans="1:20" ht="14.45" customHeight="1" x14ac:dyDescent="0.25">
      <c r="A336" s="592"/>
      <c r="B336" s="595"/>
      <c r="C336" s="632"/>
      <c r="D336" s="617"/>
      <c r="E336" s="612"/>
      <c r="F336" s="30"/>
      <c r="G336" s="609"/>
      <c r="H336" s="609"/>
      <c r="I336" s="614"/>
      <c r="J336" s="609"/>
      <c r="K336" s="609"/>
      <c r="L336" s="609"/>
      <c r="M336" s="612"/>
      <c r="N336" s="606"/>
      <c r="O336" s="644"/>
      <c r="P336" s="329" t="s">
        <v>319</v>
      </c>
      <c r="Q336" s="307">
        <v>1.5</v>
      </c>
      <c r="R336" s="308">
        <v>400</v>
      </c>
      <c r="S336" s="307">
        <f t="shared" si="33"/>
        <v>600</v>
      </c>
      <c r="T336" s="27"/>
    </row>
    <row r="337" spans="1:20" ht="31.5" x14ac:dyDescent="0.25">
      <c r="A337" s="592"/>
      <c r="B337" s="595"/>
      <c r="C337" s="632"/>
      <c r="D337" s="617"/>
      <c r="E337" s="612"/>
      <c r="F337" s="30"/>
      <c r="G337" s="609"/>
      <c r="H337" s="609"/>
      <c r="I337" s="614"/>
      <c r="J337" s="609"/>
      <c r="K337" s="609"/>
      <c r="L337" s="609"/>
      <c r="M337" s="612"/>
      <c r="N337" s="606"/>
      <c r="O337" s="644"/>
      <c r="P337" s="329" t="s">
        <v>320</v>
      </c>
      <c r="Q337" s="307">
        <v>2</v>
      </c>
      <c r="R337" s="308">
        <v>102</v>
      </c>
      <c r="S337" s="307">
        <f t="shared" si="33"/>
        <v>204</v>
      </c>
      <c r="T337" s="27"/>
    </row>
    <row r="338" spans="1:20" x14ac:dyDescent="0.25">
      <c r="A338" s="592"/>
      <c r="B338" s="595"/>
      <c r="C338" s="632"/>
      <c r="D338" s="617"/>
      <c r="E338" s="612"/>
      <c r="F338" s="30"/>
      <c r="G338" s="609"/>
      <c r="H338" s="609"/>
      <c r="I338" s="614"/>
      <c r="J338" s="609"/>
      <c r="K338" s="609"/>
      <c r="L338" s="609"/>
      <c r="M338" s="612"/>
      <c r="N338" s="606"/>
      <c r="O338" s="644"/>
      <c r="P338" s="329" t="s">
        <v>298</v>
      </c>
      <c r="Q338" s="307">
        <v>7.0000000000000007E-2</v>
      </c>
      <c r="R338" s="308">
        <v>179.8</v>
      </c>
      <c r="S338" s="307">
        <f t="shared" si="33"/>
        <v>12.586000000000002</v>
      </c>
      <c r="T338" s="27"/>
    </row>
    <row r="339" spans="1:20" x14ac:dyDescent="0.25">
      <c r="A339" s="592"/>
      <c r="B339" s="595"/>
      <c r="C339" s="632"/>
      <c r="D339" s="617"/>
      <c r="E339" s="612"/>
      <c r="F339" s="30"/>
      <c r="G339" s="609"/>
      <c r="H339" s="609"/>
      <c r="I339" s="614"/>
      <c r="J339" s="609"/>
      <c r="K339" s="609"/>
      <c r="L339" s="609"/>
      <c r="M339" s="612"/>
      <c r="N339" s="606"/>
      <c r="O339" s="644"/>
      <c r="P339" s="329" t="s">
        <v>321</v>
      </c>
      <c r="Q339" s="307">
        <v>2</v>
      </c>
      <c r="R339" s="308">
        <v>527</v>
      </c>
      <c r="S339" s="307">
        <f t="shared" si="33"/>
        <v>1054</v>
      </c>
      <c r="T339" s="27"/>
    </row>
    <row r="340" spans="1:20" ht="31.5" x14ac:dyDescent="0.25">
      <c r="A340" s="592"/>
      <c r="B340" s="595"/>
      <c r="C340" s="628"/>
      <c r="D340" s="604"/>
      <c r="E340" s="490"/>
      <c r="F340" s="30"/>
      <c r="G340" s="610"/>
      <c r="H340" s="610"/>
      <c r="I340" s="615"/>
      <c r="J340" s="610"/>
      <c r="K340" s="610"/>
      <c r="L340" s="610"/>
      <c r="M340" s="490"/>
      <c r="N340" s="607"/>
      <c r="O340" s="645"/>
      <c r="P340" s="329" t="s">
        <v>311</v>
      </c>
      <c r="Q340" s="307">
        <v>0.01</v>
      </c>
      <c r="R340" s="308">
        <v>1385</v>
      </c>
      <c r="S340" s="307">
        <f t="shared" si="33"/>
        <v>13.85</v>
      </c>
      <c r="T340" s="27"/>
    </row>
    <row r="341" spans="1:20" x14ac:dyDescent="0.25">
      <c r="A341" s="592"/>
      <c r="B341" s="595"/>
      <c r="C341" s="627" t="s">
        <v>341</v>
      </c>
      <c r="D341" s="603">
        <v>1</v>
      </c>
      <c r="E341" s="611" t="s">
        <v>290</v>
      </c>
      <c r="F341" s="30"/>
      <c r="G341" s="608">
        <v>0.32</v>
      </c>
      <c r="H341" s="608">
        <v>8</v>
      </c>
      <c r="I341" s="613">
        <f>H341*G341</f>
        <v>2.56</v>
      </c>
      <c r="J341" s="629"/>
      <c r="K341" s="608"/>
      <c r="L341" s="608"/>
      <c r="M341" s="611">
        <v>5</v>
      </c>
      <c r="N341" s="633">
        <v>454.87</v>
      </c>
      <c r="O341" s="643">
        <f t="shared" si="35"/>
        <v>1164.4672</v>
      </c>
      <c r="P341" s="329" t="s">
        <v>310</v>
      </c>
      <c r="Q341" s="307">
        <v>0.01</v>
      </c>
      <c r="R341" s="308">
        <v>272</v>
      </c>
      <c r="S341" s="307">
        <f t="shared" si="33"/>
        <v>2.72</v>
      </c>
      <c r="T341" s="27"/>
    </row>
    <row r="342" spans="1:20" x14ac:dyDescent="0.25">
      <c r="A342" s="592"/>
      <c r="B342" s="595"/>
      <c r="C342" s="632"/>
      <c r="D342" s="617"/>
      <c r="E342" s="612"/>
      <c r="F342" s="30"/>
      <c r="G342" s="609"/>
      <c r="H342" s="609"/>
      <c r="I342" s="614"/>
      <c r="J342" s="630"/>
      <c r="K342" s="609"/>
      <c r="L342" s="609"/>
      <c r="M342" s="612"/>
      <c r="N342" s="606"/>
      <c r="O342" s="644"/>
      <c r="P342" s="329" t="s">
        <v>298</v>
      </c>
      <c r="Q342" s="307">
        <v>0.03</v>
      </c>
      <c r="R342" s="308">
        <v>179.8</v>
      </c>
      <c r="S342" s="307">
        <f t="shared" si="33"/>
        <v>5.3940000000000001</v>
      </c>
      <c r="T342" s="27"/>
    </row>
    <row r="343" spans="1:20" ht="31.5" x14ac:dyDescent="0.25">
      <c r="A343" s="592"/>
      <c r="B343" s="595"/>
      <c r="C343" s="632"/>
      <c r="D343" s="617"/>
      <c r="E343" s="490"/>
      <c r="F343" s="30"/>
      <c r="G343" s="610"/>
      <c r="H343" s="610"/>
      <c r="I343" s="615"/>
      <c r="J343" s="631"/>
      <c r="K343" s="610"/>
      <c r="L343" s="610"/>
      <c r="M343" s="490"/>
      <c r="N343" s="607"/>
      <c r="O343" s="645"/>
      <c r="P343" s="329" t="s">
        <v>311</v>
      </c>
      <c r="Q343" s="307">
        <v>0.03</v>
      </c>
      <c r="R343" s="308">
        <v>1385</v>
      </c>
      <c r="S343" s="307">
        <f t="shared" si="33"/>
        <v>41.55</v>
      </c>
      <c r="T343" s="27"/>
    </row>
    <row r="344" spans="1:20" x14ac:dyDescent="0.25">
      <c r="A344" s="592"/>
      <c r="B344" s="595"/>
      <c r="C344" s="632"/>
      <c r="D344" s="617"/>
      <c r="E344" s="611" t="s">
        <v>292</v>
      </c>
      <c r="F344" s="30"/>
      <c r="G344" s="608">
        <v>0.63</v>
      </c>
      <c r="H344" s="608">
        <v>3</v>
      </c>
      <c r="I344" s="613">
        <f t="shared" ref="I344" si="36">H344*G344</f>
        <v>1.8900000000000001</v>
      </c>
      <c r="J344" s="608"/>
      <c r="K344" s="608"/>
      <c r="L344" s="608"/>
      <c r="M344" s="611">
        <v>5</v>
      </c>
      <c r="N344" s="633">
        <v>454.87</v>
      </c>
      <c r="O344" s="643">
        <f t="shared" si="35"/>
        <v>859.7043000000001</v>
      </c>
      <c r="P344" s="329" t="s">
        <v>310</v>
      </c>
      <c r="Q344" s="307">
        <v>0.01</v>
      </c>
      <c r="R344" s="308">
        <v>272</v>
      </c>
      <c r="S344" s="307">
        <f t="shared" si="33"/>
        <v>2.72</v>
      </c>
      <c r="T344" s="27"/>
    </row>
    <row r="345" spans="1:20" x14ac:dyDescent="0.25">
      <c r="A345" s="592"/>
      <c r="B345" s="595"/>
      <c r="C345" s="632"/>
      <c r="D345" s="617"/>
      <c r="E345" s="612"/>
      <c r="F345" s="30"/>
      <c r="G345" s="609"/>
      <c r="H345" s="609"/>
      <c r="I345" s="614"/>
      <c r="J345" s="609"/>
      <c r="K345" s="609"/>
      <c r="L345" s="609"/>
      <c r="M345" s="612"/>
      <c r="N345" s="606"/>
      <c r="O345" s="644"/>
      <c r="P345" s="329" t="s">
        <v>312</v>
      </c>
      <c r="Q345" s="307">
        <v>0.5</v>
      </c>
      <c r="R345" s="308">
        <v>272</v>
      </c>
      <c r="S345" s="307">
        <f t="shared" si="33"/>
        <v>136</v>
      </c>
      <c r="T345" s="27"/>
    </row>
    <row r="346" spans="1:20" x14ac:dyDescent="0.25">
      <c r="A346" s="592"/>
      <c r="B346" s="595"/>
      <c r="C346" s="632"/>
      <c r="D346" s="617"/>
      <c r="E346" s="612"/>
      <c r="F346" s="30"/>
      <c r="G346" s="609"/>
      <c r="H346" s="609"/>
      <c r="I346" s="614"/>
      <c r="J346" s="609"/>
      <c r="K346" s="609"/>
      <c r="L346" s="609"/>
      <c r="M346" s="612"/>
      <c r="N346" s="606"/>
      <c r="O346" s="644"/>
      <c r="P346" s="329" t="s">
        <v>313</v>
      </c>
      <c r="Q346" s="307">
        <v>0.1</v>
      </c>
      <c r="R346" s="308">
        <v>632</v>
      </c>
      <c r="S346" s="307">
        <f t="shared" si="33"/>
        <v>63.2</v>
      </c>
      <c r="T346" s="27"/>
    </row>
    <row r="347" spans="1:20" x14ac:dyDescent="0.25">
      <c r="A347" s="592"/>
      <c r="B347" s="595"/>
      <c r="C347" s="632"/>
      <c r="D347" s="617"/>
      <c r="E347" s="612"/>
      <c r="F347" s="30"/>
      <c r="G347" s="609"/>
      <c r="H347" s="609"/>
      <c r="I347" s="614"/>
      <c r="J347" s="609"/>
      <c r="K347" s="609"/>
      <c r="L347" s="609"/>
      <c r="M347" s="612"/>
      <c r="N347" s="606"/>
      <c r="O347" s="644"/>
      <c r="P347" s="329" t="s">
        <v>314</v>
      </c>
      <c r="Q347" s="307">
        <v>0.03</v>
      </c>
      <c r="R347" s="308">
        <v>179</v>
      </c>
      <c r="S347" s="307">
        <f t="shared" si="33"/>
        <v>5.37</v>
      </c>
      <c r="T347" s="27"/>
    </row>
    <row r="348" spans="1:20" ht="31.5" x14ac:dyDescent="0.25">
      <c r="A348" s="592"/>
      <c r="B348" s="595"/>
      <c r="C348" s="632"/>
      <c r="D348" s="617"/>
      <c r="E348" s="612"/>
      <c r="F348" s="30"/>
      <c r="G348" s="609"/>
      <c r="H348" s="609"/>
      <c r="I348" s="614"/>
      <c r="J348" s="609"/>
      <c r="K348" s="609"/>
      <c r="L348" s="609"/>
      <c r="M348" s="612"/>
      <c r="N348" s="606"/>
      <c r="O348" s="644"/>
      <c r="P348" s="329" t="s">
        <v>315</v>
      </c>
      <c r="Q348" s="307">
        <v>4.0000000000000001E-3</v>
      </c>
      <c r="R348" s="308">
        <v>302</v>
      </c>
      <c r="S348" s="307">
        <f t="shared" si="33"/>
        <v>1.208</v>
      </c>
      <c r="T348" s="27"/>
    </row>
    <row r="349" spans="1:20" ht="31.5" x14ac:dyDescent="0.25">
      <c r="A349" s="592"/>
      <c r="B349" s="595"/>
      <c r="C349" s="632"/>
      <c r="D349" s="617"/>
      <c r="E349" s="612"/>
      <c r="F349" s="30"/>
      <c r="G349" s="609"/>
      <c r="H349" s="609"/>
      <c r="I349" s="614"/>
      <c r="J349" s="609"/>
      <c r="K349" s="609"/>
      <c r="L349" s="609"/>
      <c r="M349" s="612"/>
      <c r="N349" s="606"/>
      <c r="O349" s="644"/>
      <c r="P349" s="329" t="s">
        <v>316</v>
      </c>
      <c r="Q349" s="307">
        <v>5.0000000000000001E-3</v>
      </c>
      <c r="R349" s="308">
        <v>950</v>
      </c>
      <c r="S349" s="307">
        <f t="shared" si="33"/>
        <v>4.75</v>
      </c>
      <c r="T349" s="27"/>
    </row>
    <row r="350" spans="1:20" ht="31.5" x14ac:dyDescent="0.25">
      <c r="A350" s="592"/>
      <c r="B350" s="595"/>
      <c r="C350" s="632"/>
      <c r="D350" s="617"/>
      <c r="E350" s="612"/>
      <c r="F350" s="30"/>
      <c r="G350" s="609"/>
      <c r="H350" s="609"/>
      <c r="I350" s="614"/>
      <c r="J350" s="609"/>
      <c r="K350" s="609"/>
      <c r="L350" s="609"/>
      <c r="M350" s="612"/>
      <c r="N350" s="606"/>
      <c r="O350" s="644"/>
      <c r="P350" s="329" t="s">
        <v>291</v>
      </c>
      <c r="Q350" s="307">
        <v>5.0000000000000001E-3</v>
      </c>
      <c r="R350" s="308">
        <v>34</v>
      </c>
      <c r="S350" s="307">
        <f t="shared" si="33"/>
        <v>0.17</v>
      </c>
      <c r="T350" s="27"/>
    </row>
    <row r="351" spans="1:20" x14ac:dyDescent="0.25">
      <c r="A351" s="592"/>
      <c r="B351" s="595"/>
      <c r="C351" s="632"/>
      <c r="D351" s="617"/>
      <c r="E351" s="612"/>
      <c r="F351" s="30"/>
      <c r="G351" s="609"/>
      <c r="H351" s="609"/>
      <c r="I351" s="614"/>
      <c r="J351" s="609"/>
      <c r="K351" s="609"/>
      <c r="L351" s="609"/>
      <c r="M351" s="612"/>
      <c r="N351" s="606"/>
      <c r="O351" s="644"/>
      <c r="P351" s="329" t="s">
        <v>298</v>
      </c>
      <c r="Q351" s="307">
        <v>7.0000000000000007E-2</v>
      </c>
      <c r="R351" s="308">
        <v>179.8</v>
      </c>
      <c r="S351" s="307">
        <f t="shared" si="33"/>
        <v>12.586000000000002</v>
      </c>
      <c r="T351" s="27"/>
    </row>
    <row r="352" spans="1:20" ht="31.5" x14ac:dyDescent="0.25">
      <c r="A352" s="592"/>
      <c r="B352" s="595"/>
      <c r="C352" s="632"/>
      <c r="D352" s="617"/>
      <c r="E352" s="490"/>
      <c r="F352" s="30"/>
      <c r="G352" s="610"/>
      <c r="H352" s="610"/>
      <c r="I352" s="615"/>
      <c r="J352" s="610"/>
      <c r="K352" s="610"/>
      <c r="L352" s="610"/>
      <c r="M352" s="490"/>
      <c r="N352" s="607"/>
      <c r="O352" s="645"/>
      <c r="P352" s="329" t="s">
        <v>311</v>
      </c>
      <c r="Q352" s="307">
        <v>0.01</v>
      </c>
      <c r="R352" s="308">
        <v>1385</v>
      </c>
      <c r="S352" s="307">
        <f t="shared" si="33"/>
        <v>13.85</v>
      </c>
      <c r="T352" s="27"/>
    </row>
    <row r="353" spans="1:20" x14ac:dyDescent="0.25">
      <c r="A353" s="592"/>
      <c r="B353" s="595"/>
      <c r="C353" s="632"/>
      <c r="D353" s="617"/>
      <c r="E353" s="611" t="s">
        <v>294</v>
      </c>
      <c r="F353" s="30"/>
      <c r="G353" s="608">
        <v>2.36</v>
      </c>
      <c r="H353" s="608">
        <v>1</v>
      </c>
      <c r="I353" s="613">
        <f t="shared" ref="I353" si="37">H353*G353</f>
        <v>2.36</v>
      </c>
      <c r="J353" s="608"/>
      <c r="K353" s="608"/>
      <c r="L353" s="608"/>
      <c r="M353" s="611">
        <v>5</v>
      </c>
      <c r="N353" s="633">
        <v>454.87</v>
      </c>
      <c r="O353" s="643">
        <f t="shared" si="35"/>
        <v>1073.4931999999999</v>
      </c>
      <c r="P353" s="329" t="s">
        <v>310</v>
      </c>
      <c r="Q353" s="307">
        <v>0.01</v>
      </c>
      <c r="R353" s="308">
        <v>272</v>
      </c>
      <c r="S353" s="307">
        <f t="shared" si="33"/>
        <v>2.72</v>
      </c>
      <c r="T353" s="27"/>
    </row>
    <row r="354" spans="1:20" x14ac:dyDescent="0.25">
      <c r="A354" s="592"/>
      <c r="B354" s="595"/>
      <c r="C354" s="632"/>
      <c r="D354" s="617"/>
      <c r="E354" s="612"/>
      <c r="F354" s="30"/>
      <c r="G354" s="609"/>
      <c r="H354" s="609"/>
      <c r="I354" s="614"/>
      <c r="J354" s="609"/>
      <c r="K354" s="609"/>
      <c r="L354" s="609"/>
      <c r="M354" s="612"/>
      <c r="N354" s="606"/>
      <c r="O354" s="644"/>
      <c r="P354" s="329" t="s">
        <v>314</v>
      </c>
      <c r="Q354" s="307">
        <v>0.03</v>
      </c>
      <c r="R354" s="308">
        <v>179</v>
      </c>
      <c r="S354" s="307">
        <f t="shared" si="33"/>
        <v>5.37</v>
      </c>
      <c r="T354" s="27"/>
    </row>
    <row r="355" spans="1:20" ht="31.5" x14ac:dyDescent="0.25">
      <c r="A355" s="592"/>
      <c r="B355" s="595"/>
      <c r="C355" s="632"/>
      <c r="D355" s="617"/>
      <c r="E355" s="612"/>
      <c r="F355" s="30"/>
      <c r="G355" s="609"/>
      <c r="H355" s="609"/>
      <c r="I355" s="614"/>
      <c r="J355" s="609"/>
      <c r="K355" s="609"/>
      <c r="L355" s="609"/>
      <c r="M355" s="612"/>
      <c r="N355" s="606"/>
      <c r="O355" s="644"/>
      <c r="P355" s="329" t="s">
        <v>315</v>
      </c>
      <c r="Q355" s="307">
        <v>4.0000000000000001E-3</v>
      </c>
      <c r="R355" s="308">
        <v>302</v>
      </c>
      <c r="S355" s="307">
        <f t="shared" si="33"/>
        <v>1.208</v>
      </c>
      <c r="T355" s="27"/>
    </row>
    <row r="356" spans="1:20" ht="31.5" x14ac:dyDescent="0.25">
      <c r="A356" s="592"/>
      <c r="B356" s="595"/>
      <c r="C356" s="632"/>
      <c r="D356" s="617"/>
      <c r="E356" s="612"/>
      <c r="F356" s="30"/>
      <c r="G356" s="609"/>
      <c r="H356" s="609"/>
      <c r="I356" s="614"/>
      <c r="J356" s="609"/>
      <c r="K356" s="609"/>
      <c r="L356" s="609"/>
      <c r="M356" s="612"/>
      <c r="N356" s="606"/>
      <c r="O356" s="644"/>
      <c r="P356" s="329" t="s">
        <v>316</v>
      </c>
      <c r="Q356" s="307">
        <v>5.0000000000000001E-3</v>
      </c>
      <c r="R356" s="308">
        <v>950</v>
      </c>
      <c r="S356" s="307">
        <f t="shared" si="33"/>
        <v>4.75</v>
      </c>
      <c r="T356" s="27"/>
    </row>
    <row r="357" spans="1:20" ht="31.5" x14ac:dyDescent="0.25">
      <c r="A357" s="592"/>
      <c r="B357" s="595"/>
      <c r="C357" s="632"/>
      <c r="D357" s="617"/>
      <c r="E357" s="612"/>
      <c r="F357" s="30"/>
      <c r="G357" s="609"/>
      <c r="H357" s="609"/>
      <c r="I357" s="614"/>
      <c r="J357" s="609"/>
      <c r="K357" s="609"/>
      <c r="L357" s="609"/>
      <c r="M357" s="612"/>
      <c r="N357" s="606"/>
      <c r="O357" s="644"/>
      <c r="P357" s="329" t="s">
        <v>291</v>
      </c>
      <c r="Q357" s="307">
        <v>5.0000000000000001E-3</v>
      </c>
      <c r="R357" s="308">
        <v>34</v>
      </c>
      <c r="S357" s="307">
        <f t="shared" si="33"/>
        <v>0.17</v>
      </c>
      <c r="T357" s="27"/>
    </row>
    <row r="358" spans="1:20" x14ac:dyDescent="0.25">
      <c r="A358" s="592"/>
      <c r="B358" s="595"/>
      <c r="C358" s="632"/>
      <c r="D358" s="617"/>
      <c r="E358" s="612"/>
      <c r="F358" s="30"/>
      <c r="G358" s="609"/>
      <c r="H358" s="609"/>
      <c r="I358" s="614"/>
      <c r="J358" s="609"/>
      <c r="K358" s="609"/>
      <c r="L358" s="609"/>
      <c r="M358" s="612"/>
      <c r="N358" s="606"/>
      <c r="O358" s="644"/>
      <c r="P358" s="329" t="s">
        <v>317</v>
      </c>
      <c r="Q358" s="307">
        <v>0.2</v>
      </c>
      <c r="R358" s="308">
        <v>294.12</v>
      </c>
      <c r="S358" s="307">
        <f t="shared" si="33"/>
        <v>58.824000000000005</v>
      </c>
      <c r="T358" s="27"/>
    </row>
    <row r="359" spans="1:20" x14ac:dyDescent="0.25">
      <c r="A359" s="592"/>
      <c r="B359" s="595"/>
      <c r="C359" s="632"/>
      <c r="D359" s="617"/>
      <c r="E359" s="612"/>
      <c r="F359" s="30"/>
      <c r="G359" s="609"/>
      <c r="H359" s="609"/>
      <c r="I359" s="614"/>
      <c r="J359" s="609"/>
      <c r="K359" s="609"/>
      <c r="L359" s="609"/>
      <c r="M359" s="612"/>
      <c r="N359" s="606"/>
      <c r="O359" s="644"/>
      <c r="P359" s="329" t="s">
        <v>318</v>
      </c>
      <c r="Q359" s="307">
        <v>1</v>
      </c>
      <c r="R359" s="308">
        <v>256.5</v>
      </c>
      <c r="S359" s="307">
        <f t="shared" si="33"/>
        <v>256.5</v>
      </c>
      <c r="T359" s="27"/>
    </row>
    <row r="360" spans="1:20" ht="14.45" customHeight="1" x14ac:dyDescent="0.25">
      <c r="A360" s="592"/>
      <c r="B360" s="595"/>
      <c r="C360" s="632"/>
      <c r="D360" s="617"/>
      <c r="E360" s="612"/>
      <c r="F360" s="30"/>
      <c r="G360" s="609"/>
      <c r="H360" s="609"/>
      <c r="I360" s="614"/>
      <c r="J360" s="609"/>
      <c r="K360" s="609"/>
      <c r="L360" s="609"/>
      <c r="M360" s="612"/>
      <c r="N360" s="606"/>
      <c r="O360" s="644"/>
      <c r="P360" s="329" t="s">
        <v>319</v>
      </c>
      <c r="Q360" s="307">
        <v>1.5</v>
      </c>
      <c r="R360" s="308">
        <v>400</v>
      </c>
      <c r="S360" s="307">
        <f t="shared" si="33"/>
        <v>600</v>
      </c>
      <c r="T360" s="27"/>
    </row>
    <row r="361" spans="1:20" ht="31.5" x14ac:dyDescent="0.25">
      <c r="A361" s="592"/>
      <c r="B361" s="595"/>
      <c r="C361" s="632"/>
      <c r="D361" s="617"/>
      <c r="E361" s="612"/>
      <c r="F361" s="30"/>
      <c r="G361" s="609"/>
      <c r="H361" s="609"/>
      <c r="I361" s="614"/>
      <c r="J361" s="609"/>
      <c r="K361" s="609"/>
      <c r="L361" s="609"/>
      <c r="M361" s="612"/>
      <c r="N361" s="606"/>
      <c r="O361" s="644"/>
      <c r="P361" s="329" t="s">
        <v>320</v>
      </c>
      <c r="Q361" s="307">
        <v>2</v>
      </c>
      <c r="R361" s="308">
        <v>102</v>
      </c>
      <c r="S361" s="307">
        <f t="shared" si="33"/>
        <v>204</v>
      </c>
      <c r="T361" s="27"/>
    </row>
    <row r="362" spans="1:20" x14ac:dyDescent="0.25">
      <c r="A362" s="592"/>
      <c r="B362" s="595"/>
      <c r="C362" s="632"/>
      <c r="D362" s="617"/>
      <c r="E362" s="612"/>
      <c r="F362" s="30"/>
      <c r="G362" s="609"/>
      <c r="H362" s="609"/>
      <c r="I362" s="614"/>
      <c r="J362" s="609"/>
      <c r="K362" s="609"/>
      <c r="L362" s="609"/>
      <c r="M362" s="612"/>
      <c r="N362" s="606"/>
      <c r="O362" s="644"/>
      <c r="P362" s="329" t="s">
        <v>298</v>
      </c>
      <c r="Q362" s="307">
        <v>7.0000000000000007E-2</v>
      </c>
      <c r="R362" s="308">
        <v>179.8</v>
      </c>
      <c r="S362" s="307">
        <f t="shared" si="33"/>
        <v>12.586000000000002</v>
      </c>
      <c r="T362" s="27"/>
    </row>
    <row r="363" spans="1:20" x14ac:dyDescent="0.25">
      <c r="A363" s="592"/>
      <c r="B363" s="595"/>
      <c r="C363" s="632"/>
      <c r="D363" s="617"/>
      <c r="E363" s="612"/>
      <c r="F363" s="30"/>
      <c r="G363" s="609"/>
      <c r="H363" s="609"/>
      <c r="I363" s="614"/>
      <c r="J363" s="609"/>
      <c r="K363" s="609"/>
      <c r="L363" s="609"/>
      <c r="M363" s="612"/>
      <c r="N363" s="606"/>
      <c r="O363" s="644"/>
      <c r="P363" s="329" t="s">
        <v>321</v>
      </c>
      <c r="Q363" s="307">
        <v>2</v>
      </c>
      <c r="R363" s="308">
        <v>527</v>
      </c>
      <c r="S363" s="307">
        <f t="shared" si="33"/>
        <v>1054</v>
      </c>
      <c r="T363" s="27"/>
    </row>
    <row r="364" spans="1:20" ht="31.5" x14ac:dyDescent="0.25">
      <c r="A364" s="592"/>
      <c r="B364" s="595"/>
      <c r="C364" s="628"/>
      <c r="D364" s="604"/>
      <c r="E364" s="490"/>
      <c r="F364" s="30"/>
      <c r="G364" s="610"/>
      <c r="H364" s="610"/>
      <c r="I364" s="615"/>
      <c r="J364" s="610"/>
      <c r="K364" s="610"/>
      <c r="L364" s="610"/>
      <c r="M364" s="490"/>
      <c r="N364" s="607"/>
      <c r="O364" s="645"/>
      <c r="P364" s="329" t="s">
        <v>311</v>
      </c>
      <c r="Q364" s="307">
        <v>0.01</v>
      </c>
      <c r="R364" s="308">
        <v>1385</v>
      </c>
      <c r="S364" s="307">
        <f t="shared" si="33"/>
        <v>13.85</v>
      </c>
      <c r="T364" s="27"/>
    </row>
    <row r="365" spans="1:20" ht="31.5" x14ac:dyDescent="0.25">
      <c r="A365" s="592"/>
      <c r="B365" s="595"/>
      <c r="C365" s="627" t="s">
        <v>342</v>
      </c>
      <c r="D365" s="603">
        <v>1</v>
      </c>
      <c r="E365" s="611" t="s">
        <v>290</v>
      </c>
      <c r="F365" s="30"/>
      <c r="G365" s="608">
        <v>0.04</v>
      </c>
      <c r="H365" s="608">
        <v>8</v>
      </c>
      <c r="I365" s="613">
        <f>H365*G365</f>
        <v>0.32</v>
      </c>
      <c r="J365" s="629"/>
      <c r="K365" s="608"/>
      <c r="L365" s="608"/>
      <c r="M365" s="611">
        <v>4</v>
      </c>
      <c r="N365" s="633">
        <v>454.87</v>
      </c>
      <c r="O365" s="643">
        <f t="shared" si="35"/>
        <v>145.55840000000001</v>
      </c>
      <c r="P365" s="329" t="s">
        <v>311</v>
      </c>
      <c r="Q365" s="307">
        <v>0.01</v>
      </c>
      <c r="R365" s="308">
        <v>1385</v>
      </c>
      <c r="S365" s="307">
        <f t="shared" si="33"/>
        <v>13.85</v>
      </c>
      <c r="T365" s="27"/>
    </row>
    <row r="366" spans="1:20" x14ac:dyDescent="0.25">
      <c r="A366" s="592"/>
      <c r="B366" s="595"/>
      <c r="C366" s="632"/>
      <c r="D366" s="617"/>
      <c r="E366" s="612"/>
      <c r="F366" s="30"/>
      <c r="G366" s="609"/>
      <c r="H366" s="609"/>
      <c r="I366" s="614"/>
      <c r="J366" s="630"/>
      <c r="K366" s="609"/>
      <c r="L366" s="609"/>
      <c r="M366" s="612"/>
      <c r="N366" s="606"/>
      <c r="O366" s="644"/>
      <c r="P366" s="329" t="s">
        <v>298</v>
      </c>
      <c r="Q366" s="307">
        <v>0.04</v>
      </c>
      <c r="R366" s="308">
        <v>179.8</v>
      </c>
      <c r="S366" s="307">
        <f t="shared" si="33"/>
        <v>7.1920000000000002</v>
      </c>
      <c r="T366" s="27"/>
    </row>
    <row r="367" spans="1:20" x14ac:dyDescent="0.25">
      <c r="A367" s="592"/>
      <c r="B367" s="595"/>
      <c r="C367" s="632"/>
      <c r="D367" s="617"/>
      <c r="E367" s="612"/>
      <c r="F367" s="30"/>
      <c r="G367" s="609"/>
      <c r="H367" s="609"/>
      <c r="I367" s="614"/>
      <c r="J367" s="630"/>
      <c r="K367" s="609"/>
      <c r="L367" s="609"/>
      <c r="M367" s="612"/>
      <c r="N367" s="606"/>
      <c r="O367" s="644"/>
      <c r="P367" s="330" t="s">
        <v>324</v>
      </c>
      <c r="Q367" s="331">
        <v>1</v>
      </c>
      <c r="R367" s="308">
        <v>44</v>
      </c>
      <c r="S367" s="307">
        <f t="shared" si="33"/>
        <v>44</v>
      </c>
      <c r="T367" s="27"/>
    </row>
    <row r="368" spans="1:20" x14ac:dyDescent="0.25">
      <c r="A368" s="592"/>
      <c r="B368" s="595"/>
      <c r="C368" s="632"/>
      <c r="D368" s="617"/>
      <c r="E368" s="612"/>
      <c r="F368" s="30"/>
      <c r="G368" s="609"/>
      <c r="H368" s="609"/>
      <c r="I368" s="614"/>
      <c r="J368" s="630"/>
      <c r="K368" s="609"/>
      <c r="L368" s="609"/>
      <c r="M368" s="612"/>
      <c r="N368" s="606"/>
      <c r="O368" s="644"/>
      <c r="P368" s="330" t="s">
        <v>325</v>
      </c>
      <c r="Q368" s="307">
        <v>0.01</v>
      </c>
      <c r="R368" s="308">
        <v>649</v>
      </c>
      <c r="S368" s="307">
        <f t="shared" si="33"/>
        <v>6.49</v>
      </c>
      <c r="T368" s="27"/>
    </row>
    <row r="369" spans="1:20" x14ac:dyDescent="0.25">
      <c r="A369" s="592"/>
      <c r="B369" s="595"/>
      <c r="C369" s="632"/>
      <c r="D369" s="617"/>
      <c r="E369" s="612"/>
      <c r="F369" s="30"/>
      <c r="G369" s="609"/>
      <c r="H369" s="609"/>
      <c r="I369" s="614"/>
      <c r="J369" s="630"/>
      <c r="K369" s="609"/>
      <c r="L369" s="609"/>
      <c r="M369" s="612"/>
      <c r="N369" s="606"/>
      <c r="O369" s="644"/>
      <c r="P369" s="330" t="s">
        <v>326</v>
      </c>
      <c r="Q369" s="331">
        <v>0.03</v>
      </c>
      <c r="R369" s="308">
        <v>1148</v>
      </c>
      <c r="S369" s="307">
        <f t="shared" si="33"/>
        <v>34.44</v>
      </c>
      <c r="T369" s="27"/>
    </row>
    <row r="370" spans="1:20" x14ac:dyDescent="0.25">
      <c r="A370" s="592"/>
      <c r="B370" s="595"/>
      <c r="C370" s="632"/>
      <c r="D370" s="617"/>
      <c r="E370" s="490"/>
      <c r="F370" s="30"/>
      <c r="G370" s="610"/>
      <c r="H370" s="610"/>
      <c r="I370" s="615"/>
      <c r="J370" s="631"/>
      <c r="K370" s="610"/>
      <c r="L370" s="610"/>
      <c r="M370" s="490"/>
      <c r="N370" s="607"/>
      <c r="O370" s="645"/>
      <c r="P370" s="329" t="s">
        <v>318</v>
      </c>
      <c r="Q370" s="331">
        <v>2</v>
      </c>
      <c r="R370" s="308">
        <v>256.5</v>
      </c>
      <c r="S370" s="307">
        <f t="shared" si="33"/>
        <v>513</v>
      </c>
      <c r="T370" s="27"/>
    </row>
    <row r="371" spans="1:20" x14ac:dyDescent="0.25">
      <c r="A371" s="592"/>
      <c r="B371" s="595"/>
      <c r="C371" s="632"/>
      <c r="D371" s="617"/>
      <c r="E371" s="611" t="s">
        <v>292</v>
      </c>
      <c r="F371" s="30"/>
      <c r="G371" s="608">
        <v>0.06</v>
      </c>
      <c r="H371" s="608">
        <v>3</v>
      </c>
      <c r="I371" s="613">
        <f t="shared" ref="I371" si="38">H371*G371</f>
        <v>0.18</v>
      </c>
      <c r="J371" s="608"/>
      <c r="K371" s="608"/>
      <c r="L371" s="608"/>
      <c r="M371" s="611">
        <v>4</v>
      </c>
      <c r="N371" s="633">
        <v>454.87</v>
      </c>
      <c r="O371" s="643">
        <f t="shared" si="35"/>
        <v>81.876599999999996</v>
      </c>
      <c r="P371" s="329" t="s">
        <v>298</v>
      </c>
      <c r="Q371" s="307">
        <v>0.09</v>
      </c>
      <c r="R371" s="308">
        <v>179.8</v>
      </c>
      <c r="S371" s="307">
        <f t="shared" si="33"/>
        <v>16.182000000000002</v>
      </c>
      <c r="T371" s="27"/>
    </row>
    <row r="372" spans="1:20" x14ac:dyDescent="0.25">
      <c r="A372" s="592"/>
      <c r="B372" s="595"/>
      <c r="C372" s="632"/>
      <c r="D372" s="617"/>
      <c r="E372" s="612"/>
      <c r="F372" s="30"/>
      <c r="G372" s="609"/>
      <c r="H372" s="609"/>
      <c r="I372" s="614"/>
      <c r="J372" s="609"/>
      <c r="K372" s="609"/>
      <c r="L372" s="609"/>
      <c r="M372" s="612"/>
      <c r="N372" s="606"/>
      <c r="O372" s="644"/>
      <c r="P372" s="330" t="s">
        <v>302</v>
      </c>
      <c r="Q372" s="331">
        <v>0.05</v>
      </c>
      <c r="R372" s="308">
        <v>950</v>
      </c>
      <c r="S372" s="307">
        <f t="shared" si="33"/>
        <v>47.5</v>
      </c>
      <c r="T372" s="27"/>
    </row>
    <row r="373" spans="1:20" ht="31.5" x14ac:dyDescent="0.25">
      <c r="A373" s="592"/>
      <c r="B373" s="595"/>
      <c r="C373" s="632"/>
      <c r="D373" s="617"/>
      <c r="E373" s="612"/>
      <c r="F373" s="30"/>
      <c r="G373" s="609"/>
      <c r="H373" s="609"/>
      <c r="I373" s="614"/>
      <c r="J373" s="609"/>
      <c r="K373" s="609"/>
      <c r="L373" s="609"/>
      <c r="M373" s="612"/>
      <c r="N373" s="606"/>
      <c r="O373" s="644"/>
      <c r="P373" s="329" t="s">
        <v>311</v>
      </c>
      <c r="Q373" s="307">
        <v>0.01</v>
      </c>
      <c r="R373" s="308">
        <v>1385</v>
      </c>
      <c r="S373" s="307">
        <f t="shared" si="33"/>
        <v>13.85</v>
      </c>
      <c r="T373" s="27"/>
    </row>
    <row r="374" spans="1:20" x14ac:dyDescent="0.25">
      <c r="A374" s="592"/>
      <c r="B374" s="595"/>
      <c r="C374" s="632"/>
      <c r="D374" s="617"/>
      <c r="E374" s="612"/>
      <c r="F374" s="30"/>
      <c r="G374" s="609"/>
      <c r="H374" s="609"/>
      <c r="I374" s="614"/>
      <c r="J374" s="609"/>
      <c r="K374" s="609"/>
      <c r="L374" s="609"/>
      <c r="M374" s="612"/>
      <c r="N374" s="606"/>
      <c r="O374" s="644"/>
      <c r="P374" s="330" t="s">
        <v>327</v>
      </c>
      <c r="Q374" s="331">
        <v>0.04</v>
      </c>
      <c r="R374" s="308">
        <v>302</v>
      </c>
      <c r="S374" s="307">
        <f t="shared" si="33"/>
        <v>12.08</v>
      </c>
      <c r="T374" s="27"/>
    </row>
    <row r="375" spans="1:20" x14ac:dyDescent="0.25">
      <c r="A375" s="592"/>
      <c r="B375" s="595"/>
      <c r="C375" s="632"/>
      <c r="D375" s="617"/>
      <c r="E375" s="612"/>
      <c r="F375" s="30"/>
      <c r="G375" s="609"/>
      <c r="H375" s="609"/>
      <c r="I375" s="614"/>
      <c r="J375" s="609"/>
      <c r="K375" s="609"/>
      <c r="L375" s="609"/>
      <c r="M375" s="612"/>
      <c r="N375" s="606"/>
      <c r="O375" s="644"/>
      <c r="P375" s="329" t="s">
        <v>318</v>
      </c>
      <c r="Q375" s="331">
        <v>2</v>
      </c>
      <c r="R375" s="308">
        <v>256.5</v>
      </c>
      <c r="S375" s="307">
        <f t="shared" si="33"/>
        <v>513</v>
      </c>
      <c r="T375" s="27"/>
    </row>
    <row r="376" spans="1:20" x14ac:dyDescent="0.25">
      <c r="A376" s="592"/>
      <c r="B376" s="595"/>
      <c r="C376" s="632"/>
      <c r="D376" s="617"/>
      <c r="E376" s="612"/>
      <c r="F376" s="30"/>
      <c r="G376" s="609"/>
      <c r="H376" s="609"/>
      <c r="I376" s="614"/>
      <c r="J376" s="609"/>
      <c r="K376" s="609"/>
      <c r="L376" s="609"/>
      <c r="M376" s="612"/>
      <c r="N376" s="606"/>
      <c r="O376" s="644"/>
      <c r="P376" s="330" t="s">
        <v>325</v>
      </c>
      <c r="Q376" s="307">
        <v>0.01</v>
      </c>
      <c r="R376" s="308">
        <v>649</v>
      </c>
      <c r="S376" s="307">
        <f t="shared" si="33"/>
        <v>6.49</v>
      </c>
      <c r="T376" s="27"/>
    </row>
    <row r="377" spans="1:20" x14ac:dyDescent="0.25">
      <c r="A377" s="592"/>
      <c r="B377" s="595"/>
      <c r="C377" s="632"/>
      <c r="D377" s="617"/>
      <c r="E377" s="612"/>
      <c r="F377" s="30"/>
      <c r="G377" s="609"/>
      <c r="H377" s="609"/>
      <c r="I377" s="614"/>
      <c r="J377" s="609"/>
      <c r="K377" s="609"/>
      <c r="L377" s="609"/>
      <c r="M377" s="612"/>
      <c r="N377" s="606"/>
      <c r="O377" s="644"/>
      <c r="P377" s="330" t="s">
        <v>324</v>
      </c>
      <c r="Q377" s="331">
        <v>1</v>
      </c>
      <c r="R377" s="308">
        <v>44</v>
      </c>
      <c r="S377" s="307">
        <f t="shared" si="33"/>
        <v>44</v>
      </c>
      <c r="T377" s="27"/>
    </row>
    <row r="378" spans="1:20" ht="31.5" x14ac:dyDescent="0.25">
      <c r="A378" s="592"/>
      <c r="B378" s="595"/>
      <c r="C378" s="632"/>
      <c r="D378" s="617"/>
      <c r="E378" s="490"/>
      <c r="F378" s="30"/>
      <c r="G378" s="610"/>
      <c r="H378" s="610"/>
      <c r="I378" s="615"/>
      <c r="J378" s="610"/>
      <c r="K378" s="610"/>
      <c r="L378" s="610"/>
      <c r="M378" s="490"/>
      <c r="N378" s="607"/>
      <c r="O378" s="645"/>
      <c r="P378" s="329" t="s">
        <v>291</v>
      </c>
      <c r="Q378" s="307">
        <v>0.02</v>
      </c>
      <c r="R378" s="308">
        <v>34</v>
      </c>
      <c r="S378" s="307">
        <f t="shared" si="33"/>
        <v>0.68</v>
      </c>
      <c r="T378" s="27"/>
    </row>
    <row r="379" spans="1:20" x14ac:dyDescent="0.25">
      <c r="A379" s="592"/>
      <c r="B379" s="595"/>
      <c r="C379" s="628"/>
      <c r="D379" s="604"/>
      <c r="E379" s="34" t="s">
        <v>294</v>
      </c>
      <c r="F379" s="30"/>
      <c r="G379" s="27">
        <v>1.26</v>
      </c>
      <c r="H379" s="27">
        <v>1</v>
      </c>
      <c r="I379" s="238">
        <f t="shared" ref="I379" si="39">H379*G379</f>
        <v>1.26</v>
      </c>
      <c r="J379" s="27"/>
      <c r="K379" s="27"/>
      <c r="L379" s="27"/>
      <c r="M379" s="387">
        <v>4</v>
      </c>
      <c r="N379" s="385">
        <v>454.87</v>
      </c>
      <c r="O379" s="328">
        <f t="shared" si="35"/>
        <v>573.13620000000003</v>
      </c>
      <c r="P379" s="329" t="s">
        <v>328</v>
      </c>
      <c r="Q379" s="27"/>
      <c r="R379" s="308"/>
      <c r="S379" s="307"/>
      <c r="T379" s="27"/>
    </row>
    <row r="380" spans="1:20" x14ac:dyDescent="0.25">
      <c r="A380" s="592"/>
      <c r="B380" s="595"/>
      <c r="C380" s="627" t="s">
        <v>348</v>
      </c>
      <c r="D380" s="603">
        <v>1</v>
      </c>
      <c r="E380" s="30" t="s">
        <v>43</v>
      </c>
      <c r="F380" s="30"/>
      <c r="G380" s="332">
        <v>2E-3</v>
      </c>
      <c r="H380" s="332">
        <v>2</v>
      </c>
      <c r="I380" s="333">
        <v>3.0888</v>
      </c>
      <c r="J380" s="333">
        <v>6</v>
      </c>
      <c r="K380" s="334"/>
      <c r="L380" s="334"/>
      <c r="M380" s="399">
        <v>6</v>
      </c>
      <c r="N380" s="385">
        <v>454.87</v>
      </c>
      <c r="O380" s="328">
        <f t="shared" si="35"/>
        <v>1405.0024559999999</v>
      </c>
      <c r="P380" s="329"/>
      <c r="Q380" s="307"/>
      <c r="R380" s="308"/>
      <c r="S380" s="307"/>
      <c r="T380" s="27"/>
    </row>
    <row r="381" spans="1:20" x14ac:dyDescent="0.25">
      <c r="A381" s="592"/>
      <c r="B381" s="595"/>
      <c r="C381" s="628"/>
      <c r="D381" s="604"/>
      <c r="E381" s="30" t="s">
        <v>44</v>
      </c>
      <c r="F381" s="30"/>
      <c r="G381" s="332">
        <v>2E-3</v>
      </c>
      <c r="H381" s="332">
        <v>4</v>
      </c>
      <c r="I381" s="333">
        <v>3.0888</v>
      </c>
      <c r="J381" s="333">
        <v>6</v>
      </c>
      <c r="K381" s="27"/>
      <c r="L381" s="27"/>
      <c r="M381" s="387">
        <v>6</v>
      </c>
      <c r="N381" s="385">
        <v>454.87</v>
      </c>
      <c r="O381" s="328">
        <f t="shared" si="35"/>
        <v>1405.0024559999999</v>
      </c>
      <c r="P381" s="330"/>
      <c r="Q381" s="27"/>
      <c r="R381" s="308"/>
      <c r="S381" s="307"/>
      <c r="T381" s="27"/>
    </row>
    <row r="382" spans="1:20" x14ac:dyDescent="0.25">
      <c r="A382" s="592"/>
      <c r="B382" s="595"/>
      <c r="C382" s="627" t="s">
        <v>336</v>
      </c>
      <c r="D382" s="603">
        <v>2</v>
      </c>
      <c r="E382" s="30" t="s">
        <v>43</v>
      </c>
      <c r="F382" s="30"/>
      <c r="G382" s="326">
        <v>5.0000000000000001E-3</v>
      </c>
      <c r="H382" s="335">
        <v>2</v>
      </c>
      <c r="I382" s="339">
        <v>3.8610000000000002</v>
      </c>
      <c r="J382" s="27"/>
      <c r="K382" s="27"/>
      <c r="L382" s="27"/>
      <c r="M382" s="387">
        <v>6</v>
      </c>
      <c r="N382" s="385">
        <v>454.87</v>
      </c>
      <c r="O382" s="328">
        <f t="shared" si="35"/>
        <v>1756.2530700000002</v>
      </c>
      <c r="P382" s="330"/>
      <c r="Q382" s="27"/>
      <c r="R382" s="308"/>
      <c r="S382" s="307"/>
      <c r="T382" s="27"/>
    </row>
    <row r="383" spans="1:20" x14ac:dyDescent="0.25">
      <c r="A383" s="592"/>
      <c r="B383" s="595"/>
      <c r="C383" s="628"/>
      <c r="D383" s="604"/>
      <c r="E383" s="30" t="s">
        <v>44</v>
      </c>
      <c r="F383" s="30"/>
      <c r="G383" s="326">
        <v>5.0000000000000001E-4</v>
      </c>
      <c r="H383" s="335">
        <v>4</v>
      </c>
      <c r="I383" s="337">
        <v>0.3861</v>
      </c>
      <c r="J383" s="27"/>
      <c r="K383" s="27"/>
      <c r="L383" s="27"/>
      <c r="M383" s="387">
        <v>6</v>
      </c>
      <c r="N383" s="385">
        <v>454.87</v>
      </c>
      <c r="O383" s="328">
        <f t="shared" si="35"/>
        <v>175.62530699999999</v>
      </c>
      <c r="P383" s="330"/>
      <c r="Q383" s="27"/>
      <c r="R383" s="308"/>
      <c r="S383" s="307"/>
      <c r="T383" s="27"/>
    </row>
    <row r="384" spans="1:20" x14ac:dyDescent="0.25">
      <c r="A384" s="592"/>
      <c r="B384" s="595"/>
      <c r="C384" s="627" t="s">
        <v>349</v>
      </c>
      <c r="D384" s="603">
        <v>2</v>
      </c>
      <c r="E384" s="30" t="s">
        <v>43</v>
      </c>
      <c r="F384" s="30"/>
      <c r="G384" s="332">
        <v>1E-3</v>
      </c>
      <c r="H384" s="332">
        <v>2</v>
      </c>
      <c r="I384" s="337">
        <v>3.0888</v>
      </c>
      <c r="J384" s="27"/>
      <c r="K384" s="27"/>
      <c r="L384" s="27"/>
      <c r="M384" s="387">
        <v>6</v>
      </c>
      <c r="N384" s="385">
        <v>454.87</v>
      </c>
      <c r="O384" s="328">
        <f t="shared" si="35"/>
        <v>1405.0024559999999</v>
      </c>
      <c r="P384" s="330"/>
      <c r="Q384" s="27"/>
      <c r="R384" s="308"/>
      <c r="S384" s="307"/>
      <c r="T384" s="27"/>
    </row>
    <row r="385" spans="1:20" x14ac:dyDescent="0.25">
      <c r="A385" s="592"/>
      <c r="B385" s="595"/>
      <c r="C385" s="628"/>
      <c r="D385" s="604"/>
      <c r="E385" s="30" t="s">
        <v>44</v>
      </c>
      <c r="F385" s="30"/>
      <c r="G385" s="332">
        <v>1E-4</v>
      </c>
      <c r="H385" s="332">
        <v>4</v>
      </c>
      <c r="I385" s="338">
        <v>0.30887999999999999</v>
      </c>
      <c r="J385" s="27"/>
      <c r="K385" s="27"/>
      <c r="L385" s="27"/>
      <c r="M385" s="387">
        <v>6</v>
      </c>
      <c r="N385" s="385">
        <v>454.87</v>
      </c>
      <c r="O385" s="328">
        <f t="shared" si="35"/>
        <v>140.5002456</v>
      </c>
      <c r="P385" s="330"/>
      <c r="Q385" s="27"/>
      <c r="R385" s="308"/>
      <c r="S385" s="307"/>
      <c r="T385" s="27"/>
    </row>
    <row r="386" spans="1:20" x14ac:dyDescent="0.25">
      <c r="A386" s="593"/>
      <c r="B386" s="596"/>
      <c r="C386" s="219" t="s">
        <v>350</v>
      </c>
      <c r="D386" s="240">
        <v>1</v>
      </c>
      <c r="E386" s="30" t="s">
        <v>44</v>
      </c>
      <c r="F386" s="30"/>
      <c r="G386" s="326">
        <v>5.0000000000000001E-4</v>
      </c>
      <c r="H386" s="335">
        <v>4</v>
      </c>
      <c r="I386" s="333">
        <v>0.19305</v>
      </c>
      <c r="J386" s="27"/>
      <c r="K386" s="27"/>
      <c r="L386" s="27"/>
      <c r="M386" s="387">
        <v>6</v>
      </c>
      <c r="N386" s="385">
        <v>454.87</v>
      </c>
      <c r="O386" s="328">
        <f t="shared" si="35"/>
        <v>87.812653499999996</v>
      </c>
      <c r="P386" s="330"/>
      <c r="Q386" s="27"/>
      <c r="R386" s="308"/>
      <c r="S386" s="307"/>
      <c r="T386" s="27"/>
    </row>
    <row r="387" spans="1:20" ht="31.5" x14ac:dyDescent="0.25">
      <c r="A387" s="591">
        <v>4</v>
      </c>
      <c r="B387" s="341"/>
      <c r="C387" s="627" t="s">
        <v>347</v>
      </c>
      <c r="D387" s="603">
        <v>1</v>
      </c>
      <c r="E387" s="611" t="s">
        <v>290</v>
      </c>
      <c r="F387" s="30"/>
      <c r="G387" s="611">
        <v>1.03</v>
      </c>
      <c r="H387" s="611">
        <v>8</v>
      </c>
      <c r="I387" s="618">
        <f>H387*G387</f>
        <v>8.24</v>
      </c>
      <c r="J387" s="621"/>
      <c r="K387" s="624"/>
      <c r="L387" s="624"/>
      <c r="M387" s="611">
        <v>4</v>
      </c>
      <c r="N387" s="633">
        <v>454.87</v>
      </c>
      <c r="O387" s="643">
        <f t="shared" si="35"/>
        <v>3748.1288</v>
      </c>
      <c r="P387" s="329" t="s">
        <v>297</v>
      </c>
      <c r="Q387" s="307">
        <v>0.04</v>
      </c>
      <c r="R387" s="308">
        <v>875.26</v>
      </c>
      <c r="S387" s="307">
        <f t="shared" si="33"/>
        <v>35.010399999999997</v>
      </c>
      <c r="T387" s="27"/>
    </row>
    <row r="388" spans="1:20" x14ac:dyDescent="0.25">
      <c r="A388" s="592"/>
      <c r="B388" s="341"/>
      <c r="C388" s="632"/>
      <c r="D388" s="617"/>
      <c r="E388" s="612"/>
      <c r="F388" s="30"/>
      <c r="G388" s="612"/>
      <c r="H388" s="612"/>
      <c r="I388" s="619"/>
      <c r="J388" s="622"/>
      <c r="K388" s="625"/>
      <c r="L388" s="625"/>
      <c r="M388" s="612"/>
      <c r="N388" s="606"/>
      <c r="O388" s="644"/>
      <c r="P388" s="329" t="s">
        <v>298</v>
      </c>
      <c r="Q388" s="307">
        <v>0.05</v>
      </c>
      <c r="R388" s="308">
        <v>179.8</v>
      </c>
      <c r="S388" s="307">
        <f t="shared" si="33"/>
        <v>8.99</v>
      </c>
      <c r="T388" s="27"/>
    </row>
    <row r="389" spans="1:20" ht="31.5" x14ac:dyDescent="0.25">
      <c r="A389" s="592"/>
      <c r="B389" s="341"/>
      <c r="C389" s="632"/>
      <c r="D389" s="617"/>
      <c r="E389" s="612"/>
      <c r="F389" s="30"/>
      <c r="G389" s="612"/>
      <c r="H389" s="612"/>
      <c r="I389" s="619"/>
      <c r="J389" s="622"/>
      <c r="K389" s="625"/>
      <c r="L389" s="625"/>
      <c r="M389" s="612"/>
      <c r="N389" s="606"/>
      <c r="O389" s="644"/>
      <c r="P389" s="329" t="s">
        <v>291</v>
      </c>
      <c r="Q389" s="307">
        <v>0.1</v>
      </c>
      <c r="R389" s="308">
        <v>34</v>
      </c>
      <c r="S389" s="307">
        <f t="shared" si="33"/>
        <v>3.4000000000000004</v>
      </c>
      <c r="T389" s="27"/>
    </row>
    <row r="390" spans="1:20" x14ac:dyDescent="0.25">
      <c r="A390" s="592"/>
      <c r="B390" s="341"/>
      <c r="C390" s="632"/>
      <c r="D390" s="617"/>
      <c r="E390" s="612"/>
      <c r="F390" s="30"/>
      <c r="G390" s="612"/>
      <c r="H390" s="612"/>
      <c r="I390" s="619"/>
      <c r="J390" s="622"/>
      <c r="K390" s="625"/>
      <c r="L390" s="625"/>
      <c r="M390" s="612"/>
      <c r="N390" s="606"/>
      <c r="O390" s="644"/>
      <c r="P390" s="329" t="s">
        <v>299</v>
      </c>
      <c r="Q390" s="307">
        <v>2</v>
      </c>
      <c r="R390" s="308">
        <v>4.0999999999999996</v>
      </c>
      <c r="S390" s="307">
        <f t="shared" si="33"/>
        <v>8.1999999999999993</v>
      </c>
      <c r="T390" s="27"/>
    </row>
    <row r="391" spans="1:20" x14ac:dyDescent="0.25">
      <c r="A391" s="592"/>
      <c r="B391" s="341"/>
      <c r="C391" s="632"/>
      <c r="D391" s="617"/>
      <c r="E391" s="490"/>
      <c r="F391" s="30"/>
      <c r="G391" s="490"/>
      <c r="H391" s="490"/>
      <c r="I391" s="620"/>
      <c r="J391" s="623"/>
      <c r="K391" s="626"/>
      <c r="L391" s="626"/>
      <c r="M391" s="490"/>
      <c r="N391" s="607"/>
      <c r="O391" s="645"/>
      <c r="P391" s="329" t="s">
        <v>300</v>
      </c>
      <c r="Q391" s="307">
        <v>0.25</v>
      </c>
      <c r="R391" s="308">
        <v>272</v>
      </c>
      <c r="S391" s="307">
        <f t="shared" ref="S391:S454" si="40">(Q391*R391)</f>
        <v>68</v>
      </c>
      <c r="T391" s="27"/>
    </row>
    <row r="392" spans="1:20" x14ac:dyDescent="0.25">
      <c r="A392" s="592"/>
      <c r="B392" s="341"/>
      <c r="C392" s="632"/>
      <c r="D392" s="617"/>
      <c r="E392" s="611" t="s">
        <v>292</v>
      </c>
      <c r="F392" s="30"/>
      <c r="G392" s="608">
        <v>2.46</v>
      </c>
      <c r="H392" s="608">
        <v>3</v>
      </c>
      <c r="I392" s="613">
        <f t="shared" ref="I392" si="41">H392*G392</f>
        <v>7.38</v>
      </c>
      <c r="J392" s="608"/>
      <c r="K392" s="608"/>
      <c r="L392" s="608"/>
      <c r="M392" s="611">
        <v>4</v>
      </c>
      <c r="N392" s="633">
        <v>454.87</v>
      </c>
      <c r="O392" s="643">
        <f t="shared" ref="O392:O454" si="42">I392*N392</f>
        <v>3356.9405999999999</v>
      </c>
      <c r="P392" s="329" t="s">
        <v>298</v>
      </c>
      <c r="Q392" s="307">
        <v>0.2</v>
      </c>
      <c r="R392" s="308">
        <v>179.8</v>
      </c>
      <c r="S392" s="307">
        <f t="shared" si="40"/>
        <v>35.96</v>
      </c>
      <c r="T392" s="27"/>
    </row>
    <row r="393" spans="1:20" ht="31.5" x14ac:dyDescent="0.25">
      <c r="A393" s="592"/>
      <c r="B393" s="341"/>
      <c r="C393" s="632"/>
      <c r="D393" s="617"/>
      <c r="E393" s="612"/>
      <c r="F393" s="30"/>
      <c r="G393" s="609"/>
      <c r="H393" s="609"/>
      <c r="I393" s="614"/>
      <c r="J393" s="609"/>
      <c r="K393" s="609"/>
      <c r="L393" s="609"/>
      <c r="M393" s="612"/>
      <c r="N393" s="606"/>
      <c r="O393" s="644"/>
      <c r="P393" s="329" t="s">
        <v>297</v>
      </c>
      <c r="Q393" s="307">
        <v>0.01</v>
      </c>
      <c r="R393" s="308">
        <v>875.26</v>
      </c>
      <c r="S393" s="307">
        <f t="shared" si="40"/>
        <v>8.7525999999999993</v>
      </c>
      <c r="T393" s="27"/>
    </row>
    <row r="394" spans="1:20" ht="31.5" x14ac:dyDescent="0.25">
      <c r="A394" s="592"/>
      <c r="B394" s="341"/>
      <c r="C394" s="632"/>
      <c r="D394" s="617"/>
      <c r="E394" s="612"/>
      <c r="F394" s="30"/>
      <c r="G394" s="609"/>
      <c r="H394" s="609"/>
      <c r="I394" s="614"/>
      <c r="J394" s="609"/>
      <c r="K394" s="609"/>
      <c r="L394" s="609"/>
      <c r="M394" s="612"/>
      <c r="N394" s="606"/>
      <c r="O394" s="644"/>
      <c r="P394" s="329" t="s">
        <v>293</v>
      </c>
      <c r="Q394" s="307">
        <v>6.0000000000000001E-3</v>
      </c>
      <c r="R394" s="308">
        <v>11200</v>
      </c>
      <c r="S394" s="307">
        <f t="shared" si="40"/>
        <v>67.2</v>
      </c>
      <c r="T394" s="27"/>
    </row>
    <row r="395" spans="1:20" ht="31.5" x14ac:dyDescent="0.25">
      <c r="A395" s="592"/>
      <c r="B395" s="341"/>
      <c r="C395" s="632"/>
      <c r="D395" s="617"/>
      <c r="E395" s="612"/>
      <c r="F395" s="30"/>
      <c r="G395" s="609"/>
      <c r="H395" s="609"/>
      <c r="I395" s="614"/>
      <c r="J395" s="609"/>
      <c r="K395" s="609"/>
      <c r="L395" s="609"/>
      <c r="M395" s="612"/>
      <c r="N395" s="606"/>
      <c r="O395" s="644"/>
      <c r="P395" s="329" t="s">
        <v>295</v>
      </c>
      <c r="Q395" s="307">
        <v>4.0000000000000001E-3</v>
      </c>
      <c r="R395" s="308">
        <v>2350</v>
      </c>
      <c r="S395" s="307">
        <f t="shared" si="40"/>
        <v>9.4</v>
      </c>
      <c r="T395" s="27"/>
    </row>
    <row r="396" spans="1:20" ht="31.5" x14ac:dyDescent="0.25">
      <c r="A396" s="592"/>
      <c r="B396" s="341"/>
      <c r="C396" s="632"/>
      <c r="D396" s="617"/>
      <c r="E396" s="612"/>
      <c r="F396" s="30"/>
      <c r="G396" s="609"/>
      <c r="H396" s="609"/>
      <c r="I396" s="614"/>
      <c r="J396" s="609"/>
      <c r="K396" s="609"/>
      <c r="L396" s="609"/>
      <c r="M396" s="612"/>
      <c r="N396" s="606"/>
      <c r="O396" s="644"/>
      <c r="P396" s="329" t="s">
        <v>301</v>
      </c>
      <c r="Q396" s="307">
        <v>0.05</v>
      </c>
      <c r="R396" s="308">
        <v>1148</v>
      </c>
      <c r="S396" s="307">
        <f t="shared" si="40"/>
        <v>57.400000000000006</v>
      </c>
      <c r="T396" s="27"/>
    </row>
    <row r="397" spans="1:20" ht="31.5" x14ac:dyDescent="0.25">
      <c r="A397" s="592"/>
      <c r="B397" s="341"/>
      <c r="C397" s="632"/>
      <c r="D397" s="617"/>
      <c r="E397" s="612"/>
      <c r="F397" s="30"/>
      <c r="G397" s="609"/>
      <c r="H397" s="609"/>
      <c r="I397" s="614"/>
      <c r="J397" s="609"/>
      <c r="K397" s="609"/>
      <c r="L397" s="609"/>
      <c r="M397" s="612"/>
      <c r="N397" s="606"/>
      <c r="O397" s="644"/>
      <c r="P397" s="329" t="s">
        <v>291</v>
      </c>
      <c r="Q397" s="307">
        <v>0.02</v>
      </c>
      <c r="R397" s="308">
        <v>34</v>
      </c>
      <c r="S397" s="307">
        <f t="shared" si="40"/>
        <v>0.68</v>
      </c>
      <c r="T397" s="27"/>
    </row>
    <row r="398" spans="1:20" x14ac:dyDescent="0.25">
      <c r="A398" s="592"/>
      <c r="B398" s="341"/>
      <c r="C398" s="632"/>
      <c r="D398" s="617"/>
      <c r="E398" s="612"/>
      <c r="F398" s="30"/>
      <c r="G398" s="609"/>
      <c r="H398" s="609"/>
      <c r="I398" s="614"/>
      <c r="J398" s="609"/>
      <c r="K398" s="609"/>
      <c r="L398" s="609"/>
      <c r="M398" s="612"/>
      <c r="N398" s="606"/>
      <c r="O398" s="644"/>
      <c r="P398" s="329" t="s">
        <v>300</v>
      </c>
      <c r="Q398" s="307">
        <v>0.25</v>
      </c>
      <c r="R398" s="308">
        <v>272</v>
      </c>
      <c r="S398" s="307">
        <f t="shared" si="40"/>
        <v>68</v>
      </c>
      <c r="T398" s="27"/>
    </row>
    <row r="399" spans="1:20" x14ac:dyDescent="0.25">
      <c r="A399" s="592"/>
      <c r="B399" s="341"/>
      <c r="C399" s="632"/>
      <c r="D399" s="617"/>
      <c r="E399" s="612"/>
      <c r="F399" s="30"/>
      <c r="G399" s="609"/>
      <c r="H399" s="609"/>
      <c r="I399" s="614"/>
      <c r="J399" s="609"/>
      <c r="K399" s="609"/>
      <c r="L399" s="609"/>
      <c r="M399" s="612"/>
      <c r="N399" s="606"/>
      <c r="O399" s="644"/>
      <c r="P399" s="329" t="s">
        <v>302</v>
      </c>
      <c r="Q399" s="307">
        <v>0.08</v>
      </c>
      <c r="R399" s="308">
        <v>950</v>
      </c>
      <c r="S399" s="307">
        <f t="shared" si="40"/>
        <v>76</v>
      </c>
      <c r="T399" s="27"/>
    </row>
    <row r="400" spans="1:20" ht="31.5" x14ac:dyDescent="0.25">
      <c r="A400" s="592"/>
      <c r="B400" s="341"/>
      <c r="C400" s="632"/>
      <c r="D400" s="617"/>
      <c r="E400" s="490"/>
      <c r="F400" s="30"/>
      <c r="G400" s="610"/>
      <c r="H400" s="610"/>
      <c r="I400" s="615"/>
      <c r="J400" s="610"/>
      <c r="K400" s="610"/>
      <c r="L400" s="610"/>
      <c r="M400" s="490"/>
      <c r="N400" s="607"/>
      <c r="O400" s="645"/>
      <c r="P400" s="329" t="s">
        <v>303</v>
      </c>
      <c r="Q400" s="307">
        <v>1</v>
      </c>
      <c r="R400" s="308">
        <v>6790</v>
      </c>
      <c r="S400" s="307">
        <f t="shared" si="40"/>
        <v>6790</v>
      </c>
      <c r="T400" s="27"/>
    </row>
    <row r="401" spans="1:20" ht="31.5" x14ac:dyDescent="0.25">
      <c r="A401" s="592"/>
      <c r="B401" s="341"/>
      <c r="C401" s="632"/>
      <c r="D401" s="617"/>
      <c r="E401" s="611" t="s">
        <v>294</v>
      </c>
      <c r="F401" s="30"/>
      <c r="G401" s="608">
        <v>8.51</v>
      </c>
      <c r="H401" s="608">
        <v>1</v>
      </c>
      <c r="I401" s="613">
        <f t="shared" ref="I401" si="43">H401*G401</f>
        <v>8.51</v>
      </c>
      <c r="J401" s="608"/>
      <c r="K401" s="608"/>
      <c r="L401" s="608"/>
      <c r="M401" s="611">
        <v>4</v>
      </c>
      <c r="N401" s="633">
        <v>454.87</v>
      </c>
      <c r="O401" s="643">
        <f t="shared" si="42"/>
        <v>3870.9436999999998</v>
      </c>
      <c r="P401" s="329" t="s">
        <v>293</v>
      </c>
      <c r="Q401" s="307">
        <v>6.0000000000000001E-3</v>
      </c>
      <c r="R401" s="308">
        <v>11200</v>
      </c>
      <c r="S401" s="307">
        <f t="shared" si="40"/>
        <v>67.2</v>
      </c>
      <c r="T401" s="27"/>
    </row>
    <row r="402" spans="1:20" ht="31.5" x14ac:dyDescent="0.25">
      <c r="A402" s="592"/>
      <c r="B402" s="341"/>
      <c r="C402" s="632"/>
      <c r="D402" s="617"/>
      <c r="E402" s="612"/>
      <c r="F402" s="30"/>
      <c r="G402" s="609"/>
      <c r="H402" s="609"/>
      <c r="I402" s="614"/>
      <c r="J402" s="609"/>
      <c r="K402" s="609"/>
      <c r="L402" s="609"/>
      <c r="M402" s="612"/>
      <c r="N402" s="606"/>
      <c r="O402" s="644"/>
      <c r="P402" s="329" t="s">
        <v>295</v>
      </c>
      <c r="Q402" s="307">
        <v>4.0000000000000001E-3</v>
      </c>
      <c r="R402" s="308">
        <v>2350</v>
      </c>
      <c r="S402" s="307">
        <f t="shared" si="40"/>
        <v>9.4</v>
      </c>
      <c r="T402" s="27"/>
    </row>
    <row r="403" spans="1:20" ht="31.5" x14ac:dyDescent="0.25">
      <c r="A403" s="592"/>
      <c r="B403" s="341"/>
      <c r="C403" s="632"/>
      <c r="D403" s="617"/>
      <c r="E403" s="612"/>
      <c r="F403" s="30"/>
      <c r="G403" s="609"/>
      <c r="H403" s="609"/>
      <c r="I403" s="614"/>
      <c r="J403" s="609"/>
      <c r="K403" s="609"/>
      <c r="L403" s="609"/>
      <c r="M403" s="612"/>
      <c r="N403" s="606"/>
      <c r="O403" s="644"/>
      <c r="P403" s="329" t="s">
        <v>291</v>
      </c>
      <c r="Q403" s="307">
        <v>0.02</v>
      </c>
      <c r="R403" s="308">
        <v>34</v>
      </c>
      <c r="S403" s="307">
        <f t="shared" si="40"/>
        <v>0.68</v>
      </c>
      <c r="T403" s="27"/>
    </row>
    <row r="404" spans="1:20" ht="31.5" x14ac:dyDescent="0.25">
      <c r="A404" s="592"/>
      <c r="B404" s="341"/>
      <c r="C404" s="632"/>
      <c r="D404" s="617"/>
      <c r="E404" s="612"/>
      <c r="F404" s="30"/>
      <c r="G404" s="609"/>
      <c r="H404" s="609"/>
      <c r="I404" s="614"/>
      <c r="J404" s="609"/>
      <c r="K404" s="609"/>
      <c r="L404" s="609"/>
      <c r="M404" s="612"/>
      <c r="N404" s="606"/>
      <c r="O404" s="644"/>
      <c r="P404" s="329" t="s">
        <v>301</v>
      </c>
      <c r="Q404" s="307">
        <v>0.05</v>
      </c>
      <c r="R404" s="308">
        <v>1148</v>
      </c>
      <c r="S404" s="307">
        <f t="shared" si="40"/>
        <v>57.400000000000006</v>
      </c>
      <c r="T404" s="27"/>
    </row>
    <row r="405" spans="1:20" x14ac:dyDescent="0.25">
      <c r="A405" s="592"/>
      <c r="B405" s="341"/>
      <c r="C405" s="632"/>
      <c r="D405" s="617"/>
      <c r="E405" s="612"/>
      <c r="F405" s="30"/>
      <c r="G405" s="609"/>
      <c r="H405" s="609"/>
      <c r="I405" s="614"/>
      <c r="J405" s="609"/>
      <c r="K405" s="609"/>
      <c r="L405" s="609"/>
      <c r="M405" s="612"/>
      <c r="N405" s="606"/>
      <c r="O405" s="644"/>
      <c r="P405" s="329" t="s">
        <v>300</v>
      </c>
      <c r="Q405" s="307">
        <v>0.25</v>
      </c>
      <c r="R405" s="308">
        <v>272</v>
      </c>
      <c r="S405" s="307">
        <f t="shared" si="40"/>
        <v>68</v>
      </c>
      <c r="T405" s="27"/>
    </row>
    <row r="406" spans="1:20" x14ac:dyDescent="0.25">
      <c r="A406" s="592"/>
      <c r="B406" s="341"/>
      <c r="C406" s="632"/>
      <c r="D406" s="617"/>
      <c r="E406" s="612"/>
      <c r="F406" s="30"/>
      <c r="G406" s="609"/>
      <c r="H406" s="609"/>
      <c r="I406" s="614"/>
      <c r="J406" s="609"/>
      <c r="K406" s="609"/>
      <c r="L406" s="609"/>
      <c r="M406" s="612"/>
      <c r="N406" s="606"/>
      <c r="O406" s="644"/>
      <c r="P406" s="329" t="s">
        <v>302</v>
      </c>
      <c r="Q406" s="307">
        <v>0.08</v>
      </c>
      <c r="R406" s="308">
        <v>950</v>
      </c>
      <c r="S406" s="307">
        <f t="shared" si="40"/>
        <v>76</v>
      </c>
      <c r="T406" s="27"/>
    </row>
    <row r="407" spans="1:20" ht="31.5" x14ac:dyDescent="0.25">
      <c r="A407" s="592"/>
      <c r="B407" s="341"/>
      <c r="C407" s="632"/>
      <c r="D407" s="617"/>
      <c r="E407" s="612"/>
      <c r="F407" s="30"/>
      <c r="G407" s="609"/>
      <c r="H407" s="609"/>
      <c r="I407" s="614"/>
      <c r="J407" s="609"/>
      <c r="K407" s="609"/>
      <c r="L407" s="609"/>
      <c r="M407" s="612"/>
      <c r="N407" s="606"/>
      <c r="O407" s="644"/>
      <c r="P407" s="329" t="s">
        <v>303</v>
      </c>
      <c r="Q407" s="307">
        <v>1</v>
      </c>
      <c r="R407" s="308">
        <v>6790</v>
      </c>
      <c r="S407" s="307">
        <f t="shared" si="40"/>
        <v>6790</v>
      </c>
      <c r="T407" s="27"/>
    </row>
    <row r="408" spans="1:20" ht="31.5" x14ac:dyDescent="0.25">
      <c r="A408" s="592"/>
      <c r="B408" s="341"/>
      <c r="C408" s="632"/>
      <c r="D408" s="617"/>
      <c r="E408" s="612"/>
      <c r="F408" s="30"/>
      <c r="G408" s="609"/>
      <c r="H408" s="609"/>
      <c r="I408" s="614"/>
      <c r="J408" s="609"/>
      <c r="K408" s="609"/>
      <c r="L408" s="609"/>
      <c r="M408" s="612"/>
      <c r="N408" s="606"/>
      <c r="O408" s="644"/>
      <c r="P408" s="329" t="s">
        <v>304</v>
      </c>
      <c r="Q408" s="307">
        <v>3</v>
      </c>
      <c r="R408" s="308">
        <v>256.5</v>
      </c>
      <c r="S408" s="307">
        <f t="shared" si="40"/>
        <v>769.5</v>
      </c>
      <c r="T408" s="27"/>
    </row>
    <row r="409" spans="1:20" ht="31.5" x14ac:dyDescent="0.25">
      <c r="A409" s="592"/>
      <c r="B409" s="341"/>
      <c r="C409" s="632"/>
      <c r="D409" s="617"/>
      <c r="E409" s="612"/>
      <c r="F409" s="30"/>
      <c r="G409" s="609"/>
      <c r="H409" s="609"/>
      <c r="I409" s="614"/>
      <c r="J409" s="609"/>
      <c r="K409" s="609"/>
      <c r="L409" s="609"/>
      <c r="M409" s="612"/>
      <c r="N409" s="606"/>
      <c r="O409" s="644"/>
      <c r="P409" s="329" t="s">
        <v>305</v>
      </c>
      <c r="Q409" s="307">
        <v>0.03</v>
      </c>
      <c r="R409" s="308">
        <v>165</v>
      </c>
      <c r="S409" s="307">
        <f t="shared" si="40"/>
        <v>4.95</v>
      </c>
      <c r="T409" s="27"/>
    </row>
    <row r="410" spans="1:20" ht="47.25" x14ac:dyDescent="0.25">
      <c r="A410" s="592"/>
      <c r="B410" s="341"/>
      <c r="C410" s="632"/>
      <c r="D410" s="617"/>
      <c r="E410" s="612"/>
      <c r="F410" s="30"/>
      <c r="G410" s="609"/>
      <c r="H410" s="609"/>
      <c r="I410" s="614"/>
      <c r="J410" s="609"/>
      <c r="K410" s="609"/>
      <c r="L410" s="609"/>
      <c r="M410" s="612"/>
      <c r="N410" s="606"/>
      <c r="O410" s="644"/>
      <c r="P410" s="329" t="s">
        <v>306</v>
      </c>
      <c r="Q410" s="307">
        <v>0.01</v>
      </c>
      <c r="R410" s="308">
        <v>207</v>
      </c>
      <c r="S410" s="307">
        <f t="shared" si="40"/>
        <v>2.0699999999999998</v>
      </c>
      <c r="T410" s="27"/>
    </row>
    <row r="411" spans="1:20" x14ac:dyDescent="0.25">
      <c r="A411" s="592"/>
      <c r="B411" s="341"/>
      <c r="C411" s="632"/>
      <c r="D411" s="617"/>
      <c r="E411" s="612"/>
      <c r="F411" s="30"/>
      <c r="G411" s="609"/>
      <c r="H411" s="609"/>
      <c r="I411" s="614"/>
      <c r="J411" s="609"/>
      <c r="K411" s="609"/>
      <c r="L411" s="609"/>
      <c r="M411" s="612"/>
      <c r="N411" s="606"/>
      <c r="O411" s="644"/>
      <c r="P411" s="329" t="s">
        <v>307</v>
      </c>
      <c r="Q411" s="307">
        <v>0.2</v>
      </c>
      <c r="R411" s="308">
        <v>133</v>
      </c>
      <c r="S411" s="307">
        <f t="shared" si="40"/>
        <v>26.6</v>
      </c>
      <c r="T411" s="27"/>
    </row>
    <row r="412" spans="1:20" x14ac:dyDescent="0.25">
      <c r="A412" s="592"/>
      <c r="B412" s="341"/>
      <c r="C412" s="632"/>
      <c r="D412" s="617"/>
      <c r="E412" s="612"/>
      <c r="F412" s="30"/>
      <c r="G412" s="609"/>
      <c r="H412" s="609"/>
      <c r="I412" s="614"/>
      <c r="J412" s="609"/>
      <c r="K412" s="609"/>
      <c r="L412" s="609"/>
      <c r="M412" s="612"/>
      <c r="N412" s="606"/>
      <c r="O412" s="644"/>
      <c r="P412" s="329" t="s">
        <v>308</v>
      </c>
      <c r="Q412" s="307">
        <v>0.25</v>
      </c>
      <c r="R412" s="308">
        <v>625</v>
      </c>
      <c r="S412" s="307">
        <f t="shared" si="40"/>
        <v>156.25</v>
      </c>
      <c r="T412" s="27"/>
    </row>
    <row r="413" spans="1:20" x14ac:dyDescent="0.25">
      <c r="A413" s="592"/>
      <c r="B413" s="341"/>
      <c r="C413" s="632"/>
      <c r="D413" s="617"/>
      <c r="E413" s="612"/>
      <c r="F413" s="30"/>
      <c r="G413" s="609"/>
      <c r="H413" s="609"/>
      <c r="I413" s="614"/>
      <c r="J413" s="609"/>
      <c r="K413" s="609"/>
      <c r="L413" s="609"/>
      <c r="M413" s="612"/>
      <c r="N413" s="606"/>
      <c r="O413" s="644"/>
      <c r="P413" s="329" t="s">
        <v>298</v>
      </c>
      <c r="Q413" s="307">
        <v>0.2</v>
      </c>
      <c r="R413" s="308">
        <v>179.8</v>
      </c>
      <c r="S413" s="307">
        <f t="shared" si="40"/>
        <v>35.96</v>
      </c>
      <c r="T413" s="27"/>
    </row>
    <row r="414" spans="1:20" ht="31.5" x14ac:dyDescent="0.25">
      <c r="A414" s="592"/>
      <c r="B414" s="341"/>
      <c r="C414" s="628"/>
      <c r="D414" s="604"/>
      <c r="E414" s="490"/>
      <c r="F414" s="30"/>
      <c r="G414" s="610"/>
      <c r="H414" s="610"/>
      <c r="I414" s="615"/>
      <c r="J414" s="610"/>
      <c r="K414" s="610"/>
      <c r="L414" s="610"/>
      <c r="M414" s="490"/>
      <c r="N414" s="607"/>
      <c r="O414" s="645"/>
      <c r="P414" s="329" t="s">
        <v>297</v>
      </c>
      <c r="Q414" s="307">
        <v>0.01</v>
      </c>
      <c r="R414" s="308">
        <v>875.26</v>
      </c>
      <c r="S414" s="307">
        <f t="shared" si="40"/>
        <v>8.7525999999999993</v>
      </c>
      <c r="T414" s="27"/>
    </row>
    <row r="415" spans="1:20" x14ac:dyDescent="0.25">
      <c r="A415" s="592"/>
      <c r="B415" s="341"/>
      <c r="C415" s="627" t="s">
        <v>351</v>
      </c>
      <c r="D415" s="603">
        <v>1</v>
      </c>
      <c r="E415" s="611" t="s">
        <v>290</v>
      </c>
      <c r="F415" s="30"/>
      <c r="G415" s="608">
        <v>0.32</v>
      </c>
      <c r="H415" s="608">
        <v>8</v>
      </c>
      <c r="I415" s="613">
        <f>H415*G415</f>
        <v>2.56</v>
      </c>
      <c r="J415" s="629"/>
      <c r="K415" s="608"/>
      <c r="L415" s="608"/>
      <c r="M415" s="611">
        <v>5</v>
      </c>
      <c r="N415" s="633">
        <v>454.87</v>
      </c>
      <c r="O415" s="643">
        <f t="shared" si="42"/>
        <v>1164.4672</v>
      </c>
      <c r="P415" s="329" t="s">
        <v>310</v>
      </c>
      <c r="Q415" s="307">
        <v>0.01</v>
      </c>
      <c r="R415" s="308">
        <v>272</v>
      </c>
      <c r="S415" s="307">
        <f t="shared" si="40"/>
        <v>2.72</v>
      </c>
      <c r="T415" s="27"/>
    </row>
    <row r="416" spans="1:20" x14ac:dyDescent="0.25">
      <c r="A416" s="592"/>
      <c r="B416" s="341"/>
      <c r="C416" s="632"/>
      <c r="D416" s="617"/>
      <c r="E416" s="612"/>
      <c r="F416" s="30"/>
      <c r="G416" s="609"/>
      <c r="H416" s="609"/>
      <c r="I416" s="614"/>
      <c r="J416" s="630"/>
      <c r="K416" s="609"/>
      <c r="L416" s="609"/>
      <c r="M416" s="612"/>
      <c r="N416" s="606"/>
      <c r="O416" s="644"/>
      <c r="P416" s="329" t="s">
        <v>298</v>
      </c>
      <c r="Q416" s="307">
        <v>0.03</v>
      </c>
      <c r="R416" s="308">
        <v>179.8</v>
      </c>
      <c r="S416" s="307">
        <f t="shared" si="40"/>
        <v>5.3940000000000001</v>
      </c>
      <c r="T416" s="27"/>
    </row>
    <row r="417" spans="1:20" ht="31.5" x14ac:dyDescent="0.25">
      <c r="A417" s="592"/>
      <c r="B417" s="341"/>
      <c r="C417" s="632"/>
      <c r="D417" s="617"/>
      <c r="E417" s="490"/>
      <c r="F417" s="30"/>
      <c r="G417" s="610"/>
      <c r="H417" s="610"/>
      <c r="I417" s="615"/>
      <c r="J417" s="631"/>
      <c r="K417" s="610"/>
      <c r="L417" s="610"/>
      <c r="M417" s="490"/>
      <c r="N417" s="607"/>
      <c r="O417" s="645"/>
      <c r="P417" s="329" t="s">
        <v>311</v>
      </c>
      <c r="Q417" s="307">
        <v>0.03</v>
      </c>
      <c r="R417" s="308">
        <v>1385</v>
      </c>
      <c r="S417" s="307">
        <f t="shared" si="40"/>
        <v>41.55</v>
      </c>
      <c r="T417" s="27"/>
    </row>
    <row r="418" spans="1:20" x14ac:dyDescent="0.25">
      <c r="A418" s="592"/>
      <c r="B418" s="341"/>
      <c r="C418" s="632"/>
      <c r="D418" s="617"/>
      <c r="E418" s="611" t="s">
        <v>292</v>
      </c>
      <c r="F418" s="30"/>
      <c r="G418" s="608">
        <v>0.63</v>
      </c>
      <c r="H418" s="608">
        <v>3</v>
      </c>
      <c r="I418" s="613">
        <f t="shared" ref="I418" si="44">H418*G418</f>
        <v>1.8900000000000001</v>
      </c>
      <c r="J418" s="608"/>
      <c r="K418" s="608"/>
      <c r="L418" s="608"/>
      <c r="M418" s="611">
        <v>5</v>
      </c>
      <c r="N418" s="633">
        <v>454.87</v>
      </c>
      <c r="O418" s="643">
        <f t="shared" si="42"/>
        <v>859.7043000000001</v>
      </c>
      <c r="P418" s="329" t="s">
        <v>310</v>
      </c>
      <c r="Q418" s="307">
        <v>0.01</v>
      </c>
      <c r="R418" s="308">
        <v>272</v>
      </c>
      <c r="S418" s="307">
        <f t="shared" si="40"/>
        <v>2.72</v>
      </c>
      <c r="T418" s="27"/>
    </row>
    <row r="419" spans="1:20" x14ac:dyDescent="0.25">
      <c r="A419" s="592"/>
      <c r="B419" s="341"/>
      <c r="C419" s="632"/>
      <c r="D419" s="617"/>
      <c r="E419" s="612"/>
      <c r="F419" s="30"/>
      <c r="G419" s="609"/>
      <c r="H419" s="609"/>
      <c r="I419" s="614"/>
      <c r="J419" s="609"/>
      <c r="K419" s="609"/>
      <c r="L419" s="609"/>
      <c r="M419" s="612"/>
      <c r="N419" s="606"/>
      <c r="O419" s="644"/>
      <c r="P419" s="329" t="s">
        <v>312</v>
      </c>
      <c r="Q419" s="307">
        <v>0.5</v>
      </c>
      <c r="R419" s="308">
        <v>272</v>
      </c>
      <c r="S419" s="307">
        <f t="shared" si="40"/>
        <v>136</v>
      </c>
      <c r="T419" s="27"/>
    </row>
    <row r="420" spans="1:20" x14ac:dyDescent="0.25">
      <c r="A420" s="592"/>
      <c r="B420" s="341"/>
      <c r="C420" s="632"/>
      <c r="D420" s="617"/>
      <c r="E420" s="612"/>
      <c r="F420" s="30"/>
      <c r="G420" s="609"/>
      <c r="H420" s="609"/>
      <c r="I420" s="614"/>
      <c r="J420" s="609"/>
      <c r="K420" s="609"/>
      <c r="L420" s="609"/>
      <c r="M420" s="612"/>
      <c r="N420" s="606"/>
      <c r="O420" s="644"/>
      <c r="P420" s="329" t="s">
        <v>313</v>
      </c>
      <c r="Q420" s="307">
        <v>0.1</v>
      </c>
      <c r="R420" s="308">
        <v>632</v>
      </c>
      <c r="S420" s="307">
        <f t="shared" si="40"/>
        <v>63.2</v>
      </c>
      <c r="T420" s="27"/>
    </row>
    <row r="421" spans="1:20" x14ac:dyDescent="0.25">
      <c r="A421" s="592"/>
      <c r="B421" s="341"/>
      <c r="C421" s="632"/>
      <c r="D421" s="617"/>
      <c r="E421" s="612"/>
      <c r="F421" s="30"/>
      <c r="G421" s="609"/>
      <c r="H421" s="609"/>
      <c r="I421" s="614"/>
      <c r="J421" s="609"/>
      <c r="K421" s="609"/>
      <c r="L421" s="609"/>
      <c r="M421" s="612"/>
      <c r="N421" s="606"/>
      <c r="O421" s="644"/>
      <c r="P421" s="329" t="s">
        <v>314</v>
      </c>
      <c r="Q421" s="307">
        <v>0.03</v>
      </c>
      <c r="R421" s="308">
        <v>179</v>
      </c>
      <c r="S421" s="307">
        <f t="shared" si="40"/>
        <v>5.37</v>
      </c>
      <c r="T421" s="27"/>
    </row>
    <row r="422" spans="1:20" ht="31.5" x14ac:dyDescent="0.25">
      <c r="A422" s="592"/>
      <c r="B422" s="341"/>
      <c r="C422" s="632"/>
      <c r="D422" s="617"/>
      <c r="E422" s="612"/>
      <c r="F422" s="30"/>
      <c r="G422" s="609"/>
      <c r="H422" s="609"/>
      <c r="I422" s="614"/>
      <c r="J422" s="609"/>
      <c r="K422" s="609"/>
      <c r="L422" s="609"/>
      <c r="M422" s="612"/>
      <c r="N422" s="606"/>
      <c r="O422" s="644"/>
      <c r="P422" s="329" t="s">
        <v>315</v>
      </c>
      <c r="Q422" s="307">
        <v>4.0000000000000001E-3</v>
      </c>
      <c r="R422" s="308">
        <v>302</v>
      </c>
      <c r="S422" s="307">
        <f t="shared" si="40"/>
        <v>1.208</v>
      </c>
      <c r="T422" s="27"/>
    </row>
    <row r="423" spans="1:20" ht="31.5" x14ac:dyDescent="0.25">
      <c r="A423" s="592"/>
      <c r="B423" s="341"/>
      <c r="C423" s="632"/>
      <c r="D423" s="617"/>
      <c r="E423" s="612"/>
      <c r="F423" s="30"/>
      <c r="G423" s="609"/>
      <c r="H423" s="609"/>
      <c r="I423" s="614"/>
      <c r="J423" s="609"/>
      <c r="K423" s="609"/>
      <c r="L423" s="609"/>
      <c r="M423" s="612"/>
      <c r="N423" s="606"/>
      <c r="O423" s="644"/>
      <c r="P423" s="329" t="s">
        <v>316</v>
      </c>
      <c r="Q423" s="307">
        <v>5.0000000000000001E-3</v>
      </c>
      <c r="R423" s="308">
        <v>950</v>
      </c>
      <c r="S423" s="307">
        <f t="shared" si="40"/>
        <v>4.75</v>
      </c>
      <c r="T423" s="27"/>
    </row>
    <row r="424" spans="1:20" ht="31.5" x14ac:dyDescent="0.25">
      <c r="A424" s="592"/>
      <c r="B424" s="341"/>
      <c r="C424" s="632"/>
      <c r="D424" s="617"/>
      <c r="E424" s="612"/>
      <c r="F424" s="30"/>
      <c r="G424" s="609"/>
      <c r="H424" s="609"/>
      <c r="I424" s="614"/>
      <c r="J424" s="609"/>
      <c r="K424" s="609"/>
      <c r="L424" s="609"/>
      <c r="M424" s="612"/>
      <c r="N424" s="606"/>
      <c r="O424" s="644"/>
      <c r="P424" s="329" t="s">
        <v>291</v>
      </c>
      <c r="Q424" s="307">
        <v>5.0000000000000001E-3</v>
      </c>
      <c r="R424" s="308">
        <v>34</v>
      </c>
      <c r="S424" s="307">
        <f t="shared" si="40"/>
        <v>0.17</v>
      </c>
      <c r="T424" s="27"/>
    </row>
    <row r="425" spans="1:20" x14ac:dyDescent="0.25">
      <c r="A425" s="592"/>
      <c r="B425" s="341"/>
      <c r="C425" s="632"/>
      <c r="D425" s="617"/>
      <c r="E425" s="612"/>
      <c r="F425" s="30"/>
      <c r="G425" s="609"/>
      <c r="H425" s="609"/>
      <c r="I425" s="614"/>
      <c r="J425" s="609"/>
      <c r="K425" s="609"/>
      <c r="L425" s="609"/>
      <c r="M425" s="612"/>
      <c r="N425" s="606"/>
      <c r="O425" s="644"/>
      <c r="P425" s="329" t="s">
        <v>298</v>
      </c>
      <c r="Q425" s="307">
        <v>7.0000000000000007E-2</v>
      </c>
      <c r="R425" s="308">
        <v>179.8</v>
      </c>
      <c r="S425" s="307">
        <f t="shared" si="40"/>
        <v>12.586000000000002</v>
      </c>
      <c r="T425" s="27"/>
    </row>
    <row r="426" spans="1:20" ht="31.5" x14ac:dyDescent="0.25">
      <c r="A426" s="592"/>
      <c r="B426" s="341"/>
      <c r="C426" s="632"/>
      <c r="D426" s="617"/>
      <c r="E426" s="490"/>
      <c r="F426" s="30"/>
      <c r="G426" s="610"/>
      <c r="H426" s="610"/>
      <c r="I426" s="615"/>
      <c r="J426" s="610"/>
      <c r="K426" s="610"/>
      <c r="L426" s="610"/>
      <c r="M426" s="490"/>
      <c r="N426" s="607"/>
      <c r="O426" s="645"/>
      <c r="P426" s="329" t="s">
        <v>311</v>
      </c>
      <c r="Q426" s="307">
        <v>0.01</v>
      </c>
      <c r="R426" s="308">
        <v>1385</v>
      </c>
      <c r="S426" s="307">
        <f t="shared" si="40"/>
        <v>13.85</v>
      </c>
      <c r="T426" s="27"/>
    </row>
    <row r="427" spans="1:20" x14ac:dyDescent="0.25">
      <c r="A427" s="592"/>
      <c r="B427" s="341"/>
      <c r="C427" s="632"/>
      <c r="D427" s="617"/>
      <c r="E427" s="611" t="s">
        <v>294</v>
      </c>
      <c r="F427" s="30"/>
      <c r="G427" s="608">
        <v>2.36</v>
      </c>
      <c r="H427" s="608">
        <v>1</v>
      </c>
      <c r="I427" s="613">
        <f t="shared" ref="I427" si="45">H427*G427</f>
        <v>2.36</v>
      </c>
      <c r="J427" s="608"/>
      <c r="K427" s="608"/>
      <c r="L427" s="608"/>
      <c r="M427" s="611">
        <v>5</v>
      </c>
      <c r="N427" s="633">
        <v>454.87</v>
      </c>
      <c r="O427" s="643">
        <f t="shared" si="42"/>
        <v>1073.4931999999999</v>
      </c>
      <c r="P427" s="329" t="s">
        <v>310</v>
      </c>
      <c r="Q427" s="307">
        <v>0.01</v>
      </c>
      <c r="R427" s="308">
        <v>272</v>
      </c>
      <c r="S427" s="307">
        <f t="shared" si="40"/>
        <v>2.72</v>
      </c>
      <c r="T427" s="27"/>
    </row>
    <row r="428" spans="1:20" x14ac:dyDescent="0.25">
      <c r="A428" s="592"/>
      <c r="B428" s="341"/>
      <c r="C428" s="632"/>
      <c r="D428" s="617"/>
      <c r="E428" s="612"/>
      <c r="F428" s="30"/>
      <c r="G428" s="609"/>
      <c r="H428" s="609"/>
      <c r="I428" s="614"/>
      <c r="J428" s="609"/>
      <c r="K428" s="609"/>
      <c r="L428" s="609"/>
      <c r="M428" s="612"/>
      <c r="N428" s="606"/>
      <c r="O428" s="644"/>
      <c r="P428" s="329" t="s">
        <v>314</v>
      </c>
      <c r="Q428" s="307">
        <v>0.03</v>
      </c>
      <c r="R428" s="308">
        <v>179</v>
      </c>
      <c r="S428" s="307">
        <f t="shared" si="40"/>
        <v>5.37</v>
      </c>
      <c r="T428" s="27"/>
    </row>
    <row r="429" spans="1:20" ht="31.5" x14ac:dyDescent="0.25">
      <c r="A429" s="592"/>
      <c r="B429" s="341"/>
      <c r="C429" s="632"/>
      <c r="D429" s="617"/>
      <c r="E429" s="612"/>
      <c r="F429" s="30"/>
      <c r="G429" s="609"/>
      <c r="H429" s="609"/>
      <c r="I429" s="614"/>
      <c r="J429" s="609"/>
      <c r="K429" s="609"/>
      <c r="L429" s="609"/>
      <c r="M429" s="612"/>
      <c r="N429" s="606"/>
      <c r="O429" s="644"/>
      <c r="P429" s="329" t="s">
        <v>315</v>
      </c>
      <c r="Q429" s="307">
        <v>4.0000000000000001E-3</v>
      </c>
      <c r="R429" s="308">
        <v>302</v>
      </c>
      <c r="S429" s="307">
        <f t="shared" si="40"/>
        <v>1.208</v>
      </c>
      <c r="T429" s="27"/>
    </row>
    <row r="430" spans="1:20" ht="31.5" x14ac:dyDescent="0.25">
      <c r="A430" s="592"/>
      <c r="B430" s="341"/>
      <c r="C430" s="632"/>
      <c r="D430" s="617"/>
      <c r="E430" s="612"/>
      <c r="F430" s="30"/>
      <c r="G430" s="609"/>
      <c r="H430" s="609"/>
      <c r="I430" s="614"/>
      <c r="J430" s="609"/>
      <c r="K430" s="609"/>
      <c r="L430" s="609"/>
      <c r="M430" s="612"/>
      <c r="N430" s="606"/>
      <c r="O430" s="644"/>
      <c r="P430" s="329" t="s">
        <v>316</v>
      </c>
      <c r="Q430" s="307">
        <v>5.0000000000000001E-3</v>
      </c>
      <c r="R430" s="308">
        <v>950</v>
      </c>
      <c r="S430" s="307">
        <f t="shared" si="40"/>
        <v>4.75</v>
      </c>
      <c r="T430" s="27"/>
    </row>
    <row r="431" spans="1:20" ht="31.5" x14ac:dyDescent="0.25">
      <c r="A431" s="592"/>
      <c r="B431" s="341"/>
      <c r="C431" s="632"/>
      <c r="D431" s="617"/>
      <c r="E431" s="612"/>
      <c r="F431" s="30"/>
      <c r="G431" s="609"/>
      <c r="H431" s="609"/>
      <c r="I431" s="614"/>
      <c r="J431" s="609"/>
      <c r="K431" s="609"/>
      <c r="L431" s="609"/>
      <c r="M431" s="612"/>
      <c r="N431" s="606"/>
      <c r="O431" s="644"/>
      <c r="P431" s="329" t="s">
        <v>291</v>
      </c>
      <c r="Q431" s="307">
        <v>5.0000000000000001E-3</v>
      </c>
      <c r="R431" s="308">
        <v>34</v>
      </c>
      <c r="S431" s="307">
        <f t="shared" si="40"/>
        <v>0.17</v>
      </c>
      <c r="T431" s="27"/>
    </row>
    <row r="432" spans="1:20" x14ac:dyDescent="0.25">
      <c r="A432" s="592"/>
      <c r="B432" s="341"/>
      <c r="C432" s="632"/>
      <c r="D432" s="617"/>
      <c r="E432" s="612"/>
      <c r="F432" s="30"/>
      <c r="G432" s="609"/>
      <c r="H432" s="609"/>
      <c r="I432" s="614"/>
      <c r="J432" s="609"/>
      <c r="K432" s="609"/>
      <c r="L432" s="609"/>
      <c r="M432" s="612"/>
      <c r="N432" s="606"/>
      <c r="O432" s="644"/>
      <c r="P432" s="329" t="s">
        <v>317</v>
      </c>
      <c r="Q432" s="307">
        <v>0.2</v>
      </c>
      <c r="R432" s="308">
        <v>294.12</v>
      </c>
      <c r="S432" s="307">
        <f t="shared" si="40"/>
        <v>58.824000000000005</v>
      </c>
      <c r="T432" s="27"/>
    </row>
    <row r="433" spans="1:20" x14ac:dyDescent="0.25">
      <c r="A433" s="592"/>
      <c r="B433" s="341"/>
      <c r="C433" s="632"/>
      <c r="D433" s="617"/>
      <c r="E433" s="612"/>
      <c r="F433" s="30"/>
      <c r="G433" s="609"/>
      <c r="H433" s="609"/>
      <c r="I433" s="614"/>
      <c r="J433" s="609"/>
      <c r="K433" s="609"/>
      <c r="L433" s="609"/>
      <c r="M433" s="612"/>
      <c r="N433" s="606"/>
      <c r="O433" s="644"/>
      <c r="P433" s="329" t="s">
        <v>318</v>
      </c>
      <c r="Q433" s="307">
        <v>1</v>
      </c>
      <c r="R433" s="308">
        <v>256.5</v>
      </c>
      <c r="S433" s="307">
        <f t="shared" si="40"/>
        <v>256.5</v>
      </c>
      <c r="T433" s="27"/>
    </row>
    <row r="434" spans="1:20" ht="14.45" customHeight="1" x14ac:dyDescent="0.25">
      <c r="A434" s="592"/>
      <c r="B434" s="341"/>
      <c r="C434" s="632"/>
      <c r="D434" s="617"/>
      <c r="E434" s="612"/>
      <c r="F434" s="30"/>
      <c r="G434" s="609"/>
      <c r="H434" s="609"/>
      <c r="I434" s="614"/>
      <c r="J434" s="609"/>
      <c r="K434" s="609"/>
      <c r="L434" s="609"/>
      <c r="M434" s="612"/>
      <c r="N434" s="606"/>
      <c r="O434" s="644"/>
      <c r="P434" s="329" t="s">
        <v>319</v>
      </c>
      <c r="Q434" s="307">
        <v>1.5</v>
      </c>
      <c r="R434" s="308">
        <v>400</v>
      </c>
      <c r="S434" s="307">
        <f t="shared" si="40"/>
        <v>600</v>
      </c>
      <c r="T434" s="27"/>
    </row>
    <row r="435" spans="1:20" ht="31.5" x14ac:dyDescent="0.25">
      <c r="A435" s="592"/>
      <c r="B435" s="341"/>
      <c r="C435" s="632"/>
      <c r="D435" s="617"/>
      <c r="E435" s="612"/>
      <c r="F435" s="30"/>
      <c r="G435" s="609"/>
      <c r="H435" s="609"/>
      <c r="I435" s="614"/>
      <c r="J435" s="609"/>
      <c r="K435" s="609"/>
      <c r="L435" s="609"/>
      <c r="M435" s="612"/>
      <c r="N435" s="606"/>
      <c r="O435" s="644"/>
      <c r="P435" s="329" t="s">
        <v>320</v>
      </c>
      <c r="Q435" s="307">
        <v>2</v>
      </c>
      <c r="R435" s="308">
        <v>102</v>
      </c>
      <c r="S435" s="307">
        <f t="shared" si="40"/>
        <v>204</v>
      </c>
      <c r="T435" s="27"/>
    </row>
    <row r="436" spans="1:20" x14ac:dyDescent="0.25">
      <c r="A436" s="592"/>
      <c r="B436" s="341"/>
      <c r="C436" s="632"/>
      <c r="D436" s="617"/>
      <c r="E436" s="612"/>
      <c r="F436" s="30"/>
      <c r="G436" s="609"/>
      <c r="H436" s="609"/>
      <c r="I436" s="614"/>
      <c r="J436" s="609"/>
      <c r="K436" s="609"/>
      <c r="L436" s="609"/>
      <c r="M436" s="612"/>
      <c r="N436" s="606"/>
      <c r="O436" s="644"/>
      <c r="P436" s="329" t="s">
        <v>298</v>
      </c>
      <c r="Q436" s="307">
        <v>7.0000000000000007E-2</v>
      </c>
      <c r="R436" s="308">
        <v>179.8</v>
      </c>
      <c r="S436" s="307">
        <f t="shared" si="40"/>
        <v>12.586000000000002</v>
      </c>
      <c r="T436" s="27"/>
    </row>
    <row r="437" spans="1:20" x14ac:dyDescent="0.25">
      <c r="A437" s="592"/>
      <c r="B437" s="341"/>
      <c r="C437" s="632"/>
      <c r="D437" s="617"/>
      <c r="E437" s="612"/>
      <c r="F437" s="30"/>
      <c r="G437" s="609"/>
      <c r="H437" s="609"/>
      <c r="I437" s="614"/>
      <c r="J437" s="609"/>
      <c r="K437" s="609"/>
      <c r="L437" s="609"/>
      <c r="M437" s="612"/>
      <c r="N437" s="606"/>
      <c r="O437" s="644"/>
      <c r="P437" s="329" t="s">
        <v>321</v>
      </c>
      <c r="Q437" s="307">
        <v>2</v>
      </c>
      <c r="R437" s="308">
        <v>527</v>
      </c>
      <c r="S437" s="307">
        <f t="shared" si="40"/>
        <v>1054</v>
      </c>
      <c r="T437" s="27"/>
    </row>
    <row r="438" spans="1:20" ht="204.75" x14ac:dyDescent="0.25">
      <c r="A438" s="592"/>
      <c r="B438" s="341" t="s">
        <v>1031</v>
      </c>
      <c r="C438" s="628"/>
      <c r="D438" s="604"/>
      <c r="E438" s="490"/>
      <c r="F438" s="30"/>
      <c r="G438" s="610"/>
      <c r="H438" s="610"/>
      <c r="I438" s="615"/>
      <c r="J438" s="610"/>
      <c r="K438" s="610"/>
      <c r="L438" s="610"/>
      <c r="M438" s="490"/>
      <c r="N438" s="607"/>
      <c r="O438" s="645"/>
      <c r="P438" s="329" t="s">
        <v>311</v>
      </c>
      <c r="Q438" s="307">
        <v>0.01</v>
      </c>
      <c r="R438" s="308">
        <v>1385</v>
      </c>
      <c r="S438" s="307">
        <f t="shared" si="40"/>
        <v>13.85</v>
      </c>
      <c r="T438" s="27"/>
    </row>
    <row r="439" spans="1:20" ht="31.5" x14ac:dyDescent="0.25">
      <c r="A439" s="592"/>
      <c r="B439" s="341"/>
      <c r="C439" s="627" t="s">
        <v>352</v>
      </c>
      <c r="D439" s="603">
        <v>1</v>
      </c>
      <c r="E439" s="611" t="s">
        <v>290</v>
      </c>
      <c r="F439" s="30"/>
      <c r="G439" s="608">
        <v>0.04</v>
      </c>
      <c r="H439" s="608">
        <v>8</v>
      </c>
      <c r="I439" s="613">
        <f>H439*G439</f>
        <v>0.32</v>
      </c>
      <c r="J439" s="629"/>
      <c r="K439" s="608"/>
      <c r="L439" s="608"/>
      <c r="M439" s="611">
        <v>4</v>
      </c>
      <c r="N439" s="633">
        <v>454.87</v>
      </c>
      <c r="O439" s="643">
        <f t="shared" si="42"/>
        <v>145.55840000000001</v>
      </c>
      <c r="P439" s="329" t="s">
        <v>311</v>
      </c>
      <c r="Q439" s="307">
        <v>0.01</v>
      </c>
      <c r="R439" s="308">
        <v>1385</v>
      </c>
      <c r="S439" s="307">
        <f t="shared" si="40"/>
        <v>13.85</v>
      </c>
      <c r="T439" s="27"/>
    </row>
    <row r="440" spans="1:20" x14ac:dyDescent="0.25">
      <c r="A440" s="592"/>
      <c r="B440" s="341"/>
      <c r="C440" s="632"/>
      <c r="D440" s="617"/>
      <c r="E440" s="612"/>
      <c r="F440" s="30"/>
      <c r="G440" s="609"/>
      <c r="H440" s="609"/>
      <c r="I440" s="614"/>
      <c r="J440" s="630"/>
      <c r="K440" s="609"/>
      <c r="L440" s="609"/>
      <c r="M440" s="612"/>
      <c r="N440" s="606"/>
      <c r="O440" s="644"/>
      <c r="P440" s="329" t="s">
        <v>298</v>
      </c>
      <c r="Q440" s="307">
        <v>0.04</v>
      </c>
      <c r="R440" s="308">
        <v>179.8</v>
      </c>
      <c r="S440" s="307">
        <f t="shared" si="40"/>
        <v>7.1920000000000002</v>
      </c>
      <c r="T440" s="27"/>
    </row>
    <row r="441" spans="1:20" x14ac:dyDescent="0.25">
      <c r="A441" s="592"/>
      <c r="B441" s="341"/>
      <c r="C441" s="632"/>
      <c r="D441" s="617"/>
      <c r="E441" s="612"/>
      <c r="F441" s="30"/>
      <c r="G441" s="609"/>
      <c r="H441" s="609"/>
      <c r="I441" s="614"/>
      <c r="J441" s="630"/>
      <c r="K441" s="609"/>
      <c r="L441" s="609"/>
      <c r="M441" s="612"/>
      <c r="N441" s="606"/>
      <c r="O441" s="644"/>
      <c r="P441" s="330" t="s">
        <v>324</v>
      </c>
      <c r="Q441" s="331">
        <v>1</v>
      </c>
      <c r="R441" s="308">
        <v>44</v>
      </c>
      <c r="S441" s="307">
        <f t="shared" si="40"/>
        <v>44</v>
      </c>
      <c r="T441" s="27"/>
    </row>
    <row r="442" spans="1:20" x14ac:dyDescent="0.25">
      <c r="A442" s="592"/>
      <c r="B442" s="341"/>
      <c r="C442" s="632"/>
      <c r="D442" s="617"/>
      <c r="E442" s="612"/>
      <c r="F442" s="30"/>
      <c r="G442" s="609"/>
      <c r="H442" s="609"/>
      <c r="I442" s="614"/>
      <c r="J442" s="630"/>
      <c r="K442" s="609"/>
      <c r="L442" s="609"/>
      <c r="M442" s="612"/>
      <c r="N442" s="606"/>
      <c r="O442" s="644"/>
      <c r="P442" s="330" t="s">
        <v>325</v>
      </c>
      <c r="Q442" s="307">
        <v>0.01</v>
      </c>
      <c r="R442" s="308">
        <v>649</v>
      </c>
      <c r="S442" s="307">
        <f t="shared" si="40"/>
        <v>6.49</v>
      </c>
      <c r="T442" s="27"/>
    </row>
    <row r="443" spans="1:20" x14ac:dyDescent="0.25">
      <c r="A443" s="592"/>
      <c r="B443" s="341"/>
      <c r="C443" s="632"/>
      <c r="D443" s="617"/>
      <c r="E443" s="612"/>
      <c r="F443" s="30"/>
      <c r="G443" s="609"/>
      <c r="H443" s="609"/>
      <c r="I443" s="614"/>
      <c r="J443" s="630"/>
      <c r="K443" s="609"/>
      <c r="L443" s="609"/>
      <c r="M443" s="612"/>
      <c r="N443" s="606"/>
      <c r="O443" s="644"/>
      <c r="P443" s="330" t="s">
        <v>326</v>
      </c>
      <c r="Q443" s="331">
        <v>0.03</v>
      </c>
      <c r="R443" s="308">
        <v>1148</v>
      </c>
      <c r="S443" s="307">
        <f t="shared" si="40"/>
        <v>34.44</v>
      </c>
      <c r="T443" s="27"/>
    </row>
    <row r="444" spans="1:20" x14ac:dyDescent="0.25">
      <c r="A444" s="592"/>
      <c r="B444" s="341"/>
      <c r="C444" s="632"/>
      <c r="D444" s="617"/>
      <c r="E444" s="490"/>
      <c r="F444" s="30"/>
      <c r="G444" s="610"/>
      <c r="H444" s="610"/>
      <c r="I444" s="615"/>
      <c r="J444" s="631"/>
      <c r="K444" s="610"/>
      <c r="L444" s="610"/>
      <c r="M444" s="490"/>
      <c r="N444" s="607"/>
      <c r="O444" s="645"/>
      <c r="P444" s="329" t="s">
        <v>318</v>
      </c>
      <c r="Q444" s="331">
        <v>2</v>
      </c>
      <c r="R444" s="308">
        <v>256.5</v>
      </c>
      <c r="S444" s="307">
        <f t="shared" si="40"/>
        <v>513</v>
      </c>
      <c r="T444" s="27"/>
    </row>
    <row r="445" spans="1:20" x14ac:dyDescent="0.25">
      <c r="A445" s="592"/>
      <c r="B445" s="341"/>
      <c r="C445" s="632"/>
      <c r="D445" s="617"/>
      <c r="E445" s="611" t="s">
        <v>292</v>
      </c>
      <c r="F445" s="30"/>
      <c r="G445" s="608">
        <v>0.06</v>
      </c>
      <c r="H445" s="608">
        <v>3</v>
      </c>
      <c r="I445" s="613">
        <f t="shared" ref="I445" si="46">H445*G445</f>
        <v>0.18</v>
      </c>
      <c r="J445" s="608"/>
      <c r="K445" s="608"/>
      <c r="L445" s="608"/>
      <c r="M445" s="611">
        <v>4</v>
      </c>
      <c r="N445" s="633">
        <v>454.87</v>
      </c>
      <c r="O445" s="643">
        <f t="shared" si="42"/>
        <v>81.876599999999996</v>
      </c>
      <c r="P445" s="329" t="s">
        <v>298</v>
      </c>
      <c r="Q445" s="307">
        <v>0.09</v>
      </c>
      <c r="R445" s="308">
        <v>179.8</v>
      </c>
      <c r="S445" s="307">
        <f t="shared" si="40"/>
        <v>16.182000000000002</v>
      </c>
      <c r="T445" s="27"/>
    </row>
    <row r="446" spans="1:20" x14ac:dyDescent="0.25">
      <c r="A446" s="592"/>
      <c r="B446" s="341"/>
      <c r="C446" s="632"/>
      <c r="D446" s="617"/>
      <c r="E446" s="612"/>
      <c r="F446" s="30"/>
      <c r="G446" s="609"/>
      <c r="H446" s="609"/>
      <c r="I446" s="614"/>
      <c r="J446" s="609"/>
      <c r="K446" s="609"/>
      <c r="L446" s="609"/>
      <c r="M446" s="612"/>
      <c r="N446" s="606"/>
      <c r="O446" s="644"/>
      <c r="P446" s="330" t="s">
        <v>302</v>
      </c>
      <c r="Q446" s="331">
        <v>0.05</v>
      </c>
      <c r="R446" s="308">
        <v>950</v>
      </c>
      <c r="S446" s="307">
        <f t="shared" si="40"/>
        <v>47.5</v>
      </c>
      <c r="T446" s="27"/>
    </row>
    <row r="447" spans="1:20" ht="31.5" x14ac:dyDescent="0.25">
      <c r="A447" s="592"/>
      <c r="B447" s="341"/>
      <c r="C447" s="632"/>
      <c r="D447" s="617"/>
      <c r="E447" s="612"/>
      <c r="F447" s="30"/>
      <c r="G447" s="609"/>
      <c r="H447" s="609"/>
      <c r="I447" s="614"/>
      <c r="J447" s="609"/>
      <c r="K447" s="609"/>
      <c r="L447" s="609"/>
      <c r="M447" s="612"/>
      <c r="N447" s="606"/>
      <c r="O447" s="644"/>
      <c r="P447" s="329" t="s">
        <v>311</v>
      </c>
      <c r="Q447" s="307">
        <v>0.01</v>
      </c>
      <c r="R447" s="308">
        <v>1385</v>
      </c>
      <c r="S447" s="307">
        <f t="shared" si="40"/>
        <v>13.85</v>
      </c>
      <c r="T447" s="27"/>
    </row>
    <row r="448" spans="1:20" x14ac:dyDescent="0.25">
      <c r="A448" s="592"/>
      <c r="B448" s="341"/>
      <c r="C448" s="632"/>
      <c r="D448" s="617"/>
      <c r="E448" s="612"/>
      <c r="F448" s="30"/>
      <c r="G448" s="609"/>
      <c r="H448" s="609"/>
      <c r="I448" s="614"/>
      <c r="J448" s="609"/>
      <c r="K448" s="609"/>
      <c r="L448" s="609"/>
      <c r="M448" s="612"/>
      <c r="N448" s="606"/>
      <c r="O448" s="644"/>
      <c r="P448" s="330" t="s">
        <v>327</v>
      </c>
      <c r="Q448" s="331">
        <v>0.04</v>
      </c>
      <c r="R448" s="308">
        <v>302</v>
      </c>
      <c r="S448" s="307">
        <f t="shared" si="40"/>
        <v>12.08</v>
      </c>
      <c r="T448" s="27"/>
    </row>
    <row r="449" spans="1:20" x14ac:dyDescent="0.25">
      <c r="A449" s="592"/>
      <c r="B449" s="341"/>
      <c r="C449" s="632"/>
      <c r="D449" s="617"/>
      <c r="E449" s="612"/>
      <c r="F449" s="30"/>
      <c r="G449" s="609"/>
      <c r="H449" s="609"/>
      <c r="I449" s="614"/>
      <c r="J449" s="609"/>
      <c r="K449" s="609"/>
      <c r="L449" s="609"/>
      <c r="M449" s="612"/>
      <c r="N449" s="606"/>
      <c r="O449" s="644"/>
      <c r="P449" s="329" t="s">
        <v>318</v>
      </c>
      <c r="Q449" s="331">
        <v>2</v>
      </c>
      <c r="R449" s="308">
        <v>256.5</v>
      </c>
      <c r="S449" s="307">
        <f t="shared" si="40"/>
        <v>513</v>
      </c>
      <c r="T449" s="27"/>
    </row>
    <row r="450" spans="1:20" x14ac:dyDescent="0.25">
      <c r="A450" s="592"/>
      <c r="B450" s="341"/>
      <c r="C450" s="632"/>
      <c r="D450" s="617"/>
      <c r="E450" s="612"/>
      <c r="F450" s="30"/>
      <c r="G450" s="609"/>
      <c r="H450" s="609"/>
      <c r="I450" s="614"/>
      <c r="J450" s="609"/>
      <c r="K450" s="609"/>
      <c r="L450" s="609"/>
      <c r="M450" s="612"/>
      <c r="N450" s="606"/>
      <c r="O450" s="644"/>
      <c r="P450" s="330" t="s">
        <v>325</v>
      </c>
      <c r="Q450" s="307">
        <v>0.01</v>
      </c>
      <c r="R450" s="308">
        <v>649</v>
      </c>
      <c r="S450" s="307">
        <f t="shared" si="40"/>
        <v>6.49</v>
      </c>
      <c r="T450" s="27"/>
    </row>
    <row r="451" spans="1:20" x14ac:dyDescent="0.25">
      <c r="A451" s="592"/>
      <c r="B451" s="341"/>
      <c r="C451" s="632"/>
      <c r="D451" s="617"/>
      <c r="E451" s="612"/>
      <c r="F451" s="30"/>
      <c r="G451" s="609"/>
      <c r="H451" s="609"/>
      <c r="I451" s="614"/>
      <c r="J451" s="609"/>
      <c r="K451" s="609"/>
      <c r="L451" s="609"/>
      <c r="M451" s="612"/>
      <c r="N451" s="606"/>
      <c r="O451" s="644"/>
      <c r="P451" s="330" t="s">
        <v>324</v>
      </c>
      <c r="Q451" s="331">
        <v>1</v>
      </c>
      <c r="R451" s="308">
        <v>44</v>
      </c>
      <c r="S451" s="307">
        <f t="shared" si="40"/>
        <v>44</v>
      </c>
      <c r="T451" s="27"/>
    </row>
    <row r="452" spans="1:20" ht="31.5" x14ac:dyDescent="0.25">
      <c r="A452" s="592"/>
      <c r="B452" s="341"/>
      <c r="C452" s="632"/>
      <c r="D452" s="617"/>
      <c r="E452" s="490"/>
      <c r="F452" s="30"/>
      <c r="G452" s="610"/>
      <c r="H452" s="610"/>
      <c r="I452" s="615"/>
      <c r="J452" s="610"/>
      <c r="K452" s="610"/>
      <c r="L452" s="610"/>
      <c r="M452" s="490"/>
      <c r="N452" s="607"/>
      <c r="O452" s="645"/>
      <c r="P452" s="329" t="s">
        <v>291</v>
      </c>
      <c r="Q452" s="307">
        <v>0.02</v>
      </c>
      <c r="R452" s="308">
        <v>34</v>
      </c>
      <c r="S452" s="307">
        <f t="shared" si="40"/>
        <v>0.68</v>
      </c>
      <c r="T452" s="27"/>
    </row>
    <row r="453" spans="1:20" x14ac:dyDescent="0.25">
      <c r="A453" s="592"/>
      <c r="B453" s="341"/>
      <c r="C453" s="628"/>
      <c r="D453" s="604"/>
      <c r="E453" s="34" t="s">
        <v>294</v>
      </c>
      <c r="F453" s="30"/>
      <c r="G453" s="27">
        <v>1.26</v>
      </c>
      <c r="H453" s="27">
        <v>1</v>
      </c>
      <c r="I453" s="238">
        <f t="shared" ref="I453" si="47">H453*G453</f>
        <v>1.26</v>
      </c>
      <c r="J453" s="27"/>
      <c r="K453" s="27"/>
      <c r="L453" s="27"/>
      <c r="M453" s="387">
        <v>4</v>
      </c>
      <c r="N453" s="385">
        <v>454.87</v>
      </c>
      <c r="O453" s="328">
        <f t="shared" si="42"/>
        <v>573.13620000000003</v>
      </c>
      <c r="P453" s="329" t="s">
        <v>328</v>
      </c>
      <c r="Q453" s="27"/>
      <c r="R453" s="308"/>
      <c r="S453" s="307">
        <f t="shared" si="40"/>
        <v>0</v>
      </c>
      <c r="T453" s="27"/>
    </row>
    <row r="454" spans="1:20" x14ac:dyDescent="0.25">
      <c r="A454" s="592"/>
      <c r="B454" s="341"/>
      <c r="C454" s="627" t="s">
        <v>353</v>
      </c>
      <c r="D454" s="603">
        <v>1</v>
      </c>
      <c r="E454" s="611" t="s">
        <v>290</v>
      </c>
      <c r="F454" s="30"/>
      <c r="G454" s="608">
        <v>0.32</v>
      </c>
      <c r="H454" s="608">
        <v>8</v>
      </c>
      <c r="I454" s="613">
        <f>H454*G454</f>
        <v>2.56</v>
      </c>
      <c r="J454" s="629"/>
      <c r="K454" s="608"/>
      <c r="L454" s="608"/>
      <c r="M454" s="611">
        <v>5</v>
      </c>
      <c r="N454" s="633">
        <v>454.87</v>
      </c>
      <c r="O454" s="643">
        <f t="shared" si="42"/>
        <v>1164.4672</v>
      </c>
      <c r="P454" s="329" t="s">
        <v>310</v>
      </c>
      <c r="Q454" s="307">
        <v>0.01</v>
      </c>
      <c r="R454" s="308">
        <v>272</v>
      </c>
      <c r="S454" s="307">
        <f t="shared" si="40"/>
        <v>2.72</v>
      </c>
      <c r="T454" s="27"/>
    </row>
    <row r="455" spans="1:20" x14ac:dyDescent="0.25">
      <c r="A455" s="592"/>
      <c r="B455" s="341"/>
      <c r="C455" s="632"/>
      <c r="D455" s="617"/>
      <c r="E455" s="612"/>
      <c r="F455" s="30"/>
      <c r="G455" s="609"/>
      <c r="H455" s="609"/>
      <c r="I455" s="614"/>
      <c r="J455" s="630"/>
      <c r="K455" s="609"/>
      <c r="L455" s="609"/>
      <c r="M455" s="612"/>
      <c r="N455" s="606"/>
      <c r="O455" s="644"/>
      <c r="P455" s="329" t="s">
        <v>298</v>
      </c>
      <c r="Q455" s="307">
        <v>0.03</v>
      </c>
      <c r="R455" s="308">
        <v>179.8</v>
      </c>
      <c r="S455" s="307">
        <f t="shared" ref="S455:S518" si="48">(Q455*R455)</f>
        <v>5.3940000000000001</v>
      </c>
      <c r="T455" s="27"/>
    </row>
    <row r="456" spans="1:20" ht="31.5" x14ac:dyDescent="0.25">
      <c r="A456" s="592"/>
      <c r="B456" s="341"/>
      <c r="C456" s="632"/>
      <c r="D456" s="617"/>
      <c r="E456" s="490"/>
      <c r="F456" s="30"/>
      <c r="G456" s="610"/>
      <c r="H456" s="610"/>
      <c r="I456" s="615"/>
      <c r="J456" s="631"/>
      <c r="K456" s="610"/>
      <c r="L456" s="610"/>
      <c r="M456" s="490"/>
      <c r="N456" s="607"/>
      <c r="O456" s="645"/>
      <c r="P456" s="329" t="s">
        <v>311</v>
      </c>
      <c r="Q456" s="307">
        <v>0.03</v>
      </c>
      <c r="R456" s="308">
        <v>1385</v>
      </c>
      <c r="S456" s="307">
        <f t="shared" si="48"/>
        <v>41.55</v>
      </c>
      <c r="T456" s="27"/>
    </row>
    <row r="457" spans="1:20" x14ac:dyDescent="0.25">
      <c r="A457" s="592"/>
      <c r="B457" s="341"/>
      <c r="C457" s="632"/>
      <c r="D457" s="617"/>
      <c r="E457" s="611" t="s">
        <v>292</v>
      </c>
      <c r="F457" s="30"/>
      <c r="G457" s="608">
        <v>0.63</v>
      </c>
      <c r="H457" s="608">
        <v>3</v>
      </c>
      <c r="I457" s="613">
        <f t="shared" ref="I457" si="49">H457*G457</f>
        <v>1.8900000000000001</v>
      </c>
      <c r="J457" s="608"/>
      <c r="K457" s="608"/>
      <c r="L457" s="608"/>
      <c r="M457" s="611">
        <v>5</v>
      </c>
      <c r="N457" s="633">
        <v>454.87</v>
      </c>
      <c r="O457" s="643">
        <f t="shared" ref="O457:O512" si="50">I457*N457</f>
        <v>859.7043000000001</v>
      </c>
      <c r="P457" s="329" t="s">
        <v>310</v>
      </c>
      <c r="Q457" s="307">
        <v>0.01</v>
      </c>
      <c r="R457" s="308">
        <v>272</v>
      </c>
      <c r="S457" s="307">
        <f t="shared" si="48"/>
        <v>2.72</v>
      </c>
      <c r="T457" s="27"/>
    </row>
    <row r="458" spans="1:20" x14ac:dyDescent="0.25">
      <c r="A458" s="592"/>
      <c r="B458" s="341"/>
      <c r="C458" s="632"/>
      <c r="D458" s="617"/>
      <c r="E458" s="612"/>
      <c r="F458" s="30"/>
      <c r="G458" s="609"/>
      <c r="H458" s="609"/>
      <c r="I458" s="614"/>
      <c r="J458" s="609"/>
      <c r="K458" s="609"/>
      <c r="L458" s="609"/>
      <c r="M458" s="612"/>
      <c r="N458" s="606"/>
      <c r="O458" s="644"/>
      <c r="P458" s="329" t="s">
        <v>312</v>
      </c>
      <c r="Q458" s="307">
        <v>0.5</v>
      </c>
      <c r="R458" s="308">
        <v>272</v>
      </c>
      <c r="S458" s="307">
        <f t="shared" si="48"/>
        <v>136</v>
      </c>
      <c r="T458" s="27"/>
    </row>
    <row r="459" spans="1:20" x14ac:dyDescent="0.25">
      <c r="A459" s="592"/>
      <c r="B459" s="341"/>
      <c r="C459" s="632"/>
      <c r="D459" s="617"/>
      <c r="E459" s="612"/>
      <c r="F459" s="30"/>
      <c r="G459" s="609"/>
      <c r="H459" s="609"/>
      <c r="I459" s="614"/>
      <c r="J459" s="609"/>
      <c r="K459" s="609"/>
      <c r="L459" s="609"/>
      <c r="M459" s="612"/>
      <c r="N459" s="606"/>
      <c r="O459" s="644"/>
      <c r="P459" s="329" t="s">
        <v>313</v>
      </c>
      <c r="Q459" s="307">
        <v>0.1</v>
      </c>
      <c r="R459" s="308">
        <v>632</v>
      </c>
      <c r="S459" s="307">
        <f t="shared" si="48"/>
        <v>63.2</v>
      </c>
      <c r="T459" s="27"/>
    </row>
    <row r="460" spans="1:20" x14ac:dyDescent="0.25">
      <c r="A460" s="592"/>
      <c r="B460" s="341"/>
      <c r="C460" s="632"/>
      <c r="D460" s="617"/>
      <c r="E460" s="612"/>
      <c r="F460" s="30"/>
      <c r="G460" s="609"/>
      <c r="H460" s="609"/>
      <c r="I460" s="614"/>
      <c r="J460" s="609"/>
      <c r="K460" s="609"/>
      <c r="L460" s="609"/>
      <c r="M460" s="612"/>
      <c r="N460" s="606"/>
      <c r="O460" s="644"/>
      <c r="P460" s="329" t="s">
        <v>314</v>
      </c>
      <c r="Q460" s="307">
        <v>0.03</v>
      </c>
      <c r="R460" s="308">
        <v>179</v>
      </c>
      <c r="S460" s="307">
        <f t="shared" si="48"/>
        <v>5.37</v>
      </c>
      <c r="T460" s="27"/>
    </row>
    <row r="461" spans="1:20" ht="31.5" x14ac:dyDescent="0.25">
      <c r="A461" s="592"/>
      <c r="B461" s="341"/>
      <c r="C461" s="632"/>
      <c r="D461" s="617"/>
      <c r="E461" s="612"/>
      <c r="F461" s="30"/>
      <c r="G461" s="609"/>
      <c r="H461" s="609"/>
      <c r="I461" s="614"/>
      <c r="J461" s="609"/>
      <c r="K461" s="609"/>
      <c r="L461" s="609"/>
      <c r="M461" s="612"/>
      <c r="N461" s="606"/>
      <c r="O461" s="644"/>
      <c r="P461" s="329" t="s">
        <v>315</v>
      </c>
      <c r="Q461" s="307">
        <v>4.0000000000000001E-3</v>
      </c>
      <c r="R461" s="308">
        <v>302</v>
      </c>
      <c r="S461" s="307">
        <f t="shared" si="48"/>
        <v>1.208</v>
      </c>
      <c r="T461" s="27"/>
    </row>
    <row r="462" spans="1:20" ht="31.5" x14ac:dyDescent="0.25">
      <c r="A462" s="592"/>
      <c r="B462" s="341"/>
      <c r="C462" s="632"/>
      <c r="D462" s="617"/>
      <c r="E462" s="612"/>
      <c r="F462" s="30"/>
      <c r="G462" s="609"/>
      <c r="H462" s="609"/>
      <c r="I462" s="614"/>
      <c r="J462" s="609"/>
      <c r="K462" s="609"/>
      <c r="L462" s="609"/>
      <c r="M462" s="612"/>
      <c r="N462" s="606"/>
      <c r="O462" s="644"/>
      <c r="P462" s="329" t="s">
        <v>316</v>
      </c>
      <c r="Q462" s="307">
        <v>5.0000000000000001E-3</v>
      </c>
      <c r="R462" s="308">
        <v>950</v>
      </c>
      <c r="S462" s="307">
        <f t="shared" si="48"/>
        <v>4.75</v>
      </c>
      <c r="T462" s="27"/>
    </row>
    <row r="463" spans="1:20" ht="31.5" x14ac:dyDescent="0.25">
      <c r="A463" s="592"/>
      <c r="B463" s="341"/>
      <c r="C463" s="632"/>
      <c r="D463" s="617"/>
      <c r="E463" s="612"/>
      <c r="F463" s="30"/>
      <c r="G463" s="609"/>
      <c r="H463" s="609"/>
      <c r="I463" s="614"/>
      <c r="J463" s="609"/>
      <c r="K463" s="609"/>
      <c r="L463" s="609"/>
      <c r="M463" s="612"/>
      <c r="N463" s="606"/>
      <c r="O463" s="644"/>
      <c r="P463" s="329" t="s">
        <v>291</v>
      </c>
      <c r="Q463" s="307">
        <v>5.0000000000000001E-3</v>
      </c>
      <c r="R463" s="308">
        <v>34</v>
      </c>
      <c r="S463" s="307">
        <f t="shared" si="48"/>
        <v>0.17</v>
      </c>
      <c r="T463" s="27"/>
    </row>
    <row r="464" spans="1:20" x14ac:dyDescent="0.25">
      <c r="A464" s="592"/>
      <c r="B464" s="341"/>
      <c r="C464" s="632"/>
      <c r="D464" s="617"/>
      <c r="E464" s="612"/>
      <c r="F464" s="30"/>
      <c r="G464" s="609"/>
      <c r="H464" s="609"/>
      <c r="I464" s="614"/>
      <c r="J464" s="609"/>
      <c r="K464" s="609"/>
      <c r="L464" s="609"/>
      <c r="M464" s="612"/>
      <c r="N464" s="606"/>
      <c r="O464" s="644"/>
      <c r="P464" s="329" t="s">
        <v>298</v>
      </c>
      <c r="Q464" s="307">
        <v>7.0000000000000007E-2</v>
      </c>
      <c r="R464" s="308">
        <v>179.8</v>
      </c>
      <c r="S464" s="307">
        <f t="shared" si="48"/>
        <v>12.586000000000002</v>
      </c>
      <c r="T464" s="27"/>
    </row>
    <row r="465" spans="1:20" ht="31.5" x14ac:dyDescent="0.25">
      <c r="A465" s="592"/>
      <c r="B465" s="341"/>
      <c r="C465" s="632"/>
      <c r="D465" s="617"/>
      <c r="E465" s="490"/>
      <c r="F465" s="30"/>
      <c r="G465" s="610"/>
      <c r="H465" s="610"/>
      <c r="I465" s="615"/>
      <c r="J465" s="610"/>
      <c r="K465" s="610"/>
      <c r="L465" s="610"/>
      <c r="M465" s="490"/>
      <c r="N465" s="607"/>
      <c r="O465" s="645"/>
      <c r="P465" s="329" t="s">
        <v>311</v>
      </c>
      <c r="Q465" s="307">
        <v>0.01</v>
      </c>
      <c r="R465" s="308">
        <v>1385</v>
      </c>
      <c r="S465" s="307">
        <f t="shared" si="48"/>
        <v>13.85</v>
      </c>
      <c r="T465" s="27"/>
    </row>
    <row r="466" spans="1:20" x14ac:dyDescent="0.25">
      <c r="A466" s="592"/>
      <c r="B466" s="341"/>
      <c r="C466" s="632"/>
      <c r="D466" s="617"/>
      <c r="E466" s="611" t="s">
        <v>294</v>
      </c>
      <c r="F466" s="30"/>
      <c r="G466" s="608">
        <v>2.36</v>
      </c>
      <c r="H466" s="608">
        <v>1</v>
      </c>
      <c r="I466" s="613">
        <f t="shared" ref="I466" si="51">H466*G466</f>
        <v>2.36</v>
      </c>
      <c r="J466" s="608"/>
      <c r="K466" s="608"/>
      <c r="L466" s="608"/>
      <c r="M466" s="611">
        <v>5</v>
      </c>
      <c r="N466" s="633">
        <v>454.87</v>
      </c>
      <c r="O466" s="643">
        <f t="shared" si="50"/>
        <v>1073.4931999999999</v>
      </c>
      <c r="P466" s="329" t="s">
        <v>310</v>
      </c>
      <c r="Q466" s="307">
        <v>0.01</v>
      </c>
      <c r="R466" s="308">
        <v>272</v>
      </c>
      <c r="S466" s="307">
        <f t="shared" si="48"/>
        <v>2.72</v>
      </c>
      <c r="T466" s="27"/>
    </row>
    <row r="467" spans="1:20" x14ac:dyDescent="0.25">
      <c r="A467" s="592"/>
      <c r="B467" s="341"/>
      <c r="C467" s="632"/>
      <c r="D467" s="617"/>
      <c r="E467" s="612"/>
      <c r="F467" s="30"/>
      <c r="G467" s="609"/>
      <c r="H467" s="609"/>
      <c r="I467" s="614"/>
      <c r="J467" s="609"/>
      <c r="K467" s="609"/>
      <c r="L467" s="609"/>
      <c r="M467" s="612"/>
      <c r="N467" s="606"/>
      <c r="O467" s="644"/>
      <c r="P467" s="329" t="s">
        <v>314</v>
      </c>
      <c r="Q467" s="307">
        <v>0.03</v>
      </c>
      <c r="R467" s="308">
        <v>179</v>
      </c>
      <c r="S467" s="307">
        <f t="shared" si="48"/>
        <v>5.37</v>
      </c>
      <c r="T467" s="27"/>
    </row>
    <row r="468" spans="1:20" ht="31.5" x14ac:dyDescent="0.25">
      <c r="A468" s="592"/>
      <c r="B468" s="341"/>
      <c r="C468" s="632"/>
      <c r="D468" s="617"/>
      <c r="E468" s="612"/>
      <c r="F468" s="30"/>
      <c r="G468" s="609"/>
      <c r="H468" s="609"/>
      <c r="I468" s="614"/>
      <c r="J468" s="609"/>
      <c r="K468" s="609"/>
      <c r="L468" s="609"/>
      <c r="M468" s="612"/>
      <c r="N468" s="606"/>
      <c r="O468" s="644"/>
      <c r="P468" s="329" t="s">
        <v>315</v>
      </c>
      <c r="Q468" s="307">
        <v>4.0000000000000001E-3</v>
      </c>
      <c r="R468" s="308">
        <v>302</v>
      </c>
      <c r="S468" s="307">
        <f t="shared" si="48"/>
        <v>1.208</v>
      </c>
      <c r="T468" s="27"/>
    </row>
    <row r="469" spans="1:20" ht="31.5" x14ac:dyDescent="0.25">
      <c r="A469" s="592"/>
      <c r="B469" s="341"/>
      <c r="C469" s="632"/>
      <c r="D469" s="617"/>
      <c r="E469" s="612"/>
      <c r="F469" s="30"/>
      <c r="G469" s="609"/>
      <c r="H469" s="609"/>
      <c r="I469" s="614"/>
      <c r="J469" s="609"/>
      <c r="K469" s="609"/>
      <c r="L469" s="609"/>
      <c r="M469" s="612"/>
      <c r="N469" s="606"/>
      <c r="O469" s="644"/>
      <c r="P469" s="329" t="s">
        <v>316</v>
      </c>
      <c r="Q469" s="307">
        <v>5.0000000000000001E-3</v>
      </c>
      <c r="R469" s="308">
        <v>950</v>
      </c>
      <c r="S469" s="307">
        <f t="shared" si="48"/>
        <v>4.75</v>
      </c>
      <c r="T469" s="27"/>
    </row>
    <row r="470" spans="1:20" ht="31.5" x14ac:dyDescent="0.25">
      <c r="A470" s="592"/>
      <c r="B470" s="341"/>
      <c r="C470" s="632"/>
      <c r="D470" s="617"/>
      <c r="E470" s="612"/>
      <c r="F470" s="30"/>
      <c r="G470" s="609"/>
      <c r="H470" s="609"/>
      <c r="I470" s="614"/>
      <c r="J470" s="609"/>
      <c r="K470" s="609"/>
      <c r="L470" s="609"/>
      <c r="M470" s="612"/>
      <c r="N470" s="606"/>
      <c r="O470" s="644"/>
      <c r="P470" s="329" t="s">
        <v>291</v>
      </c>
      <c r="Q470" s="307">
        <v>5.0000000000000001E-3</v>
      </c>
      <c r="R470" s="308">
        <v>34</v>
      </c>
      <c r="S470" s="307">
        <f t="shared" si="48"/>
        <v>0.17</v>
      </c>
      <c r="T470" s="27"/>
    </row>
    <row r="471" spans="1:20" x14ac:dyDescent="0.25">
      <c r="A471" s="592"/>
      <c r="B471" s="341"/>
      <c r="C471" s="632"/>
      <c r="D471" s="617"/>
      <c r="E471" s="612"/>
      <c r="F471" s="30"/>
      <c r="G471" s="609"/>
      <c r="H471" s="609"/>
      <c r="I471" s="614"/>
      <c r="J471" s="609"/>
      <c r="K471" s="609"/>
      <c r="L471" s="609"/>
      <c r="M471" s="612"/>
      <c r="N471" s="606"/>
      <c r="O471" s="644"/>
      <c r="P471" s="329" t="s">
        <v>317</v>
      </c>
      <c r="Q471" s="307">
        <v>0.2</v>
      </c>
      <c r="R471" s="308">
        <v>294.12</v>
      </c>
      <c r="S471" s="307">
        <f t="shared" si="48"/>
        <v>58.824000000000005</v>
      </c>
      <c r="T471" s="27"/>
    </row>
    <row r="472" spans="1:20" x14ac:dyDescent="0.25">
      <c r="A472" s="592"/>
      <c r="B472" s="341"/>
      <c r="C472" s="632"/>
      <c r="D472" s="617"/>
      <c r="E472" s="612"/>
      <c r="F472" s="30"/>
      <c r="G472" s="609"/>
      <c r="H472" s="609"/>
      <c r="I472" s="614"/>
      <c r="J472" s="609"/>
      <c r="K472" s="609"/>
      <c r="L472" s="609"/>
      <c r="M472" s="612"/>
      <c r="N472" s="606"/>
      <c r="O472" s="644"/>
      <c r="P472" s="329" t="s">
        <v>318</v>
      </c>
      <c r="Q472" s="307">
        <v>1</v>
      </c>
      <c r="R472" s="308">
        <v>256.5</v>
      </c>
      <c r="S472" s="307">
        <f t="shared" si="48"/>
        <v>256.5</v>
      </c>
      <c r="T472" s="27"/>
    </row>
    <row r="473" spans="1:20" ht="14.45" customHeight="1" x14ac:dyDescent="0.25">
      <c r="A473" s="592"/>
      <c r="B473" s="341"/>
      <c r="C473" s="632"/>
      <c r="D473" s="617"/>
      <c r="E473" s="612"/>
      <c r="F473" s="30"/>
      <c r="G473" s="609"/>
      <c r="H473" s="609"/>
      <c r="I473" s="614"/>
      <c r="J473" s="609"/>
      <c r="K473" s="609"/>
      <c r="L473" s="609"/>
      <c r="M473" s="612"/>
      <c r="N473" s="606"/>
      <c r="O473" s="644"/>
      <c r="P473" s="329" t="s">
        <v>319</v>
      </c>
      <c r="Q473" s="307">
        <v>1.5</v>
      </c>
      <c r="R473" s="308">
        <v>400</v>
      </c>
      <c r="S473" s="307">
        <f t="shared" si="48"/>
        <v>600</v>
      </c>
      <c r="T473" s="27"/>
    </row>
    <row r="474" spans="1:20" ht="31.5" x14ac:dyDescent="0.25">
      <c r="A474" s="592"/>
      <c r="B474" s="341"/>
      <c r="C474" s="632"/>
      <c r="D474" s="617"/>
      <c r="E474" s="612"/>
      <c r="F474" s="30"/>
      <c r="G474" s="609"/>
      <c r="H474" s="609"/>
      <c r="I474" s="614"/>
      <c r="J474" s="609"/>
      <c r="K474" s="609"/>
      <c r="L474" s="609"/>
      <c r="M474" s="612"/>
      <c r="N474" s="606"/>
      <c r="O474" s="644"/>
      <c r="P474" s="329" t="s">
        <v>320</v>
      </c>
      <c r="Q474" s="307">
        <v>2</v>
      </c>
      <c r="R474" s="308">
        <v>102</v>
      </c>
      <c r="S474" s="307">
        <f t="shared" si="48"/>
        <v>204</v>
      </c>
      <c r="T474" s="27"/>
    </row>
    <row r="475" spans="1:20" x14ac:dyDescent="0.25">
      <c r="A475" s="592"/>
      <c r="B475" s="341"/>
      <c r="C475" s="632"/>
      <c r="D475" s="617"/>
      <c r="E475" s="612"/>
      <c r="F475" s="30"/>
      <c r="G475" s="609"/>
      <c r="H475" s="609"/>
      <c r="I475" s="614"/>
      <c r="J475" s="609"/>
      <c r="K475" s="609"/>
      <c r="L475" s="609"/>
      <c r="M475" s="612"/>
      <c r="N475" s="606"/>
      <c r="O475" s="644"/>
      <c r="P475" s="329" t="s">
        <v>298</v>
      </c>
      <c r="Q475" s="307">
        <v>7.0000000000000007E-2</v>
      </c>
      <c r="R475" s="308">
        <v>179.8</v>
      </c>
      <c r="S475" s="307">
        <f t="shared" si="48"/>
        <v>12.586000000000002</v>
      </c>
      <c r="T475" s="27"/>
    </row>
    <row r="476" spans="1:20" x14ac:dyDescent="0.25">
      <c r="A476" s="592"/>
      <c r="B476" s="341"/>
      <c r="C476" s="632"/>
      <c r="D476" s="617"/>
      <c r="E476" s="612"/>
      <c r="F476" s="30"/>
      <c r="G476" s="609"/>
      <c r="H476" s="609"/>
      <c r="I476" s="614"/>
      <c r="J476" s="609"/>
      <c r="K476" s="609"/>
      <c r="L476" s="609"/>
      <c r="M476" s="612"/>
      <c r="N476" s="606"/>
      <c r="O476" s="644"/>
      <c r="P476" s="329" t="s">
        <v>321</v>
      </c>
      <c r="Q476" s="307">
        <v>2</v>
      </c>
      <c r="R476" s="308">
        <v>527</v>
      </c>
      <c r="S476" s="307">
        <f t="shared" si="48"/>
        <v>1054</v>
      </c>
      <c r="T476" s="27"/>
    </row>
    <row r="477" spans="1:20" ht="31.5" x14ac:dyDescent="0.25">
      <c r="A477" s="592"/>
      <c r="B477" s="341"/>
      <c r="C477" s="628"/>
      <c r="D477" s="604"/>
      <c r="E477" s="490"/>
      <c r="F477" s="30"/>
      <c r="G477" s="610"/>
      <c r="H477" s="610"/>
      <c r="I477" s="615"/>
      <c r="J477" s="610"/>
      <c r="K477" s="610"/>
      <c r="L477" s="610"/>
      <c r="M477" s="490"/>
      <c r="N477" s="607"/>
      <c r="O477" s="645"/>
      <c r="P477" s="329" t="s">
        <v>311</v>
      </c>
      <c r="Q477" s="307">
        <v>0.01</v>
      </c>
      <c r="R477" s="308">
        <v>1385</v>
      </c>
      <c r="S477" s="307">
        <f t="shared" si="48"/>
        <v>13.85</v>
      </c>
      <c r="T477" s="27"/>
    </row>
    <row r="478" spans="1:20" ht="31.5" x14ac:dyDescent="0.25">
      <c r="A478" s="592"/>
      <c r="B478" s="341"/>
      <c r="C478" s="627" t="s">
        <v>289</v>
      </c>
      <c r="D478" s="603">
        <v>1</v>
      </c>
      <c r="E478" s="30" t="s">
        <v>290</v>
      </c>
      <c r="F478" s="221"/>
      <c r="G478" s="221">
        <v>0.18</v>
      </c>
      <c r="H478" s="221">
        <v>8</v>
      </c>
      <c r="I478" s="221">
        <v>1.44</v>
      </c>
      <c r="J478" s="221"/>
      <c r="K478" s="221"/>
      <c r="L478" s="221"/>
      <c r="M478" s="385">
        <v>6</v>
      </c>
      <c r="N478" s="385">
        <v>454.87</v>
      </c>
      <c r="O478" s="328">
        <f t="shared" si="50"/>
        <v>655.01279999999997</v>
      </c>
      <c r="P478" s="329" t="s">
        <v>291</v>
      </c>
      <c r="Q478" s="307">
        <v>5.0000000000000001E-3</v>
      </c>
      <c r="R478" s="308">
        <v>34</v>
      </c>
      <c r="S478" s="307">
        <f t="shared" si="48"/>
        <v>0.17</v>
      </c>
      <c r="T478" s="27"/>
    </row>
    <row r="479" spans="1:20" ht="31.5" x14ac:dyDescent="0.25">
      <c r="A479" s="592"/>
      <c r="B479" s="341"/>
      <c r="C479" s="632"/>
      <c r="D479" s="617"/>
      <c r="E479" s="30" t="s">
        <v>292</v>
      </c>
      <c r="F479" s="221"/>
      <c r="G479" s="221">
        <v>0.73</v>
      </c>
      <c r="H479" s="221">
        <v>3</v>
      </c>
      <c r="I479" s="221">
        <v>2.19</v>
      </c>
      <c r="J479" s="221"/>
      <c r="K479" s="221"/>
      <c r="L479" s="221"/>
      <c r="M479" s="385">
        <v>6</v>
      </c>
      <c r="N479" s="385">
        <v>454.87</v>
      </c>
      <c r="O479" s="328">
        <f t="shared" si="50"/>
        <v>996.1653</v>
      </c>
      <c r="P479" s="329" t="s">
        <v>293</v>
      </c>
      <c r="Q479" s="307">
        <v>4.0000000000000001E-3</v>
      </c>
      <c r="R479" s="308">
        <v>11200</v>
      </c>
      <c r="S479" s="307">
        <f t="shared" si="48"/>
        <v>44.800000000000004</v>
      </c>
      <c r="T479" s="27"/>
    </row>
    <row r="480" spans="1:20" ht="31.5" x14ac:dyDescent="0.25">
      <c r="A480" s="592"/>
      <c r="B480" s="341"/>
      <c r="C480" s="628"/>
      <c r="D480" s="604"/>
      <c r="E480" s="30" t="s">
        <v>294</v>
      </c>
      <c r="F480" s="215"/>
      <c r="G480" s="215">
        <v>5.75</v>
      </c>
      <c r="H480" s="215">
        <v>1</v>
      </c>
      <c r="I480" s="32">
        <v>5.75</v>
      </c>
      <c r="J480" s="215"/>
      <c r="K480" s="215"/>
      <c r="L480" s="215"/>
      <c r="M480" s="386">
        <v>6</v>
      </c>
      <c r="N480" s="385">
        <v>454.87</v>
      </c>
      <c r="O480" s="328">
        <f t="shared" si="50"/>
        <v>2615.5025000000001</v>
      </c>
      <c r="P480" s="329" t="s">
        <v>295</v>
      </c>
      <c r="Q480" s="307">
        <v>3.0000000000000001E-3</v>
      </c>
      <c r="R480" s="308">
        <v>2350</v>
      </c>
      <c r="S480" s="307">
        <f t="shared" si="48"/>
        <v>7.05</v>
      </c>
      <c r="T480" s="27"/>
    </row>
    <row r="481" spans="1:20" ht="31.5" x14ac:dyDescent="0.25">
      <c r="A481" s="592"/>
      <c r="B481" s="341"/>
      <c r="C481" s="627" t="s">
        <v>354</v>
      </c>
      <c r="D481" s="603">
        <v>1</v>
      </c>
      <c r="E481" s="611" t="s">
        <v>290</v>
      </c>
      <c r="F481" s="30"/>
      <c r="G481" s="611">
        <v>1.03</v>
      </c>
      <c r="H481" s="611">
        <v>8</v>
      </c>
      <c r="I481" s="618">
        <f>H481*G481</f>
        <v>8.24</v>
      </c>
      <c r="J481" s="621"/>
      <c r="K481" s="624"/>
      <c r="L481" s="624"/>
      <c r="M481" s="611">
        <v>4</v>
      </c>
      <c r="N481" s="633">
        <v>454.87</v>
      </c>
      <c r="O481" s="643">
        <f t="shared" si="50"/>
        <v>3748.1288</v>
      </c>
      <c r="P481" s="329" t="s">
        <v>297</v>
      </c>
      <c r="Q481" s="307">
        <v>0.04</v>
      </c>
      <c r="R481" s="308">
        <v>875.26</v>
      </c>
      <c r="S481" s="307">
        <f t="shared" si="48"/>
        <v>35.010399999999997</v>
      </c>
      <c r="T481" s="27"/>
    </row>
    <row r="482" spans="1:20" x14ac:dyDescent="0.25">
      <c r="A482" s="592"/>
      <c r="B482" s="341"/>
      <c r="C482" s="632"/>
      <c r="D482" s="617"/>
      <c r="E482" s="612"/>
      <c r="F482" s="30"/>
      <c r="G482" s="612"/>
      <c r="H482" s="612"/>
      <c r="I482" s="619"/>
      <c r="J482" s="622"/>
      <c r="K482" s="625"/>
      <c r="L482" s="625"/>
      <c r="M482" s="612"/>
      <c r="N482" s="606"/>
      <c r="O482" s="644"/>
      <c r="P482" s="329" t="s">
        <v>298</v>
      </c>
      <c r="Q482" s="307">
        <v>0.05</v>
      </c>
      <c r="R482" s="308">
        <v>179.8</v>
      </c>
      <c r="S482" s="307">
        <f t="shared" si="48"/>
        <v>8.99</v>
      </c>
      <c r="T482" s="27"/>
    </row>
    <row r="483" spans="1:20" ht="31.5" x14ac:dyDescent="0.25">
      <c r="A483" s="592"/>
      <c r="B483" s="341"/>
      <c r="C483" s="632"/>
      <c r="D483" s="617"/>
      <c r="E483" s="612"/>
      <c r="F483" s="30"/>
      <c r="G483" s="612"/>
      <c r="H483" s="612"/>
      <c r="I483" s="619"/>
      <c r="J483" s="622"/>
      <c r="K483" s="625"/>
      <c r="L483" s="625"/>
      <c r="M483" s="612"/>
      <c r="N483" s="606"/>
      <c r="O483" s="644"/>
      <c r="P483" s="329" t="s">
        <v>291</v>
      </c>
      <c r="Q483" s="307">
        <v>0.1</v>
      </c>
      <c r="R483" s="308">
        <v>34</v>
      </c>
      <c r="S483" s="307">
        <f t="shared" si="48"/>
        <v>3.4000000000000004</v>
      </c>
      <c r="T483" s="27"/>
    </row>
    <row r="484" spans="1:20" x14ac:dyDescent="0.25">
      <c r="A484" s="592"/>
      <c r="B484" s="341"/>
      <c r="C484" s="632"/>
      <c r="D484" s="617"/>
      <c r="E484" s="612"/>
      <c r="F484" s="30"/>
      <c r="G484" s="612"/>
      <c r="H484" s="612"/>
      <c r="I484" s="619"/>
      <c r="J484" s="622"/>
      <c r="K484" s="625"/>
      <c r="L484" s="625"/>
      <c r="M484" s="612"/>
      <c r="N484" s="606"/>
      <c r="O484" s="644"/>
      <c r="P484" s="329" t="s">
        <v>299</v>
      </c>
      <c r="Q484" s="307">
        <v>2</v>
      </c>
      <c r="R484" s="308">
        <v>4.0999999999999996</v>
      </c>
      <c r="S484" s="307">
        <f t="shared" si="48"/>
        <v>8.1999999999999993</v>
      </c>
      <c r="T484" s="27"/>
    </row>
    <row r="485" spans="1:20" x14ac:dyDescent="0.25">
      <c r="A485" s="592"/>
      <c r="B485" s="341"/>
      <c r="C485" s="632"/>
      <c r="D485" s="617"/>
      <c r="E485" s="490"/>
      <c r="F485" s="30"/>
      <c r="G485" s="490"/>
      <c r="H485" s="490"/>
      <c r="I485" s="620"/>
      <c r="J485" s="623"/>
      <c r="K485" s="626"/>
      <c r="L485" s="626"/>
      <c r="M485" s="490"/>
      <c r="N485" s="607"/>
      <c r="O485" s="645"/>
      <c r="P485" s="329" t="s">
        <v>300</v>
      </c>
      <c r="Q485" s="307">
        <v>0.25</v>
      </c>
      <c r="R485" s="308">
        <v>272</v>
      </c>
      <c r="S485" s="307">
        <f t="shared" si="48"/>
        <v>68</v>
      </c>
      <c r="T485" s="27"/>
    </row>
    <row r="486" spans="1:20" x14ac:dyDescent="0.25">
      <c r="A486" s="592"/>
      <c r="B486" s="341"/>
      <c r="C486" s="632"/>
      <c r="D486" s="617"/>
      <c r="E486" s="611" t="s">
        <v>292</v>
      </c>
      <c r="F486" s="30"/>
      <c r="G486" s="608">
        <v>2.46</v>
      </c>
      <c r="H486" s="608">
        <v>3</v>
      </c>
      <c r="I486" s="613">
        <f t="shared" ref="I486" si="52">H486*G486</f>
        <v>7.38</v>
      </c>
      <c r="J486" s="608"/>
      <c r="K486" s="608"/>
      <c r="L486" s="608"/>
      <c r="M486" s="611">
        <v>4</v>
      </c>
      <c r="N486" s="633">
        <v>454.87</v>
      </c>
      <c r="O486" s="643">
        <f t="shared" si="50"/>
        <v>3356.9405999999999</v>
      </c>
      <c r="P486" s="329" t="s">
        <v>298</v>
      </c>
      <c r="Q486" s="307">
        <v>0.2</v>
      </c>
      <c r="R486" s="308">
        <v>179.8</v>
      </c>
      <c r="S486" s="307">
        <f t="shared" si="48"/>
        <v>35.96</v>
      </c>
      <c r="T486" s="27"/>
    </row>
    <row r="487" spans="1:20" ht="31.5" x14ac:dyDescent="0.25">
      <c r="A487" s="592"/>
      <c r="B487" s="341"/>
      <c r="C487" s="632"/>
      <c r="D487" s="617"/>
      <c r="E487" s="612"/>
      <c r="F487" s="30"/>
      <c r="G487" s="609"/>
      <c r="H487" s="609"/>
      <c r="I487" s="614"/>
      <c r="J487" s="609"/>
      <c r="K487" s="609"/>
      <c r="L487" s="609"/>
      <c r="M487" s="612"/>
      <c r="N487" s="606"/>
      <c r="O487" s="644"/>
      <c r="P487" s="329" t="s">
        <v>297</v>
      </c>
      <c r="Q487" s="307">
        <v>0.01</v>
      </c>
      <c r="R487" s="308">
        <v>875.26</v>
      </c>
      <c r="S487" s="307">
        <f t="shared" si="48"/>
        <v>8.7525999999999993</v>
      </c>
      <c r="T487" s="27"/>
    </row>
    <row r="488" spans="1:20" ht="31.5" x14ac:dyDescent="0.25">
      <c r="A488" s="592"/>
      <c r="B488" s="341"/>
      <c r="C488" s="632"/>
      <c r="D488" s="617"/>
      <c r="E488" s="612"/>
      <c r="F488" s="30"/>
      <c r="G488" s="609"/>
      <c r="H488" s="609"/>
      <c r="I488" s="614"/>
      <c r="J488" s="609"/>
      <c r="K488" s="609"/>
      <c r="L488" s="609"/>
      <c r="M488" s="612"/>
      <c r="N488" s="606"/>
      <c r="O488" s="644"/>
      <c r="P488" s="329" t="s">
        <v>293</v>
      </c>
      <c r="Q488" s="307">
        <v>6.0000000000000001E-3</v>
      </c>
      <c r="R488" s="308">
        <v>11200</v>
      </c>
      <c r="S488" s="307">
        <f t="shared" si="48"/>
        <v>67.2</v>
      </c>
      <c r="T488" s="27"/>
    </row>
    <row r="489" spans="1:20" ht="31.5" x14ac:dyDescent="0.25">
      <c r="A489" s="592"/>
      <c r="B489" s="341"/>
      <c r="C489" s="632"/>
      <c r="D489" s="617"/>
      <c r="E489" s="612"/>
      <c r="F489" s="30"/>
      <c r="G489" s="609"/>
      <c r="H489" s="609"/>
      <c r="I489" s="614"/>
      <c r="J489" s="609"/>
      <c r="K489" s="609"/>
      <c r="L489" s="609"/>
      <c r="M489" s="612"/>
      <c r="N489" s="606"/>
      <c r="O489" s="644"/>
      <c r="P489" s="329" t="s">
        <v>295</v>
      </c>
      <c r="Q489" s="307">
        <v>4.0000000000000001E-3</v>
      </c>
      <c r="R489" s="308">
        <v>2350</v>
      </c>
      <c r="S489" s="307">
        <f t="shared" si="48"/>
        <v>9.4</v>
      </c>
      <c r="T489" s="27"/>
    </row>
    <row r="490" spans="1:20" ht="31.5" x14ac:dyDescent="0.25">
      <c r="A490" s="592"/>
      <c r="B490" s="341"/>
      <c r="C490" s="632"/>
      <c r="D490" s="617"/>
      <c r="E490" s="612"/>
      <c r="F490" s="30"/>
      <c r="G490" s="609"/>
      <c r="H490" s="609"/>
      <c r="I490" s="614"/>
      <c r="J490" s="609"/>
      <c r="K490" s="609"/>
      <c r="L490" s="609"/>
      <c r="M490" s="612"/>
      <c r="N490" s="606"/>
      <c r="O490" s="644"/>
      <c r="P490" s="329" t="s">
        <v>301</v>
      </c>
      <c r="Q490" s="307">
        <v>0.05</v>
      </c>
      <c r="R490" s="308">
        <v>1148</v>
      </c>
      <c r="S490" s="307">
        <f t="shared" si="48"/>
        <v>57.400000000000006</v>
      </c>
      <c r="T490" s="27"/>
    </row>
    <row r="491" spans="1:20" ht="31.5" x14ac:dyDescent="0.25">
      <c r="A491" s="592"/>
      <c r="B491" s="341"/>
      <c r="C491" s="632"/>
      <c r="D491" s="617"/>
      <c r="E491" s="612"/>
      <c r="F491" s="30"/>
      <c r="G491" s="609"/>
      <c r="H491" s="609"/>
      <c r="I491" s="614"/>
      <c r="J491" s="609"/>
      <c r="K491" s="609"/>
      <c r="L491" s="609"/>
      <c r="M491" s="612"/>
      <c r="N491" s="606"/>
      <c r="O491" s="644"/>
      <c r="P491" s="329" t="s">
        <v>291</v>
      </c>
      <c r="Q491" s="307">
        <v>0.02</v>
      </c>
      <c r="R491" s="308">
        <v>34</v>
      </c>
      <c r="S491" s="307">
        <f t="shared" si="48"/>
        <v>0.68</v>
      </c>
      <c r="T491" s="27"/>
    </row>
    <row r="492" spans="1:20" x14ac:dyDescent="0.25">
      <c r="A492" s="592"/>
      <c r="B492" s="341"/>
      <c r="C492" s="632"/>
      <c r="D492" s="617"/>
      <c r="E492" s="612"/>
      <c r="F492" s="30"/>
      <c r="G492" s="609"/>
      <c r="H492" s="609"/>
      <c r="I492" s="614"/>
      <c r="J492" s="609"/>
      <c r="K492" s="609"/>
      <c r="L492" s="609"/>
      <c r="M492" s="612"/>
      <c r="N492" s="606"/>
      <c r="O492" s="644"/>
      <c r="P492" s="329" t="s">
        <v>300</v>
      </c>
      <c r="Q492" s="307">
        <v>0.25</v>
      </c>
      <c r="R492" s="308">
        <v>272</v>
      </c>
      <c r="S492" s="307">
        <f t="shared" si="48"/>
        <v>68</v>
      </c>
      <c r="T492" s="27"/>
    </row>
    <row r="493" spans="1:20" x14ac:dyDescent="0.25">
      <c r="A493" s="592"/>
      <c r="B493" s="341"/>
      <c r="C493" s="632"/>
      <c r="D493" s="617"/>
      <c r="E493" s="612"/>
      <c r="F493" s="30"/>
      <c r="G493" s="609"/>
      <c r="H493" s="609"/>
      <c r="I493" s="614"/>
      <c r="J493" s="609"/>
      <c r="K493" s="609"/>
      <c r="L493" s="609"/>
      <c r="M493" s="612"/>
      <c r="N493" s="606"/>
      <c r="O493" s="644"/>
      <c r="P493" s="329" t="s">
        <v>302</v>
      </c>
      <c r="Q493" s="307">
        <v>0.08</v>
      </c>
      <c r="R493" s="308">
        <v>950</v>
      </c>
      <c r="S493" s="307">
        <f t="shared" si="48"/>
        <v>76</v>
      </c>
      <c r="T493" s="27"/>
    </row>
    <row r="494" spans="1:20" ht="31.5" x14ac:dyDescent="0.25">
      <c r="A494" s="592"/>
      <c r="B494" s="341"/>
      <c r="C494" s="632"/>
      <c r="D494" s="617"/>
      <c r="E494" s="490"/>
      <c r="F494" s="30"/>
      <c r="G494" s="610"/>
      <c r="H494" s="610"/>
      <c r="I494" s="615"/>
      <c r="J494" s="610"/>
      <c r="K494" s="610"/>
      <c r="L494" s="610"/>
      <c r="M494" s="490"/>
      <c r="N494" s="607"/>
      <c r="O494" s="645"/>
      <c r="P494" s="329" t="s">
        <v>303</v>
      </c>
      <c r="Q494" s="307">
        <v>1</v>
      </c>
      <c r="R494" s="308">
        <v>6790</v>
      </c>
      <c r="S494" s="307">
        <f t="shared" si="48"/>
        <v>6790</v>
      </c>
      <c r="T494" s="27"/>
    </row>
    <row r="495" spans="1:20" ht="31.5" x14ac:dyDescent="0.25">
      <c r="A495" s="592"/>
      <c r="B495" s="341"/>
      <c r="C495" s="632"/>
      <c r="D495" s="617"/>
      <c r="E495" s="611" t="s">
        <v>294</v>
      </c>
      <c r="F495" s="30"/>
      <c r="G495" s="608">
        <v>8.51</v>
      </c>
      <c r="H495" s="608">
        <v>1</v>
      </c>
      <c r="I495" s="613">
        <f t="shared" ref="I495" si="53">H495*G495</f>
        <v>8.51</v>
      </c>
      <c r="J495" s="608"/>
      <c r="K495" s="608"/>
      <c r="L495" s="608"/>
      <c r="M495" s="611">
        <v>4</v>
      </c>
      <c r="N495" s="633">
        <v>454.87</v>
      </c>
      <c r="O495" s="643">
        <f t="shared" si="50"/>
        <v>3870.9436999999998</v>
      </c>
      <c r="P495" s="329" t="s">
        <v>293</v>
      </c>
      <c r="Q495" s="307">
        <v>6.0000000000000001E-3</v>
      </c>
      <c r="R495" s="308">
        <v>11200</v>
      </c>
      <c r="S495" s="307">
        <f t="shared" si="48"/>
        <v>67.2</v>
      </c>
      <c r="T495" s="27"/>
    </row>
    <row r="496" spans="1:20" ht="31.5" x14ac:dyDescent="0.25">
      <c r="A496" s="592"/>
      <c r="B496" s="341"/>
      <c r="C496" s="632"/>
      <c r="D496" s="617"/>
      <c r="E496" s="612"/>
      <c r="F496" s="30"/>
      <c r="G496" s="609"/>
      <c r="H496" s="609"/>
      <c r="I496" s="614"/>
      <c r="J496" s="609"/>
      <c r="K496" s="609"/>
      <c r="L496" s="609"/>
      <c r="M496" s="612"/>
      <c r="N496" s="606"/>
      <c r="O496" s="644"/>
      <c r="P496" s="329" t="s">
        <v>295</v>
      </c>
      <c r="Q496" s="307">
        <v>4.0000000000000001E-3</v>
      </c>
      <c r="R496" s="308">
        <v>2350</v>
      </c>
      <c r="S496" s="307">
        <f t="shared" si="48"/>
        <v>9.4</v>
      </c>
      <c r="T496" s="27"/>
    </row>
    <row r="497" spans="1:20" ht="31.5" x14ac:dyDescent="0.25">
      <c r="A497" s="592"/>
      <c r="B497" s="341"/>
      <c r="C497" s="632"/>
      <c r="D497" s="617"/>
      <c r="E497" s="612"/>
      <c r="F497" s="30"/>
      <c r="G497" s="609"/>
      <c r="H497" s="609"/>
      <c r="I497" s="614"/>
      <c r="J497" s="609"/>
      <c r="K497" s="609"/>
      <c r="L497" s="609"/>
      <c r="M497" s="612"/>
      <c r="N497" s="606"/>
      <c r="O497" s="644"/>
      <c r="P497" s="329" t="s">
        <v>291</v>
      </c>
      <c r="Q497" s="307">
        <v>0.02</v>
      </c>
      <c r="R497" s="308">
        <v>34</v>
      </c>
      <c r="S497" s="307">
        <f t="shared" si="48"/>
        <v>0.68</v>
      </c>
      <c r="T497" s="27"/>
    </row>
    <row r="498" spans="1:20" ht="31.5" x14ac:dyDescent="0.25">
      <c r="A498" s="592"/>
      <c r="B498" s="341"/>
      <c r="C498" s="632"/>
      <c r="D498" s="617"/>
      <c r="E498" s="612"/>
      <c r="F498" s="30"/>
      <c r="G498" s="609"/>
      <c r="H498" s="609"/>
      <c r="I498" s="614"/>
      <c r="J498" s="609"/>
      <c r="K498" s="609"/>
      <c r="L498" s="609"/>
      <c r="M498" s="612"/>
      <c r="N498" s="606"/>
      <c r="O498" s="644"/>
      <c r="P498" s="329" t="s">
        <v>301</v>
      </c>
      <c r="Q498" s="307">
        <v>0.05</v>
      </c>
      <c r="R498" s="308">
        <v>1148</v>
      </c>
      <c r="S498" s="307">
        <f t="shared" si="48"/>
        <v>57.400000000000006</v>
      </c>
      <c r="T498" s="27"/>
    </row>
    <row r="499" spans="1:20" x14ac:dyDescent="0.25">
      <c r="A499" s="592"/>
      <c r="B499" s="341"/>
      <c r="C499" s="632"/>
      <c r="D499" s="617"/>
      <c r="E499" s="612"/>
      <c r="F499" s="30"/>
      <c r="G499" s="609"/>
      <c r="H499" s="609"/>
      <c r="I499" s="614"/>
      <c r="J499" s="609"/>
      <c r="K499" s="609"/>
      <c r="L499" s="609"/>
      <c r="M499" s="612"/>
      <c r="N499" s="606"/>
      <c r="O499" s="644"/>
      <c r="P499" s="329" t="s">
        <v>300</v>
      </c>
      <c r="Q499" s="307">
        <v>0.25</v>
      </c>
      <c r="R499" s="308">
        <v>272</v>
      </c>
      <c r="S499" s="307">
        <f t="shared" si="48"/>
        <v>68</v>
      </c>
      <c r="T499" s="27"/>
    </row>
    <row r="500" spans="1:20" x14ac:dyDescent="0.25">
      <c r="A500" s="592"/>
      <c r="B500" s="341"/>
      <c r="C500" s="632"/>
      <c r="D500" s="617"/>
      <c r="E500" s="612"/>
      <c r="F500" s="30"/>
      <c r="G500" s="609"/>
      <c r="H500" s="609"/>
      <c r="I500" s="614"/>
      <c r="J500" s="609"/>
      <c r="K500" s="609"/>
      <c r="L500" s="609"/>
      <c r="M500" s="612"/>
      <c r="N500" s="606"/>
      <c r="O500" s="644"/>
      <c r="P500" s="329" t="s">
        <v>302</v>
      </c>
      <c r="Q500" s="307">
        <v>0.08</v>
      </c>
      <c r="R500" s="308">
        <v>950</v>
      </c>
      <c r="S500" s="307">
        <f t="shared" si="48"/>
        <v>76</v>
      </c>
      <c r="T500" s="27"/>
    </row>
    <row r="501" spans="1:20" ht="31.5" x14ac:dyDescent="0.25">
      <c r="A501" s="592"/>
      <c r="B501" s="341"/>
      <c r="C501" s="632"/>
      <c r="D501" s="617"/>
      <c r="E501" s="612"/>
      <c r="F501" s="30"/>
      <c r="G501" s="609"/>
      <c r="H501" s="609"/>
      <c r="I501" s="614"/>
      <c r="J501" s="609"/>
      <c r="K501" s="609"/>
      <c r="L501" s="609"/>
      <c r="M501" s="612"/>
      <c r="N501" s="606"/>
      <c r="O501" s="644"/>
      <c r="P501" s="329" t="s">
        <v>303</v>
      </c>
      <c r="Q501" s="307">
        <v>1</v>
      </c>
      <c r="R501" s="308">
        <v>6790</v>
      </c>
      <c r="S501" s="307">
        <f t="shared" si="48"/>
        <v>6790</v>
      </c>
      <c r="T501" s="27"/>
    </row>
    <row r="502" spans="1:20" ht="31.5" x14ac:dyDescent="0.25">
      <c r="A502" s="592"/>
      <c r="B502" s="341"/>
      <c r="C502" s="632"/>
      <c r="D502" s="617"/>
      <c r="E502" s="612"/>
      <c r="F502" s="30"/>
      <c r="G502" s="609"/>
      <c r="H502" s="609"/>
      <c r="I502" s="614"/>
      <c r="J502" s="609"/>
      <c r="K502" s="609"/>
      <c r="L502" s="609"/>
      <c r="M502" s="612"/>
      <c r="N502" s="606"/>
      <c r="O502" s="644"/>
      <c r="P502" s="329" t="s">
        <v>304</v>
      </c>
      <c r="Q502" s="307">
        <v>3</v>
      </c>
      <c r="R502" s="308">
        <v>256.5</v>
      </c>
      <c r="S502" s="307">
        <f t="shared" si="48"/>
        <v>769.5</v>
      </c>
      <c r="T502" s="27"/>
    </row>
    <row r="503" spans="1:20" ht="31.5" x14ac:dyDescent="0.25">
      <c r="A503" s="592"/>
      <c r="B503" s="341"/>
      <c r="C503" s="632"/>
      <c r="D503" s="617"/>
      <c r="E503" s="612"/>
      <c r="F503" s="30"/>
      <c r="G503" s="609"/>
      <c r="H503" s="609"/>
      <c r="I503" s="614"/>
      <c r="J503" s="609"/>
      <c r="K503" s="609"/>
      <c r="L503" s="609"/>
      <c r="M503" s="612"/>
      <c r="N503" s="606"/>
      <c r="O503" s="644"/>
      <c r="P503" s="329" t="s">
        <v>305</v>
      </c>
      <c r="Q503" s="307">
        <v>0.03</v>
      </c>
      <c r="R503" s="308">
        <v>165</v>
      </c>
      <c r="S503" s="307">
        <f t="shared" si="48"/>
        <v>4.95</v>
      </c>
      <c r="T503" s="27"/>
    </row>
    <row r="504" spans="1:20" ht="47.25" x14ac:dyDescent="0.25">
      <c r="A504" s="592"/>
      <c r="B504" s="341"/>
      <c r="C504" s="632"/>
      <c r="D504" s="617"/>
      <c r="E504" s="612"/>
      <c r="F504" s="30"/>
      <c r="G504" s="609"/>
      <c r="H504" s="609"/>
      <c r="I504" s="614"/>
      <c r="J504" s="609"/>
      <c r="K504" s="609"/>
      <c r="L504" s="609"/>
      <c r="M504" s="612"/>
      <c r="N504" s="606"/>
      <c r="O504" s="644"/>
      <c r="P504" s="329" t="s">
        <v>306</v>
      </c>
      <c r="Q504" s="307">
        <v>0.01</v>
      </c>
      <c r="R504" s="308">
        <v>207</v>
      </c>
      <c r="S504" s="307">
        <f t="shared" si="48"/>
        <v>2.0699999999999998</v>
      </c>
      <c r="T504" s="27"/>
    </row>
    <row r="505" spans="1:20" x14ac:dyDescent="0.25">
      <c r="A505" s="592"/>
      <c r="B505" s="341"/>
      <c r="C505" s="632"/>
      <c r="D505" s="617"/>
      <c r="E505" s="612"/>
      <c r="F505" s="30"/>
      <c r="G505" s="609"/>
      <c r="H505" s="609"/>
      <c r="I505" s="614"/>
      <c r="J505" s="609"/>
      <c r="K505" s="609"/>
      <c r="L505" s="609"/>
      <c r="M505" s="612"/>
      <c r="N505" s="606"/>
      <c r="O505" s="644"/>
      <c r="P505" s="329" t="s">
        <v>307</v>
      </c>
      <c r="Q505" s="307">
        <v>0.2</v>
      </c>
      <c r="R505" s="308">
        <v>133</v>
      </c>
      <c r="S505" s="307">
        <f t="shared" si="48"/>
        <v>26.6</v>
      </c>
      <c r="T505" s="27"/>
    </row>
    <row r="506" spans="1:20" x14ac:dyDescent="0.25">
      <c r="A506" s="592"/>
      <c r="B506" s="341"/>
      <c r="C506" s="632"/>
      <c r="D506" s="617"/>
      <c r="E506" s="612"/>
      <c r="F506" s="30"/>
      <c r="G506" s="609"/>
      <c r="H506" s="609"/>
      <c r="I506" s="614"/>
      <c r="J506" s="609"/>
      <c r="K506" s="609"/>
      <c r="L506" s="609"/>
      <c r="M506" s="612"/>
      <c r="N506" s="606"/>
      <c r="O506" s="644"/>
      <c r="P506" s="329" t="s">
        <v>308</v>
      </c>
      <c r="Q506" s="307">
        <v>0.25</v>
      </c>
      <c r="R506" s="308">
        <v>625</v>
      </c>
      <c r="S506" s="307">
        <f t="shared" si="48"/>
        <v>156.25</v>
      </c>
      <c r="T506" s="27"/>
    </row>
    <row r="507" spans="1:20" x14ac:dyDescent="0.25">
      <c r="A507" s="592"/>
      <c r="B507" s="341"/>
      <c r="C507" s="632"/>
      <c r="D507" s="617"/>
      <c r="E507" s="612"/>
      <c r="F507" s="30"/>
      <c r="G507" s="609"/>
      <c r="H507" s="609"/>
      <c r="I507" s="614"/>
      <c r="J507" s="609"/>
      <c r="K507" s="609"/>
      <c r="L507" s="609"/>
      <c r="M507" s="612"/>
      <c r="N507" s="606"/>
      <c r="O507" s="644"/>
      <c r="P507" s="329" t="s">
        <v>298</v>
      </c>
      <c r="Q507" s="307">
        <v>0.2</v>
      </c>
      <c r="R507" s="308">
        <v>179.8</v>
      </c>
      <c r="S507" s="307">
        <f t="shared" si="48"/>
        <v>35.96</v>
      </c>
      <c r="T507" s="27"/>
    </row>
    <row r="508" spans="1:20" ht="31.5" x14ac:dyDescent="0.25">
      <c r="A508" s="592"/>
      <c r="B508" s="341"/>
      <c r="C508" s="628"/>
      <c r="D508" s="604"/>
      <c r="E508" s="490"/>
      <c r="F508" s="30"/>
      <c r="G508" s="610"/>
      <c r="H508" s="610"/>
      <c r="I508" s="615"/>
      <c r="J508" s="610"/>
      <c r="K508" s="610"/>
      <c r="L508" s="610"/>
      <c r="M508" s="490"/>
      <c r="N508" s="607"/>
      <c r="O508" s="645"/>
      <c r="P508" s="329" t="s">
        <v>297</v>
      </c>
      <c r="Q508" s="307">
        <v>0.01</v>
      </c>
      <c r="R508" s="308">
        <v>875.26</v>
      </c>
      <c r="S508" s="307">
        <f t="shared" si="48"/>
        <v>8.7525999999999993</v>
      </c>
      <c r="T508" s="27"/>
    </row>
    <row r="509" spans="1:20" x14ac:dyDescent="0.25">
      <c r="A509" s="592"/>
      <c r="B509" s="341"/>
      <c r="C509" s="627" t="s">
        <v>351</v>
      </c>
      <c r="D509" s="603">
        <v>1</v>
      </c>
      <c r="E509" s="611" t="s">
        <v>290</v>
      </c>
      <c r="F509" s="30"/>
      <c r="G509" s="608">
        <v>0.32</v>
      </c>
      <c r="H509" s="608">
        <v>8</v>
      </c>
      <c r="I509" s="613">
        <f>H509*G509</f>
        <v>2.56</v>
      </c>
      <c r="J509" s="629"/>
      <c r="K509" s="608"/>
      <c r="L509" s="608"/>
      <c r="M509" s="611">
        <v>5</v>
      </c>
      <c r="N509" s="633">
        <v>454.87</v>
      </c>
      <c r="O509" s="643">
        <f t="shared" si="50"/>
        <v>1164.4672</v>
      </c>
      <c r="P509" s="329" t="s">
        <v>310</v>
      </c>
      <c r="Q509" s="307">
        <v>0.01</v>
      </c>
      <c r="R509" s="308">
        <v>272</v>
      </c>
      <c r="S509" s="307">
        <f t="shared" si="48"/>
        <v>2.72</v>
      </c>
      <c r="T509" s="27"/>
    </row>
    <row r="510" spans="1:20" x14ac:dyDescent="0.25">
      <c r="A510" s="592"/>
      <c r="B510" s="341"/>
      <c r="C510" s="632"/>
      <c r="D510" s="617"/>
      <c r="E510" s="612"/>
      <c r="F510" s="30"/>
      <c r="G510" s="609"/>
      <c r="H510" s="609"/>
      <c r="I510" s="614"/>
      <c r="J510" s="630"/>
      <c r="K510" s="609"/>
      <c r="L510" s="609"/>
      <c r="M510" s="612"/>
      <c r="N510" s="606"/>
      <c r="O510" s="644"/>
      <c r="P510" s="329" t="s">
        <v>298</v>
      </c>
      <c r="Q510" s="307">
        <v>0.03</v>
      </c>
      <c r="R510" s="308">
        <v>179.8</v>
      </c>
      <c r="S510" s="307">
        <f t="shared" si="48"/>
        <v>5.3940000000000001</v>
      </c>
      <c r="T510" s="27"/>
    </row>
    <row r="511" spans="1:20" ht="31.5" x14ac:dyDescent="0.25">
      <c r="A511" s="592"/>
      <c r="B511" s="341"/>
      <c r="C511" s="632"/>
      <c r="D511" s="617"/>
      <c r="E511" s="490"/>
      <c r="F511" s="30"/>
      <c r="G511" s="610"/>
      <c r="H511" s="610"/>
      <c r="I511" s="615"/>
      <c r="J511" s="631"/>
      <c r="K511" s="610"/>
      <c r="L511" s="610"/>
      <c r="M511" s="490"/>
      <c r="N511" s="607"/>
      <c r="O511" s="645"/>
      <c r="P511" s="329" t="s">
        <v>311</v>
      </c>
      <c r="Q511" s="307">
        <v>0.03</v>
      </c>
      <c r="R511" s="308">
        <v>1385</v>
      </c>
      <c r="S511" s="307">
        <f t="shared" si="48"/>
        <v>41.55</v>
      </c>
      <c r="T511" s="27"/>
    </row>
    <row r="512" spans="1:20" x14ac:dyDescent="0.25">
      <c r="A512" s="592"/>
      <c r="B512" s="341"/>
      <c r="C512" s="632"/>
      <c r="D512" s="617"/>
      <c r="E512" s="611" t="s">
        <v>292</v>
      </c>
      <c r="F512" s="30"/>
      <c r="G512" s="608">
        <v>0.63</v>
      </c>
      <c r="H512" s="608">
        <v>3</v>
      </c>
      <c r="I512" s="613">
        <f t="shared" ref="I512" si="54">H512*G512</f>
        <v>1.8900000000000001</v>
      </c>
      <c r="J512" s="608"/>
      <c r="K512" s="608"/>
      <c r="L512" s="608"/>
      <c r="M512" s="611">
        <v>5</v>
      </c>
      <c r="N512" s="633">
        <v>454.87</v>
      </c>
      <c r="O512" s="643">
        <f t="shared" si="50"/>
        <v>859.7043000000001</v>
      </c>
      <c r="P512" s="329" t="s">
        <v>310</v>
      </c>
      <c r="Q512" s="307">
        <v>0.01</v>
      </c>
      <c r="R512" s="308">
        <v>272</v>
      </c>
      <c r="S512" s="307">
        <f t="shared" si="48"/>
        <v>2.72</v>
      </c>
      <c r="T512" s="27"/>
    </row>
    <row r="513" spans="1:20" x14ac:dyDescent="0.25">
      <c r="A513" s="592"/>
      <c r="B513" s="341"/>
      <c r="C513" s="632"/>
      <c r="D513" s="617"/>
      <c r="E513" s="612"/>
      <c r="F513" s="30"/>
      <c r="G513" s="609"/>
      <c r="H513" s="609"/>
      <c r="I513" s="614"/>
      <c r="J513" s="609"/>
      <c r="K513" s="609"/>
      <c r="L513" s="609"/>
      <c r="M513" s="612"/>
      <c r="N513" s="606"/>
      <c r="O513" s="644"/>
      <c r="P513" s="329" t="s">
        <v>312</v>
      </c>
      <c r="Q513" s="307">
        <v>0.5</v>
      </c>
      <c r="R513" s="308">
        <v>272</v>
      </c>
      <c r="S513" s="307">
        <f t="shared" si="48"/>
        <v>136</v>
      </c>
      <c r="T513" s="27"/>
    </row>
    <row r="514" spans="1:20" x14ac:dyDescent="0.25">
      <c r="A514" s="592"/>
      <c r="B514" s="341"/>
      <c r="C514" s="632"/>
      <c r="D514" s="617"/>
      <c r="E514" s="612"/>
      <c r="F514" s="30"/>
      <c r="G514" s="609"/>
      <c r="H514" s="609"/>
      <c r="I514" s="614"/>
      <c r="J514" s="609"/>
      <c r="K514" s="609"/>
      <c r="L514" s="609"/>
      <c r="M514" s="612"/>
      <c r="N514" s="606"/>
      <c r="O514" s="644"/>
      <c r="P514" s="329" t="s">
        <v>313</v>
      </c>
      <c r="Q514" s="307">
        <v>0.1</v>
      </c>
      <c r="R514" s="308">
        <v>632</v>
      </c>
      <c r="S514" s="307">
        <f t="shared" si="48"/>
        <v>63.2</v>
      </c>
      <c r="T514" s="27"/>
    </row>
    <row r="515" spans="1:20" x14ac:dyDescent="0.25">
      <c r="A515" s="592"/>
      <c r="B515" s="341"/>
      <c r="C515" s="632"/>
      <c r="D515" s="617"/>
      <c r="E515" s="612"/>
      <c r="F515" s="30"/>
      <c r="G515" s="609"/>
      <c r="H515" s="609"/>
      <c r="I515" s="614"/>
      <c r="J515" s="609"/>
      <c r="K515" s="609"/>
      <c r="L515" s="609"/>
      <c r="M515" s="612"/>
      <c r="N515" s="606"/>
      <c r="O515" s="644"/>
      <c r="P515" s="329" t="s">
        <v>314</v>
      </c>
      <c r="Q515" s="307">
        <v>0.03</v>
      </c>
      <c r="R515" s="308">
        <v>179</v>
      </c>
      <c r="S515" s="307">
        <f t="shared" si="48"/>
        <v>5.37</v>
      </c>
      <c r="T515" s="27"/>
    </row>
    <row r="516" spans="1:20" ht="31.5" x14ac:dyDescent="0.25">
      <c r="A516" s="592"/>
      <c r="B516" s="341"/>
      <c r="C516" s="632"/>
      <c r="D516" s="617"/>
      <c r="E516" s="612"/>
      <c r="F516" s="30"/>
      <c r="G516" s="609"/>
      <c r="H516" s="609"/>
      <c r="I516" s="614"/>
      <c r="J516" s="609"/>
      <c r="K516" s="609"/>
      <c r="L516" s="609"/>
      <c r="M516" s="612"/>
      <c r="N516" s="606"/>
      <c r="O516" s="644"/>
      <c r="P516" s="329" t="s">
        <v>315</v>
      </c>
      <c r="Q516" s="307">
        <v>4.0000000000000001E-3</v>
      </c>
      <c r="R516" s="308">
        <v>302</v>
      </c>
      <c r="S516" s="307">
        <f t="shared" si="48"/>
        <v>1.208</v>
      </c>
      <c r="T516" s="27"/>
    </row>
    <row r="517" spans="1:20" ht="31.5" x14ac:dyDescent="0.25">
      <c r="A517" s="592"/>
      <c r="B517" s="341"/>
      <c r="C517" s="632"/>
      <c r="D517" s="617"/>
      <c r="E517" s="612"/>
      <c r="F517" s="30"/>
      <c r="G517" s="609"/>
      <c r="H517" s="609"/>
      <c r="I517" s="614"/>
      <c r="J517" s="609"/>
      <c r="K517" s="609"/>
      <c r="L517" s="609"/>
      <c r="M517" s="612"/>
      <c r="N517" s="606"/>
      <c r="O517" s="644"/>
      <c r="P517" s="329" t="s">
        <v>316</v>
      </c>
      <c r="Q517" s="307">
        <v>5.0000000000000001E-3</v>
      </c>
      <c r="R517" s="308">
        <v>950</v>
      </c>
      <c r="S517" s="307">
        <f t="shared" si="48"/>
        <v>4.75</v>
      </c>
      <c r="T517" s="27"/>
    </row>
    <row r="518" spans="1:20" ht="31.5" x14ac:dyDescent="0.25">
      <c r="A518" s="592"/>
      <c r="B518" s="341"/>
      <c r="C518" s="632"/>
      <c r="D518" s="617"/>
      <c r="E518" s="612"/>
      <c r="F518" s="30"/>
      <c r="G518" s="609"/>
      <c r="H518" s="609"/>
      <c r="I518" s="614"/>
      <c r="J518" s="609"/>
      <c r="K518" s="609"/>
      <c r="L518" s="609"/>
      <c r="M518" s="612"/>
      <c r="N518" s="606"/>
      <c r="O518" s="644"/>
      <c r="P518" s="329" t="s">
        <v>291</v>
      </c>
      <c r="Q518" s="307">
        <v>5.0000000000000001E-3</v>
      </c>
      <c r="R518" s="308">
        <v>34</v>
      </c>
      <c r="S518" s="307">
        <f t="shared" si="48"/>
        <v>0.17</v>
      </c>
      <c r="T518" s="27"/>
    </row>
    <row r="519" spans="1:20" x14ac:dyDescent="0.25">
      <c r="A519" s="592"/>
      <c r="B519" s="341"/>
      <c r="C519" s="632"/>
      <c r="D519" s="617"/>
      <c r="E519" s="612"/>
      <c r="F519" s="30"/>
      <c r="G519" s="609"/>
      <c r="H519" s="609"/>
      <c r="I519" s="614"/>
      <c r="J519" s="609"/>
      <c r="K519" s="609"/>
      <c r="L519" s="609"/>
      <c r="M519" s="612"/>
      <c r="N519" s="606"/>
      <c r="O519" s="644"/>
      <c r="P519" s="329" t="s">
        <v>298</v>
      </c>
      <c r="Q519" s="307">
        <v>7.0000000000000007E-2</v>
      </c>
      <c r="R519" s="308">
        <v>179.8</v>
      </c>
      <c r="S519" s="307">
        <f t="shared" ref="S519:S582" si="55">(Q519*R519)</f>
        <v>12.586000000000002</v>
      </c>
      <c r="T519" s="27"/>
    </row>
    <row r="520" spans="1:20" ht="31.5" x14ac:dyDescent="0.25">
      <c r="A520" s="592"/>
      <c r="B520" s="341"/>
      <c r="C520" s="632"/>
      <c r="D520" s="617"/>
      <c r="E520" s="490"/>
      <c r="F520" s="30"/>
      <c r="G520" s="610"/>
      <c r="H520" s="610"/>
      <c r="I520" s="615"/>
      <c r="J520" s="610"/>
      <c r="K520" s="610"/>
      <c r="L520" s="610"/>
      <c r="M520" s="490"/>
      <c r="N520" s="607"/>
      <c r="O520" s="645"/>
      <c r="P520" s="329" t="s">
        <v>311</v>
      </c>
      <c r="Q520" s="307">
        <v>0.01</v>
      </c>
      <c r="R520" s="308">
        <v>1385</v>
      </c>
      <c r="S520" s="307">
        <f t="shared" si="55"/>
        <v>13.85</v>
      </c>
      <c r="T520" s="27"/>
    </row>
    <row r="521" spans="1:20" x14ac:dyDescent="0.25">
      <c r="A521" s="592"/>
      <c r="B521" s="341"/>
      <c r="C521" s="632"/>
      <c r="D521" s="617"/>
      <c r="E521" s="611" t="s">
        <v>294</v>
      </c>
      <c r="F521" s="30"/>
      <c r="G521" s="608">
        <v>2.36</v>
      </c>
      <c r="H521" s="608">
        <v>1</v>
      </c>
      <c r="I521" s="613">
        <f t="shared" ref="I521" si="56">H521*G521</f>
        <v>2.36</v>
      </c>
      <c r="J521" s="608"/>
      <c r="K521" s="608"/>
      <c r="L521" s="608"/>
      <c r="M521" s="611">
        <v>5</v>
      </c>
      <c r="N521" s="633">
        <v>454.87</v>
      </c>
      <c r="O521" s="643">
        <f t="shared" ref="O521:O581" si="57">I521*N521</f>
        <v>1073.4931999999999</v>
      </c>
      <c r="P521" s="329" t="s">
        <v>310</v>
      </c>
      <c r="Q521" s="307">
        <v>0.01</v>
      </c>
      <c r="R521" s="308">
        <v>272</v>
      </c>
      <c r="S521" s="307">
        <f t="shared" si="55"/>
        <v>2.72</v>
      </c>
      <c r="T521" s="27"/>
    </row>
    <row r="522" spans="1:20" x14ac:dyDescent="0.25">
      <c r="A522" s="592"/>
      <c r="B522" s="341"/>
      <c r="C522" s="632"/>
      <c r="D522" s="617"/>
      <c r="E522" s="612"/>
      <c r="F522" s="30"/>
      <c r="G522" s="609"/>
      <c r="H522" s="609"/>
      <c r="I522" s="614"/>
      <c r="J522" s="609"/>
      <c r="K522" s="609"/>
      <c r="L522" s="609"/>
      <c r="M522" s="612"/>
      <c r="N522" s="606"/>
      <c r="O522" s="644"/>
      <c r="P522" s="329" t="s">
        <v>314</v>
      </c>
      <c r="Q522" s="307">
        <v>0.03</v>
      </c>
      <c r="R522" s="308">
        <v>179</v>
      </c>
      <c r="S522" s="307">
        <f t="shared" si="55"/>
        <v>5.37</v>
      </c>
      <c r="T522" s="27"/>
    </row>
    <row r="523" spans="1:20" ht="31.5" x14ac:dyDescent="0.25">
      <c r="A523" s="592"/>
      <c r="B523" s="341"/>
      <c r="C523" s="632"/>
      <c r="D523" s="617"/>
      <c r="E523" s="612"/>
      <c r="F523" s="30"/>
      <c r="G523" s="609"/>
      <c r="H523" s="609"/>
      <c r="I523" s="614"/>
      <c r="J523" s="609"/>
      <c r="K523" s="609"/>
      <c r="L523" s="609"/>
      <c r="M523" s="612"/>
      <c r="N523" s="606"/>
      <c r="O523" s="644"/>
      <c r="P523" s="329" t="s">
        <v>315</v>
      </c>
      <c r="Q523" s="307">
        <v>4.0000000000000001E-3</v>
      </c>
      <c r="R523" s="308">
        <v>302</v>
      </c>
      <c r="S523" s="307">
        <f t="shared" si="55"/>
        <v>1.208</v>
      </c>
      <c r="T523" s="27"/>
    </row>
    <row r="524" spans="1:20" ht="31.5" x14ac:dyDescent="0.25">
      <c r="A524" s="592"/>
      <c r="B524" s="341"/>
      <c r="C524" s="632"/>
      <c r="D524" s="617"/>
      <c r="E524" s="612"/>
      <c r="F524" s="30"/>
      <c r="G524" s="609"/>
      <c r="H524" s="609"/>
      <c r="I524" s="614"/>
      <c r="J524" s="609"/>
      <c r="K524" s="609"/>
      <c r="L524" s="609"/>
      <c r="M524" s="612"/>
      <c r="N524" s="606"/>
      <c r="O524" s="644"/>
      <c r="P524" s="329" t="s">
        <v>316</v>
      </c>
      <c r="Q524" s="307">
        <v>5.0000000000000001E-3</v>
      </c>
      <c r="R524" s="308">
        <v>950</v>
      </c>
      <c r="S524" s="307">
        <f t="shared" si="55"/>
        <v>4.75</v>
      </c>
      <c r="T524" s="27"/>
    </row>
    <row r="525" spans="1:20" ht="31.5" x14ac:dyDescent="0.25">
      <c r="A525" s="592"/>
      <c r="B525" s="341"/>
      <c r="C525" s="632"/>
      <c r="D525" s="617"/>
      <c r="E525" s="612"/>
      <c r="F525" s="30"/>
      <c r="G525" s="609"/>
      <c r="H525" s="609"/>
      <c r="I525" s="614"/>
      <c r="J525" s="609"/>
      <c r="K525" s="609"/>
      <c r="L525" s="609"/>
      <c r="M525" s="612"/>
      <c r="N525" s="606"/>
      <c r="O525" s="644"/>
      <c r="P525" s="329" t="s">
        <v>291</v>
      </c>
      <c r="Q525" s="307">
        <v>5.0000000000000001E-3</v>
      </c>
      <c r="R525" s="308">
        <v>34</v>
      </c>
      <c r="S525" s="307">
        <f t="shared" si="55"/>
        <v>0.17</v>
      </c>
      <c r="T525" s="27"/>
    </row>
    <row r="526" spans="1:20" x14ac:dyDescent="0.25">
      <c r="A526" s="592"/>
      <c r="B526" s="341"/>
      <c r="C526" s="632"/>
      <c r="D526" s="617"/>
      <c r="E526" s="612"/>
      <c r="F526" s="30"/>
      <c r="G526" s="609"/>
      <c r="H526" s="609"/>
      <c r="I526" s="614"/>
      <c r="J526" s="609"/>
      <c r="K526" s="609"/>
      <c r="L526" s="609"/>
      <c r="M526" s="612"/>
      <c r="N526" s="606"/>
      <c r="O526" s="644"/>
      <c r="P526" s="329" t="s">
        <v>317</v>
      </c>
      <c r="Q526" s="307">
        <v>0.2</v>
      </c>
      <c r="R526" s="308">
        <v>294.12</v>
      </c>
      <c r="S526" s="307">
        <f t="shared" si="55"/>
        <v>58.824000000000005</v>
      </c>
      <c r="T526" s="27"/>
    </row>
    <row r="527" spans="1:20" x14ac:dyDescent="0.25">
      <c r="A527" s="592"/>
      <c r="B527" s="341"/>
      <c r="C527" s="632"/>
      <c r="D527" s="617"/>
      <c r="E527" s="612"/>
      <c r="F527" s="30"/>
      <c r="G527" s="609"/>
      <c r="H527" s="609"/>
      <c r="I527" s="614"/>
      <c r="J527" s="609"/>
      <c r="K527" s="609"/>
      <c r="L527" s="609"/>
      <c r="M527" s="612"/>
      <c r="N527" s="606"/>
      <c r="O527" s="644"/>
      <c r="P527" s="329" t="s">
        <v>318</v>
      </c>
      <c r="Q527" s="307">
        <v>1</v>
      </c>
      <c r="R527" s="308">
        <v>256.5</v>
      </c>
      <c r="S527" s="307">
        <f t="shared" si="55"/>
        <v>256.5</v>
      </c>
      <c r="T527" s="27"/>
    </row>
    <row r="528" spans="1:20" ht="14.45" customHeight="1" x14ac:dyDescent="0.25">
      <c r="A528" s="592"/>
      <c r="B528" s="341"/>
      <c r="C528" s="632"/>
      <c r="D528" s="617"/>
      <c r="E528" s="612"/>
      <c r="F528" s="30"/>
      <c r="G528" s="609"/>
      <c r="H528" s="609"/>
      <c r="I528" s="614"/>
      <c r="J528" s="609"/>
      <c r="K528" s="609"/>
      <c r="L528" s="609"/>
      <c r="M528" s="612"/>
      <c r="N528" s="606"/>
      <c r="O528" s="644"/>
      <c r="P528" s="329" t="s">
        <v>319</v>
      </c>
      <c r="Q528" s="307">
        <v>1.5</v>
      </c>
      <c r="R528" s="308">
        <v>400</v>
      </c>
      <c r="S528" s="307">
        <f t="shared" si="55"/>
        <v>600</v>
      </c>
      <c r="T528" s="27"/>
    </row>
    <row r="529" spans="1:20" ht="31.5" x14ac:dyDescent="0.25">
      <c r="A529" s="592"/>
      <c r="B529" s="341"/>
      <c r="C529" s="632"/>
      <c r="D529" s="617"/>
      <c r="E529" s="612"/>
      <c r="F529" s="30"/>
      <c r="G529" s="609"/>
      <c r="H529" s="609"/>
      <c r="I529" s="614"/>
      <c r="J529" s="609"/>
      <c r="K529" s="609"/>
      <c r="L529" s="609"/>
      <c r="M529" s="612"/>
      <c r="N529" s="606"/>
      <c r="O529" s="644"/>
      <c r="P529" s="329" t="s">
        <v>320</v>
      </c>
      <c r="Q529" s="307">
        <v>2</v>
      </c>
      <c r="R529" s="308">
        <v>102</v>
      </c>
      <c r="S529" s="307">
        <f t="shared" si="55"/>
        <v>204</v>
      </c>
      <c r="T529" s="27"/>
    </row>
    <row r="530" spans="1:20" x14ac:dyDescent="0.25">
      <c r="A530" s="592"/>
      <c r="B530" s="341"/>
      <c r="C530" s="632"/>
      <c r="D530" s="617"/>
      <c r="E530" s="612"/>
      <c r="F530" s="30"/>
      <c r="G530" s="609"/>
      <c r="H530" s="609"/>
      <c r="I530" s="614"/>
      <c r="J530" s="609"/>
      <c r="K530" s="609"/>
      <c r="L530" s="609"/>
      <c r="M530" s="612"/>
      <c r="N530" s="606"/>
      <c r="O530" s="644"/>
      <c r="P530" s="329" t="s">
        <v>298</v>
      </c>
      <c r="Q530" s="307">
        <v>7.0000000000000007E-2</v>
      </c>
      <c r="R530" s="308">
        <v>179.8</v>
      </c>
      <c r="S530" s="307">
        <f t="shared" si="55"/>
        <v>12.586000000000002</v>
      </c>
      <c r="T530" s="27"/>
    </row>
    <row r="531" spans="1:20" x14ac:dyDescent="0.25">
      <c r="A531" s="592"/>
      <c r="B531" s="341"/>
      <c r="C531" s="632"/>
      <c r="D531" s="617"/>
      <c r="E531" s="612"/>
      <c r="F531" s="30"/>
      <c r="G531" s="609"/>
      <c r="H531" s="609"/>
      <c r="I531" s="614"/>
      <c r="J531" s="609"/>
      <c r="K531" s="609"/>
      <c r="L531" s="609"/>
      <c r="M531" s="612"/>
      <c r="N531" s="606"/>
      <c r="O531" s="644"/>
      <c r="P531" s="329" t="s">
        <v>321</v>
      </c>
      <c r="Q531" s="307">
        <v>2</v>
      </c>
      <c r="R531" s="308">
        <v>527</v>
      </c>
      <c r="S531" s="307">
        <f t="shared" si="55"/>
        <v>1054</v>
      </c>
      <c r="T531" s="27"/>
    </row>
    <row r="532" spans="1:20" ht="31.5" x14ac:dyDescent="0.25">
      <c r="A532" s="592"/>
      <c r="B532" s="341"/>
      <c r="C532" s="628"/>
      <c r="D532" s="604"/>
      <c r="E532" s="490"/>
      <c r="F532" s="30"/>
      <c r="G532" s="610"/>
      <c r="H532" s="610"/>
      <c r="I532" s="615"/>
      <c r="J532" s="610"/>
      <c r="K532" s="610"/>
      <c r="L532" s="610"/>
      <c r="M532" s="490"/>
      <c r="N532" s="607"/>
      <c r="O532" s="645"/>
      <c r="P532" s="329" t="s">
        <v>311</v>
      </c>
      <c r="Q532" s="307">
        <v>0.01</v>
      </c>
      <c r="R532" s="308">
        <v>1385</v>
      </c>
      <c r="S532" s="307">
        <f t="shared" si="55"/>
        <v>13.85</v>
      </c>
      <c r="T532" s="27"/>
    </row>
    <row r="533" spans="1:20" ht="31.5" x14ac:dyDescent="0.25">
      <c r="A533" s="592"/>
      <c r="B533" s="341"/>
      <c r="C533" s="627" t="s">
        <v>355</v>
      </c>
      <c r="D533" s="603">
        <v>1</v>
      </c>
      <c r="E533" s="611" t="s">
        <v>290</v>
      </c>
      <c r="F533" s="30"/>
      <c r="G533" s="608">
        <v>0.04</v>
      </c>
      <c r="H533" s="608">
        <v>8</v>
      </c>
      <c r="I533" s="613">
        <f>H533*G533</f>
        <v>0.32</v>
      </c>
      <c r="J533" s="629"/>
      <c r="K533" s="608"/>
      <c r="L533" s="608"/>
      <c r="M533" s="611">
        <v>4</v>
      </c>
      <c r="N533" s="633">
        <v>454.87</v>
      </c>
      <c r="O533" s="643">
        <f t="shared" si="57"/>
        <v>145.55840000000001</v>
      </c>
      <c r="P533" s="329" t="s">
        <v>311</v>
      </c>
      <c r="Q533" s="307">
        <v>0.01</v>
      </c>
      <c r="R533" s="308">
        <v>1385</v>
      </c>
      <c r="S533" s="307">
        <f t="shared" si="55"/>
        <v>13.85</v>
      </c>
      <c r="T533" s="27"/>
    </row>
    <row r="534" spans="1:20" x14ac:dyDescent="0.25">
      <c r="A534" s="592"/>
      <c r="B534" s="341"/>
      <c r="C534" s="632"/>
      <c r="D534" s="617"/>
      <c r="E534" s="612"/>
      <c r="F534" s="30"/>
      <c r="G534" s="609"/>
      <c r="H534" s="609"/>
      <c r="I534" s="614"/>
      <c r="J534" s="630"/>
      <c r="K534" s="609"/>
      <c r="L534" s="609"/>
      <c r="M534" s="612"/>
      <c r="N534" s="606"/>
      <c r="O534" s="644"/>
      <c r="P534" s="329" t="s">
        <v>298</v>
      </c>
      <c r="Q534" s="307">
        <v>0.04</v>
      </c>
      <c r="R534" s="308">
        <v>179.8</v>
      </c>
      <c r="S534" s="307">
        <f t="shared" si="55"/>
        <v>7.1920000000000002</v>
      </c>
      <c r="T534" s="27"/>
    </row>
    <row r="535" spans="1:20" x14ac:dyDescent="0.25">
      <c r="A535" s="592"/>
      <c r="B535" s="341"/>
      <c r="C535" s="632"/>
      <c r="D535" s="617"/>
      <c r="E535" s="612"/>
      <c r="F535" s="30"/>
      <c r="G535" s="609"/>
      <c r="H535" s="609"/>
      <c r="I535" s="614"/>
      <c r="J535" s="630"/>
      <c r="K535" s="609"/>
      <c r="L535" s="609"/>
      <c r="M535" s="612"/>
      <c r="N535" s="606"/>
      <c r="O535" s="644"/>
      <c r="P535" s="330" t="s">
        <v>324</v>
      </c>
      <c r="Q535" s="331">
        <v>1</v>
      </c>
      <c r="R535" s="308">
        <v>44</v>
      </c>
      <c r="S535" s="307">
        <f t="shared" si="55"/>
        <v>44</v>
      </c>
      <c r="T535" s="27"/>
    </row>
    <row r="536" spans="1:20" x14ac:dyDescent="0.25">
      <c r="A536" s="592"/>
      <c r="B536" s="341"/>
      <c r="C536" s="632"/>
      <c r="D536" s="617"/>
      <c r="E536" s="612"/>
      <c r="F536" s="30"/>
      <c r="G536" s="609"/>
      <c r="H536" s="609"/>
      <c r="I536" s="614"/>
      <c r="J536" s="630"/>
      <c r="K536" s="609"/>
      <c r="L536" s="609"/>
      <c r="M536" s="612"/>
      <c r="N536" s="606"/>
      <c r="O536" s="644"/>
      <c r="P536" s="330" t="s">
        <v>325</v>
      </c>
      <c r="Q536" s="307">
        <v>0.01</v>
      </c>
      <c r="R536" s="308">
        <v>649</v>
      </c>
      <c r="S536" s="307">
        <f t="shared" si="55"/>
        <v>6.49</v>
      </c>
      <c r="T536" s="27"/>
    </row>
    <row r="537" spans="1:20" x14ac:dyDescent="0.25">
      <c r="A537" s="592"/>
      <c r="B537" s="341"/>
      <c r="C537" s="632"/>
      <c r="D537" s="617"/>
      <c r="E537" s="612"/>
      <c r="F537" s="30"/>
      <c r="G537" s="609"/>
      <c r="H537" s="609"/>
      <c r="I537" s="614"/>
      <c r="J537" s="630"/>
      <c r="K537" s="609"/>
      <c r="L537" s="609"/>
      <c r="M537" s="612"/>
      <c r="N537" s="606"/>
      <c r="O537" s="644"/>
      <c r="P537" s="330" t="s">
        <v>326</v>
      </c>
      <c r="Q537" s="331">
        <v>0.03</v>
      </c>
      <c r="R537" s="308">
        <v>1148</v>
      </c>
      <c r="S537" s="307">
        <f t="shared" si="55"/>
        <v>34.44</v>
      </c>
      <c r="T537" s="27"/>
    </row>
    <row r="538" spans="1:20" x14ac:dyDescent="0.25">
      <c r="A538" s="592"/>
      <c r="B538" s="341"/>
      <c r="C538" s="632"/>
      <c r="D538" s="617"/>
      <c r="E538" s="490"/>
      <c r="F538" s="30"/>
      <c r="G538" s="610"/>
      <c r="H538" s="610"/>
      <c r="I538" s="615"/>
      <c r="J538" s="631"/>
      <c r="K538" s="610"/>
      <c r="L538" s="610"/>
      <c r="M538" s="490"/>
      <c r="N538" s="607"/>
      <c r="O538" s="645"/>
      <c r="P538" s="329" t="s">
        <v>318</v>
      </c>
      <c r="Q538" s="331">
        <v>2</v>
      </c>
      <c r="R538" s="308">
        <v>256.5</v>
      </c>
      <c r="S538" s="307">
        <f t="shared" si="55"/>
        <v>513</v>
      </c>
      <c r="T538" s="27"/>
    </row>
    <row r="539" spans="1:20" x14ac:dyDescent="0.25">
      <c r="A539" s="592"/>
      <c r="B539" s="341"/>
      <c r="C539" s="632"/>
      <c r="D539" s="617"/>
      <c r="E539" s="611" t="s">
        <v>292</v>
      </c>
      <c r="F539" s="30"/>
      <c r="G539" s="608">
        <v>0.06</v>
      </c>
      <c r="H539" s="608">
        <v>3</v>
      </c>
      <c r="I539" s="613">
        <f t="shared" ref="I539" si="58">H539*G539</f>
        <v>0.18</v>
      </c>
      <c r="J539" s="608"/>
      <c r="K539" s="608"/>
      <c r="L539" s="608"/>
      <c r="M539" s="611">
        <v>4</v>
      </c>
      <c r="N539" s="633">
        <v>454.87</v>
      </c>
      <c r="O539" s="643">
        <f t="shared" si="57"/>
        <v>81.876599999999996</v>
      </c>
      <c r="P539" s="329" t="s">
        <v>298</v>
      </c>
      <c r="Q539" s="307">
        <v>0.09</v>
      </c>
      <c r="R539" s="308">
        <v>179.8</v>
      </c>
      <c r="S539" s="307">
        <f t="shared" si="55"/>
        <v>16.182000000000002</v>
      </c>
      <c r="T539" s="27"/>
    </row>
    <row r="540" spans="1:20" x14ac:dyDescent="0.25">
      <c r="A540" s="592"/>
      <c r="B540" s="341"/>
      <c r="C540" s="632"/>
      <c r="D540" s="617"/>
      <c r="E540" s="612"/>
      <c r="F540" s="30"/>
      <c r="G540" s="609"/>
      <c r="H540" s="609"/>
      <c r="I540" s="614"/>
      <c r="J540" s="609"/>
      <c r="K540" s="609"/>
      <c r="L540" s="609"/>
      <c r="M540" s="612"/>
      <c r="N540" s="606"/>
      <c r="O540" s="644"/>
      <c r="P540" s="330" t="s">
        <v>302</v>
      </c>
      <c r="Q540" s="331">
        <v>0.05</v>
      </c>
      <c r="R540" s="308">
        <v>950</v>
      </c>
      <c r="S540" s="307">
        <f t="shared" si="55"/>
        <v>47.5</v>
      </c>
      <c r="T540" s="27"/>
    </row>
    <row r="541" spans="1:20" ht="31.5" x14ac:dyDescent="0.25">
      <c r="A541" s="592"/>
      <c r="B541" s="341"/>
      <c r="C541" s="632"/>
      <c r="D541" s="617"/>
      <c r="E541" s="612"/>
      <c r="F541" s="30"/>
      <c r="G541" s="609"/>
      <c r="H541" s="609"/>
      <c r="I541" s="614"/>
      <c r="J541" s="609"/>
      <c r="K541" s="609"/>
      <c r="L541" s="609"/>
      <c r="M541" s="612"/>
      <c r="N541" s="606"/>
      <c r="O541" s="644"/>
      <c r="P541" s="329" t="s">
        <v>311</v>
      </c>
      <c r="Q541" s="307">
        <v>0.01</v>
      </c>
      <c r="R541" s="308">
        <v>1385</v>
      </c>
      <c r="S541" s="307">
        <f t="shared" si="55"/>
        <v>13.85</v>
      </c>
      <c r="T541" s="27"/>
    </row>
    <row r="542" spans="1:20" x14ac:dyDescent="0.25">
      <c r="A542" s="592"/>
      <c r="B542" s="341"/>
      <c r="C542" s="632"/>
      <c r="D542" s="617"/>
      <c r="E542" s="612"/>
      <c r="F542" s="30"/>
      <c r="G542" s="609"/>
      <c r="H542" s="609"/>
      <c r="I542" s="614"/>
      <c r="J542" s="609"/>
      <c r="K542" s="609"/>
      <c r="L542" s="609"/>
      <c r="M542" s="612"/>
      <c r="N542" s="606"/>
      <c r="O542" s="644"/>
      <c r="P542" s="330" t="s">
        <v>327</v>
      </c>
      <c r="Q542" s="331">
        <v>0.04</v>
      </c>
      <c r="R542" s="308">
        <v>302</v>
      </c>
      <c r="S542" s="307">
        <f t="shared" si="55"/>
        <v>12.08</v>
      </c>
      <c r="T542" s="27"/>
    </row>
    <row r="543" spans="1:20" x14ac:dyDescent="0.25">
      <c r="A543" s="592"/>
      <c r="B543" s="341"/>
      <c r="C543" s="632"/>
      <c r="D543" s="617"/>
      <c r="E543" s="612"/>
      <c r="F543" s="30"/>
      <c r="G543" s="609"/>
      <c r="H543" s="609"/>
      <c r="I543" s="614"/>
      <c r="J543" s="609"/>
      <c r="K543" s="609"/>
      <c r="L543" s="609"/>
      <c r="M543" s="612"/>
      <c r="N543" s="606"/>
      <c r="O543" s="644"/>
      <c r="P543" s="329" t="s">
        <v>318</v>
      </c>
      <c r="Q543" s="331">
        <v>2</v>
      </c>
      <c r="R543" s="308">
        <v>256.5</v>
      </c>
      <c r="S543" s="307">
        <f t="shared" si="55"/>
        <v>513</v>
      </c>
      <c r="T543" s="27"/>
    </row>
    <row r="544" spans="1:20" x14ac:dyDescent="0.25">
      <c r="A544" s="592"/>
      <c r="B544" s="341"/>
      <c r="C544" s="632"/>
      <c r="D544" s="617"/>
      <c r="E544" s="612"/>
      <c r="F544" s="30"/>
      <c r="G544" s="609"/>
      <c r="H544" s="609"/>
      <c r="I544" s="614"/>
      <c r="J544" s="609"/>
      <c r="K544" s="609"/>
      <c r="L544" s="609"/>
      <c r="M544" s="612"/>
      <c r="N544" s="606"/>
      <c r="O544" s="644"/>
      <c r="P544" s="330" t="s">
        <v>325</v>
      </c>
      <c r="Q544" s="307">
        <v>0.01</v>
      </c>
      <c r="R544" s="308">
        <v>649</v>
      </c>
      <c r="S544" s="307">
        <f t="shared" si="55"/>
        <v>6.49</v>
      </c>
      <c r="T544" s="27"/>
    </row>
    <row r="545" spans="1:20" x14ac:dyDescent="0.25">
      <c r="A545" s="592"/>
      <c r="B545" s="341"/>
      <c r="C545" s="632"/>
      <c r="D545" s="617"/>
      <c r="E545" s="612"/>
      <c r="F545" s="30"/>
      <c r="G545" s="609"/>
      <c r="H545" s="609"/>
      <c r="I545" s="614"/>
      <c r="J545" s="609"/>
      <c r="K545" s="609"/>
      <c r="L545" s="609"/>
      <c r="M545" s="612"/>
      <c r="N545" s="606"/>
      <c r="O545" s="644"/>
      <c r="P545" s="330" t="s">
        <v>324</v>
      </c>
      <c r="Q545" s="331">
        <v>1</v>
      </c>
      <c r="R545" s="308">
        <v>44</v>
      </c>
      <c r="S545" s="307">
        <f t="shared" si="55"/>
        <v>44</v>
      </c>
      <c r="T545" s="27"/>
    </row>
    <row r="546" spans="1:20" ht="31.5" x14ac:dyDescent="0.25">
      <c r="A546" s="592"/>
      <c r="B546" s="341"/>
      <c r="C546" s="632"/>
      <c r="D546" s="617"/>
      <c r="E546" s="490"/>
      <c r="F546" s="30"/>
      <c r="G546" s="610"/>
      <c r="H546" s="610"/>
      <c r="I546" s="615"/>
      <c r="J546" s="610"/>
      <c r="K546" s="610"/>
      <c r="L546" s="610"/>
      <c r="M546" s="490"/>
      <c r="N546" s="607"/>
      <c r="O546" s="645"/>
      <c r="P546" s="329" t="s">
        <v>291</v>
      </c>
      <c r="Q546" s="307">
        <v>0.02</v>
      </c>
      <c r="R546" s="308">
        <v>34</v>
      </c>
      <c r="S546" s="307">
        <f t="shared" si="55"/>
        <v>0.68</v>
      </c>
      <c r="T546" s="27"/>
    </row>
    <row r="547" spans="1:20" x14ac:dyDescent="0.25">
      <c r="A547" s="592"/>
      <c r="B547" s="341"/>
      <c r="C547" s="628"/>
      <c r="D547" s="604"/>
      <c r="E547" s="34" t="s">
        <v>294</v>
      </c>
      <c r="F547" s="30"/>
      <c r="G547" s="27">
        <v>1.26</v>
      </c>
      <c r="H547" s="27">
        <v>1</v>
      </c>
      <c r="I547" s="238">
        <f t="shared" ref="I547" si="59">H547*G547</f>
        <v>1.26</v>
      </c>
      <c r="J547" s="27"/>
      <c r="K547" s="27"/>
      <c r="L547" s="27"/>
      <c r="M547" s="387">
        <v>4</v>
      </c>
      <c r="N547" s="385">
        <v>454.87</v>
      </c>
      <c r="O547" s="328">
        <f t="shared" si="57"/>
        <v>573.13620000000003</v>
      </c>
      <c r="P547" s="329" t="s">
        <v>328</v>
      </c>
      <c r="Q547" s="27"/>
      <c r="R547" s="308"/>
      <c r="S547" s="307">
        <f t="shared" si="55"/>
        <v>0</v>
      </c>
      <c r="T547" s="27"/>
    </row>
    <row r="548" spans="1:20" x14ac:dyDescent="0.25">
      <c r="A548" s="592"/>
      <c r="B548" s="341"/>
      <c r="C548" s="627" t="s">
        <v>353</v>
      </c>
      <c r="D548" s="603">
        <v>1</v>
      </c>
      <c r="E548" s="611" t="s">
        <v>290</v>
      </c>
      <c r="F548" s="30"/>
      <c r="G548" s="608">
        <v>0.32</v>
      </c>
      <c r="H548" s="608">
        <v>8</v>
      </c>
      <c r="I548" s="613">
        <f>H548*G548</f>
        <v>2.56</v>
      </c>
      <c r="J548" s="629"/>
      <c r="K548" s="608"/>
      <c r="L548" s="608"/>
      <c r="M548" s="611">
        <v>5</v>
      </c>
      <c r="N548" s="633">
        <v>454.87</v>
      </c>
      <c r="O548" s="643">
        <f t="shared" si="57"/>
        <v>1164.4672</v>
      </c>
      <c r="P548" s="329" t="s">
        <v>310</v>
      </c>
      <c r="Q548" s="307">
        <v>0.01</v>
      </c>
      <c r="R548" s="308">
        <v>649</v>
      </c>
      <c r="S548" s="307">
        <f t="shared" si="55"/>
        <v>6.49</v>
      </c>
      <c r="T548" s="27"/>
    </row>
    <row r="549" spans="1:20" x14ac:dyDescent="0.25">
      <c r="A549" s="592"/>
      <c r="B549" s="341"/>
      <c r="C549" s="632"/>
      <c r="D549" s="617"/>
      <c r="E549" s="612"/>
      <c r="F549" s="30"/>
      <c r="G549" s="609"/>
      <c r="H549" s="609"/>
      <c r="I549" s="614"/>
      <c r="J549" s="630"/>
      <c r="K549" s="609"/>
      <c r="L549" s="609"/>
      <c r="M549" s="612"/>
      <c r="N549" s="606"/>
      <c r="O549" s="644"/>
      <c r="P549" s="329" t="s">
        <v>298</v>
      </c>
      <c r="Q549" s="307">
        <v>0.03</v>
      </c>
      <c r="R549" s="308">
        <v>179.8</v>
      </c>
      <c r="S549" s="307">
        <f t="shared" si="55"/>
        <v>5.3940000000000001</v>
      </c>
      <c r="T549" s="27"/>
    </row>
    <row r="550" spans="1:20" ht="31.5" x14ac:dyDescent="0.25">
      <c r="A550" s="592"/>
      <c r="B550" s="341"/>
      <c r="C550" s="632"/>
      <c r="D550" s="617"/>
      <c r="E550" s="490"/>
      <c r="F550" s="30"/>
      <c r="G550" s="610"/>
      <c r="H550" s="610"/>
      <c r="I550" s="615"/>
      <c r="J550" s="631"/>
      <c r="K550" s="610"/>
      <c r="L550" s="610"/>
      <c r="M550" s="490"/>
      <c r="N550" s="607"/>
      <c r="O550" s="645"/>
      <c r="P550" s="329" t="s">
        <v>311</v>
      </c>
      <c r="Q550" s="307">
        <v>0.03</v>
      </c>
      <c r="R550" s="308">
        <v>1385</v>
      </c>
      <c r="S550" s="307">
        <f t="shared" si="55"/>
        <v>41.55</v>
      </c>
      <c r="T550" s="27"/>
    </row>
    <row r="551" spans="1:20" x14ac:dyDescent="0.25">
      <c r="A551" s="592"/>
      <c r="B551" s="341"/>
      <c r="C551" s="632"/>
      <c r="D551" s="617"/>
      <c r="E551" s="611" t="s">
        <v>292</v>
      </c>
      <c r="F551" s="30"/>
      <c r="G551" s="608">
        <v>0.63</v>
      </c>
      <c r="H551" s="608">
        <v>3</v>
      </c>
      <c r="I551" s="613">
        <f t="shared" ref="I551" si="60">H551*G551</f>
        <v>1.8900000000000001</v>
      </c>
      <c r="J551" s="608"/>
      <c r="K551" s="608"/>
      <c r="L551" s="608"/>
      <c r="M551" s="611">
        <v>5</v>
      </c>
      <c r="N551" s="633">
        <v>454.87</v>
      </c>
      <c r="O551" s="643">
        <f>I551*N551</f>
        <v>859.7043000000001</v>
      </c>
      <c r="P551" s="329" t="s">
        <v>310</v>
      </c>
      <c r="Q551" s="307">
        <v>0.01</v>
      </c>
      <c r="R551" s="308">
        <v>272</v>
      </c>
      <c r="S551" s="307">
        <f t="shared" si="55"/>
        <v>2.72</v>
      </c>
      <c r="T551" s="27"/>
    </row>
    <row r="552" spans="1:20" x14ac:dyDescent="0.25">
      <c r="A552" s="592"/>
      <c r="B552" s="341"/>
      <c r="C552" s="632"/>
      <c r="D552" s="617"/>
      <c r="E552" s="612"/>
      <c r="F552" s="30"/>
      <c r="G552" s="609"/>
      <c r="H552" s="609"/>
      <c r="I552" s="614"/>
      <c r="J552" s="609"/>
      <c r="K552" s="609"/>
      <c r="L552" s="609"/>
      <c r="M552" s="612"/>
      <c r="N552" s="606"/>
      <c r="O552" s="644"/>
      <c r="P552" s="329" t="s">
        <v>312</v>
      </c>
      <c r="Q552" s="307">
        <v>0.5</v>
      </c>
      <c r="R552" s="308">
        <v>272</v>
      </c>
      <c r="S552" s="307">
        <f t="shared" si="55"/>
        <v>136</v>
      </c>
      <c r="T552" s="27"/>
    </row>
    <row r="553" spans="1:20" x14ac:dyDescent="0.25">
      <c r="A553" s="592"/>
      <c r="B553" s="341"/>
      <c r="C553" s="632"/>
      <c r="D553" s="617"/>
      <c r="E553" s="612"/>
      <c r="F553" s="30"/>
      <c r="G553" s="609"/>
      <c r="H553" s="609"/>
      <c r="I553" s="614"/>
      <c r="J553" s="609"/>
      <c r="K553" s="609"/>
      <c r="L553" s="609"/>
      <c r="M553" s="612"/>
      <c r="N553" s="606"/>
      <c r="O553" s="644"/>
      <c r="P553" s="329" t="s">
        <v>313</v>
      </c>
      <c r="Q553" s="307">
        <v>0.1</v>
      </c>
      <c r="R553" s="308">
        <v>632</v>
      </c>
      <c r="S553" s="307">
        <f t="shared" si="55"/>
        <v>63.2</v>
      </c>
      <c r="T553" s="27"/>
    </row>
    <row r="554" spans="1:20" x14ac:dyDescent="0.25">
      <c r="A554" s="592"/>
      <c r="B554" s="341"/>
      <c r="C554" s="632"/>
      <c r="D554" s="617"/>
      <c r="E554" s="612"/>
      <c r="F554" s="30"/>
      <c r="G554" s="609"/>
      <c r="H554" s="609"/>
      <c r="I554" s="614"/>
      <c r="J554" s="609"/>
      <c r="K554" s="609"/>
      <c r="L554" s="609"/>
      <c r="M554" s="612"/>
      <c r="N554" s="606"/>
      <c r="O554" s="644"/>
      <c r="P554" s="329" t="s">
        <v>314</v>
      </c>
      <c r="Q554" s="307">
        <v>0.03</v>
      </c>
      <c r="R554" s="308">
        <v>179</v>
      </c>
      <c r="S554" s="307">
        <f t="shared" si="55"/>
        <v>5.37</v>
      </c>
      <c r="T554" s="27"/>
    </row>
    <row r="555" spans="1:20" ht="31.5" x14ac:dyDescent="0.25">
      <c r="A555" s="592"/>
      <c r="B555" s="341"/>
      <c r="C555" s="632"/>
      <c r="D555" s="617"/>
      <c r="E555" s="612"/>
      <c r="F555" s="30"/>
      <c r="G555" s="609"/>
      <c r="H555" s="609"/>
      <c r="I555" s="614"/>
      <c r="J555" s="609"/>
      <c r="K555" s="609"/>
      <c r="L555" s="609"/>
      <c r="M555" s="612"/>
      <c r="N555" s="606"/>
      <c r="O555" s="644"/>
      <c r="P555" s="329" t="s">
        <v>315</v>
      </c>
      <c r="Q555" s="307">
        <v>4.0000000000000001E-3</v>
      </c>
      <c r="R555" s="308">
        <v>302</v>
      </c>
      <c r="S555" s="307">
        <f t="shared" si="55"/>
        <v>1.208</v>
      </c>
      <c r="T555" s="27"/>
    </row>
    <row r="556" spans="1:20" ht="31.5" x14ac:dyDescent="0.25">
      <c r="A556" s="592"/>
      <c r="B556" s="341"/>
      <c r="C556" s="632"/>
      <c r="D556" s="617"/>
      <c r="E556" s="612"/>
      <c r="F556" s="30"/>
      <c r="G556" s="609"/>
      <c r="H556" s="609"/>
      <c r="I556" s="614"/>
      <c r="J556" s="609"/>
      <c r="K556" s="609"/>
      <c r="L556" s="609"/>
      <c r="M556" s="612"/>
      <c r="N556" s="606"/>
      <c r="O556" s="644"/>
      <c r="P556" s="329" t="s">
        <v>316</v>
      </c>
      <c r="Q556" s="307">
        <v>5.0000000000000001E-3</v>
      </c>
      <c r="R556" s="308">
        <v>950</v>
      </c>
      <c r="S556" s="307">
        <f t="shared" si="55"/>
        <v>4.75</v>
      </c>
      <c r="T556" s="27"/>
    </row>
    <row r="557" spans="1:20" ht="31.5" x14ac:dyDescent="0.25">
      <c r="A557" s="592"/>
      <c r="B557" s="341"/>
      <c r="C557" s="632"/>
      <c r="D557" s="617"/>
      <c r="E557" s="612"/>
      <c r="F557" s="30"/>
      <c r="G557" s="609"/>
      <c r="H557" s="609"/>
      <c r="I557" s="614"/>
      <c r="J557" s="609"/>
      <c r="K557" s="609"/>
      <c r="L557" s="609"/>
      <c r="M557" s="612"/>
      <c r="N557" s="606"/>
      <c r="O557" s="644"/>
      <c r="P557" s="329" t="s">
        <v>291</v>
      </c>
      <c r="Q557" s="307">
        <v>5.0000000000000001E-3</v>
      </c>
      <c r="R557" s="308">
        <v>34</v>
      </c>
      <c r="S557" s="307">
        <f t="shared" si="55"/>
        <v>0.17</v>
      </c>
      <c r="T557" s="27"/>
    </row>
    <row r="558" spans="1:20" x14ac:dyDescent="0.25">
      <c r="A558" s="592"/>
      <c r="B558" s="341"/>
      <c r="C558" s="632"/>
      <c r="D558" s="617"/>
      <c r="E558" s="612"/>
      <c r="F558" s="30"/>
      <c r="G558" s="609"/>
      <c r="H558" s="609"/>
      <c r="I558" s="614"/>
      <c r="J558" s="609"/>
      <c r="K558" s="609"/>
      <c r="L558" s="609"/>
      <c r="M558" s="612"/>
      <c r="N558" s="606"/>
      <c r="O558" s="644"/>
      <c r="P558" s="329" t="s">
        <v>298</v>
      </c>
      <c r="Q558" s="307">
        <v>7.0000000000000007E-2</v>
      </c>
      <c r="R558" s="308">
        <v>179.8</v>
      </c>
      <c r="S558" s="307">
        <f t="shared" si="55"/>
        <v>12.586000000000002</v>
      </c>
      <c r="T558" s="27"/>
    </row>
    <row r="559" spans="1:20" ht="31.5" x14ac:dyDescent="0.25">
      <c r="A559" s="592"/>
      <c r="B559" s="341"/>
      <c r="C559" s="632"/>
      <c r="D559" s="617"/>
      <c r="E559" s="490"/>
      <c r="F559" s="30"/>
      <c r="G559" s="610"/>
      <c r="H559" s="610"/>
      <c r="I559" s="615"/>
      <c r="J559" s="610"/>
      <c r="K559" s="610"/>
      <c r="L559" s="610"/>
      <c r="M559" s="490"/>
      <c r="N559" s="607"/>
      <c r="O559" s="645"/>
      <c r="P559" s="329" t="s">
        <v>311</v>
      </c>
      <c r="Q559" s="307">
        <v>0.01</v>
      </c>
      <c r="R559" s="308">
        <v>1385</v>
      </c>
      <c r="S559" s="307">
        <f t="shared" si="55"/>
        <v>13.85</v>
      </c>
      <c r="T559" s="27"/>
    </row>
    <row r="560" spans="1:20" x14ac:dyDescent="0.25">
      <c r="A560" s="592"/>
      <c r="B560" s="341"/>
      <c r="C560" s="632"/>
      <c r="D560" s="617"/>
      <c r="E560" s="611" t="s">
        <v>294</v>
      </c>
      <c r="F560" s="30"/>
      <c r="G560" s="608">
        <v>2.36</v>
      </c>
      <c r="H560" s="608">
        <v>1</v>
      </c>
      <c r="I560" s="613">
        <f t="shared" ref="I560" si="61">H560*G560</f>
        <v>2.36</v>
      </c>
      <c r="J560" s="608"/>
      <c r="K560" s="608"/>
      <c r="L560" s="608"/>
      <c r="M560" s="611">
        <v>5</v>
      </c>
      <c r="N560" s="633">
        <v>454.87</v>
      </c>
      <c r="O560" s="643">
        <f t="shared" si="57"/>
        <v>1073.4931999999999</v>
      </c>
      <c r="P560" s="329" t="s">
        <v>310</v>
      </c>
      <c r="Q560" s="307">
        <v>0.01</v>
      </c>
      <c r="R560" s="308">
        <v>272</v>
      </c>
      <c r="S560" s="307">
        <f t="shared" si="55"/>
        <v>2.72</v>
      </c>
      <c r="T560" s="27"/>
    </row>
    <row r="561" spans="1:20" x14ac:dyDescent="0.25">
      <c r="A561" s="592"/>
      <c r="B561" s="341"/>
      <c r="C561" s="632"/>
      <c r="D561" s="617"/>
      <c r="E561" s="612"/>
      <c r="F561" s="30"/>
      <c r="G561" s="609"/>
      <c r="H561" s="609"/>
      <c r="I561" s="614"/>
      <c r="J561" s="609"/>
      <c r="K561" s="609"/>
      <c r="L561" s="609"/>
      <c r="M561" s="612"/>
      <c r="N561" s="606"/>
      <c r="O561" s="644"/>
      <c r="P561" s="329" t="s">
        <v>314</v>
      </c>
      <c r="Q561" s="307">
        <v>0.03</v>
      </c>
      <c r="R561" s="308">
        <v>179</v>
      </c>
      <c r="S561" s="307">
        <f t="shared" si="55"/>
        <v>5.37</v>
      </c>
      <c r="T561" s="27"/>
    </row>
    <row r="562" spans="1:20" ht="31.5" x14ac:dyDescent="0.25">
      <c r="A562" s="592"/>
      <c r="B562" s="341"/>
      <c r="C562" s="632"/>
      <c r="D562" s="617"/>
      <c r="E562" s="612"/>
      <c r="F562" s="30"/>
      <c r="G562" s="609"/>
      <c r="H562" s="609"/>
      <c r="I562" s="614"/>
      <c r="J562" s="609"/>
      <c r="K562" s="609"/>
      <c r="L562" s="609"/>
      <c r="M562" s="612"/>
      <c r="N562" s="606"/>
      <c r="O562" s="644"/>
      <c r="P562" s="329" t="s">
        <v>315</v>
      </c>
      <c r="Q562" s="307">
        <v>4.0000000000000001E-3</v>
      </c>
      <c r="R562" s="308">
        <v>302</v>
      </c>
      <c r="S562" s="307">
        <f t="shared" si="55"/>
        <v>1.208</v>
      </c>
      <c r="T562" s="27"/>
    </row>
    <row r="563" spans="1:20" ht="31.5" x14ac:dyDescent="0.25">
      <c r="A563" s="592"/>
      <c r="B563" s="341"/>
      <c r="C563" s="632"/>
      <c r="D563" s="617"/>
      <c r="E563" s="612"/>
      <c r="F563" s="30"/>
      <c r="G563" s="609"/>
      <c r="H563" s="609"/>
      <c r="I563" s="614"/>
      <c r="J563" s="609"/>
      <c r="K563" s="609"/>
      <c r="L563" s="609"/>
      <c r="M563" s="612"/>
      <c r="N563" s="606"/>
      <c r="O563" s="644"/>
      <c r="P563" s="329" t="s">
        <v>316</v>
      </c>
      <c r="Q563" s="307">
        <v>5.0000000000000001E-3</v>
      </c>
      <c r="R563" s="308">
        <v>950</v>
      </c>
      <c r="S563" s="307">
        <f t="shared" si="55"/>
        <v>4.75</v>
      </c>
      <c r="T563" s="27"/>
    </row>
    <row r="564" spans="1:20" ht="31.5" x14ac:dyDescent="0.25">
      <c r="A564" s="592"/>
      <c r="B564" s="341"/>
      <c r="C564" s="632"/>
      <c r="D564" s="617"/>
      <c r="E564" s="612"/>
      <c r="F564" s="30"/>
      <c r="G564" s="609"/>
      <c r="H564" s="609"/>
      <c r="I564" s="614"/>
      <c r="J564" s="609"/>
      <c r="K564" s="609"/>
      <c r="L564" s="609"/>
      <c r="M564" s="612"/>
      <c r="N564" s="606"/>
      <c r="O564" s="644"/>
      <c r="P564" s="329" t="s">
        <v>291</v>
      </c>
      <c r="Q564" s="307">
        <v>5.0000000000000001E-3</v>
      </c>
      <c r="R564" s="308">
        <v>34</v>
      </c>
      <c r="S564" s="307">
        <f t="shared" si="55"/>
        <v>0.17</v>
      </c>
      <c r="T564" s="27"/>
    </row>
    <row r="565" spans="1:20" x14ac:dyDescent="0.25">
      <c r="A565" s="592"/>
      <c r="B565" s="341"/>
      <c r="C565" s="632"/>
      <c r="D565" s="617"/>
      <c r="E565" s="612"/>
      <c r="F565" s="30"/>
      <c r="G565" s="609"/>
      <c r="H565" s="609"/>
      <c r="I565" s="614"/>
      <c r="J565" s="609"/>
      <c r="K565" s="609"/>
      <c r="L565" s="609"/>
      <c r="M565" s="612"/>
      <c r="N565" s="606"/>
      <c r="O565" s="644"/>
      <c r="P565" s="329" t="s">
        <v>317</v>
      </c>
      <c r="Q565" s="307">
        <v>0.2</v>
      </c>
      <c r="R565" s="308">
        <v>294.12</v>
      </c>
      <c r="S565" s="307">
        <f t="shared" si="55"/>
        <v>58.824000000000005</v>
      </c>
      <c r="T565" s="27"/>
    </row>
    <row r="566" spans="1:20" x14ac:dyDescent="0.25">
      <c r="A566" s="592"/>
      <c r="B566" s="341"/>
      <c r="C566" s="632"/>
      <c r="D566" s="617"/>
      <c r="E566" s="612"/>
      <c r="F566" s="30"/>
      <c r="G566" s="609"/>
      <c r="H566" s="609"/>
      <c r="I566" s="614"/>
      <c r="J566" s="609"/>
      <c r="K566" s="609"/>
      <c r="L566" s="609"/>
      <c r="M566" s="612"/>
      <c r="N566" s="606"/>
      <c r="O566" s="644"/>
      <c r="P566" s="329" t="s">
        <v>318</v>
      </c>
      <c r="Q566" s="307">
        <v>1</v>
      </c>
      <c r="R566" s="308">
        <v>256.5</v>
      </c>
      <c r="S566" s="307">
        <f t="shared" si="55"/>
        <v>256.5</v>
      </c>
      <c r="T566" s="27"/>
    </row>
    <row r="567" spans="1:20" ht="14.45" customHeight="1" x14ac:dyDescent="0.25">
      <c r="A567" s="592"/>
      <c r="B567" s="341"/>
      <c r="C567" s="632"/>
      <c r="D567" s="617"/>
      <c r="E567" s="612"/>
      <c r="F567" s="30"/>
      <c r="G567" s="609"/>
      <c r="H567" s="609"/>
      <c r="I567" s="614"/>
      <c r="J567" s="609"/>
      <c r="K567" s="609"/>
      <c r="L567" s="609"/>
      <c r="M567" s="612"/>
      <c r="N567" s="606"/>
      <c r="O567" s="644"/>
      <c r="P567" s="329" t="s">
        <v>319</v>
      </c>
      <c r="Q567" s="307">
        <v>1.5</v>
      </c>
      <c r="R567" s="308">
        <v>400</v>
      </c>
      <c r="S567" s="307">
        <f t="shared" si="55"/>
        <v>600</v>
      </c>
      <c r="T567" s="27"/>
    </row>
    <row r="568" spans="1:20" ht="31.5" x14ac:dyDescent="0.25">
      <c r="A568" s="592"/>
      <c r="B568" s="341"/>
      <c r="C568" s="632"/>
      <c r="D568" s="617"/>
      <c r="E568" s="612"/>
      <c r="F568" s="30"/>
      <c r="G568" s="609"/>
      <c r="H568" s="609"/>
      <c r="I568" s="614"/>
      <c r="J568" s="609"/>
      <c r="K568" s="609"/>
      <c r="L568" s="609"/>
      <c r="M568" s="612"/>
      <c r="N568" s="606"/>
      <c r="O568" s="644"/>
      <c r="P568" s="329" t="s">
        <v>320</v>
      </c>
      <c r="Q568" s="307">
        <v>2</v>
      </c>
      <c r="R568" s="308">
        <v>102</v>
      </c>
      <c r="S568" s="307">
        <f t="shared" si="55"/>
        <v>204</v>
      </c>
      <c r="T568" s="27"/>
    </row>
    <row r="569" spans="1:20" x14ac:dyDescent="0.25">
      <c r="A569" s="592"/>
      <c r="B569" s="341"/>
      <c r="C569" s="632"/>
      <c r="D569" s="617"/>
      <c r="E569" s="612"/>
      <c r="F569" s="30"/>
      <c r="G569" s="609"/>
      <c r="H569" s="609"/>
      <c r="I569" s="614"/>
      <c r="J569" s="609"/>
      <c r="K569" s="609"/>
      <c r="L569" s="609"/>
      <c r="M569" s="612"/>
      <c r="N569" s="606"/>
      <c r="O569" s="644"/>
      <c r="P569" s="329" t="s">
        <v>298</v>
      </c>
      <c r="Q569" s="307">
        <v>7.0000000000000007E-2</v>
      </c>
      <c r="R569" s="308">
        <v>179.8</v>
      </c>
      <c r="S569" s="307">
        <f t="shared" si="55"/>
        <v>12.586000000000002</v>
      </c>
      <c r="T569" s="27"/>
    </row>
    <row r="570" spans="1:20" x14ac:dyDescent="0.25">
      <c r="A570" s="592"/>
      <c r="B570" s="341"/>
      <c r="C570" s="632"/>
      <c r="D570" s="617"/>
      <c r="E570" s="612"/>
      <c r="F570" s="30"/>
      <c r="G570" s="609"/>
      <c r="H570" s="609"/>
      <c r="I570" s="614"/>
      <c r="J570" s="609"/>
      <c r="K570" s="609"/>
      <c r="L570" s="609"/>
      <c r="M570" s="612"/>
      <c r="N570" s="606"/>
      <c r="O570" s="644"/>
      <c r="P570" s="329" t="s">
        <v>321</v>
      </c>
      <c r="Q570" s="307">
        <v>2</v>
      </c>
      <c r="R570" s="308">
        <v>527</v>
      </c>
      <c r="S570" s="307">
        <f t="shared" si="55"/>
        <v>1054</v>
      </c>
      <c r="T570" s="27"/>
    </row>
    <row r="571" spans="1:20" ht="31.5" x14ac:dyDescent="0.25">
      <c r="A571" s="592"/>
      <c r="B571" s="341"/>
      <c r="C571" s="628"/>
      <c r="D571" s="604"/>
      <c r="E571" s="490"/>
      <c r="F571" s="30"/>
      <c r="G571" s="610"/>
      <c r="H571" s="610"/>
      <c r="I571" s="615"/>
      <c r="J571" s="610"/>
      <c r="K571" s="610"/>
      <c r="L571" s="610"/>
      <c r="M571" s="490"/>
      <c r="N571" s="607"/>
      <c r="O571" s="645"/>
      <c r="P571" s="329" t="s">
        <v>311</v>
      </c>
      <c r="Q571" s="307">
        <v>0.01</v>
      </c>
      <c r="R571" s="308">
        <v>1385</v>
      </c>
      <c r="S571" s="307">
        <f t="shared" si="55"/>
        <v>13.85</v>
      </c>
      <c r="T571" s="27"/>
    </row>
    <row r="572" spans="1:20" x14ac:dyDescent="0.25">
      <c r="A572" s="592"/>
      <c r="B572" s="341"/>
      <c r="C572" s="627" t="s">
        <v>356</v>
      </c>
      <c r="D572" s="603">
        <v>1</v>
      </c>
      <c r="E572" s="30" t="s">
        <v>43</v>
      </c>
      <c r="F572" s="30"/>
      <c r="G572" s="332">
        <v>2E-3</v>
      </c>
      <c r="H572" s="332">
        <v>2</v>
      </c>
      <c r="I572" s="333">
        <v>3.0888</v>
      </c>
      <c r="J572" s="333">
        <v>6</v>
      </c>
      <c r="K572" s="334"/>
      <c r="L572" s="334"/>
      <c r="M572" s="399">
        <v>6</v>
      </c>
      <c r="N572" s="385">
        <v>454.87</v>
      </c>
      <c r="O572" s="328">
        <f t="shared" si="57"/>
        <v>1405.0024559999999</v>
      </c>
      <c r="P572" s="329"/>
      <c r="Q572" s="307"/>
      <c r="R572" s="308"/>
      <c r="S572" s="307"/>
      <c r="T572" s="27"/>
    </row>
    <row r="573" spans="1:20" x14ac:dyDescent="0.25">
      <c r="A573" s="592"/>
      <c r="B573" s="341"/>
      <c r="C573" s="628"/>
      <c r="D573" s="604"/>
      <c r="E573" s="30" t="s">
        <v>44</v>
      </c>
      <c r="F573" s="30"/>
      <c r="G573" s="332">
        <v>2E-3</v>
      </c>
      <c r="H573" s="332">
        <v>4</v>
      </c>
      <c r="I573" s="333">
        <v>3.0888</v>
      </c>
      <c r="J573" s="333">
        <v>6</v>
      </c>
      <c r="K573" s="27"/>
      <c r="L573" s="27"/>
      <c r="M573" s="387">
        <v>6</v>
      </c>
      <c r="N573" s="385">
        <v>454.87</v>
      </c>
      <c r="O573" s="328">
        <f t="shared" si="57"/>
        <v>1405.0024559999999</v>
      </c>
      <c r="P573" s="330"/>
      <c r="Q573" s="27"/>
      <c r="R573" s="308"/>
      <c r="S573" s="307"/>
      <c r="T573" s="27"/>
    </row>
    <row r="574" spans="1:20" x14ac:dyDescent="0.25">
      <c r="A574" s="592"/>
      <c r="B574" s="341"/>
      <c r="C574" s="627" t="s">
        <v>357</v>
      </c>
      <c r="D574" s="603">
        <v>2</v>
      </c>
      <c r="E574" s="30" t="s">
        <v>43</v>
      </c>
      <c r="F574" s="30"/>
      <c r="G574" s="326">
        <v>5.0000000000000001E-3</v>
      </c>
      <c r="H574" s="335">
        <v>2</v>
      </c>
      <c r="I574" s="339">
        <v>3.8610000000000002</v>
      </c>
      <c r="J574" s="27"/>
      <c r="K574" s="27"/>
      <c r="L574" s="27"/>
      <c r="M574" s="387">
        <v>6</v>
      </c>
      <c r="N574" s="385">
        <v>454.87</v>
      </c>
      <c r="O574" s="328">
        <f t="shared" si="57"/>
        <v>1756.2530700000002</v>
      </c>
      <c r="P574" s="330"/>
      <c r="Q574" s="27"/>
      <c r="R574" s="308"/>
      <c r="S574" s="307"/>
      <c r="T574" s="27"/>
    </row>
    <row r="575" spans="1:20" x14ac:dyDescent="0.25">
      <c r="A575" s="592"/>
      <c r="B575" s="341"/>
      <c r="C575" s="628"/>
      <c r="D575" s="604"/>
      <c r="E575" s="30" t="s">
        <v>44</v>
      </c>
      <c r="F575" s="30"/>
      <c r="G575" s="326">
        <v>5.0000000000000001E-4</v>
      </c>
      <c r="H575" s="335">
        <v>4</v>
      </c>
      <c r="I575" s="337">
        <v>0.3861</v>
      </c>
      <c r="J575" s="27"/>
      <c r="K575" s="27"/>
      <c r="L575" s="27"/>
      <c r="M575" s="387">
        <v>6</v>
      </c>
      <c r="N575" s="385">
        <v>454.87</v>
      </c>
      <c r="O575" s="328">
        <f t="shared" si="57"/>
        <v>175.62530699999999</v>
      </c>
      <c r="P575" s="330"/>
      <c r="Q575" s="27"/>
      <c r="R575" s="308"/>
      <c r="S575" s="307"/>
      <c r="T575" s="27"/>
    </row>
    <row r="576" spans="1:20" x14ac:dyDescent="0.25">
      <c r="A576" s="592"/>
      <c r="B576" s="341"/>
      <c r="C576" s="627" t="s">
        <v>358</v>
      </c>
      <c r="D576" s="603">
        <v>2</v>
      </c>
      <c r="E576" s="30" t="s">
        <v>43</v>
      </c>
      <c r="F576" s="30"/>
      <c r="G576" s="332">
        <v>1E-3</v>
      </c>
      <c r="H576" s="332">
        <v>2</v>
      </c>
      <c r="I576" s="337">
        <v>3.0888</v>
      </c>
      <c r="J576" s="27"/>
      <c r="K576" s="27"/>
      <c r="L576" s="27"/>
      <c r="M576" s="387">
        <v>6</v>
      </c>
      <c r="N576" s="385">
        <v>454.87</v>
      </c>
      <c r="O576" s="328">
        <f t="shared" si="57"/>
        <v>1405.0024559999999</v>
      </c>
      <c r="P576" s="330"/>
      <c r="Q576" s="27"/>
      <c r="R576" s="308"/>
      <c r="S576" s="307"/>
      <c r="T576" s="27"/>
    </row>
    <row r="577" spans="1:23" x14ac:dyDescent="0.25">
      <c r="A577" s="593"/>
      <c r="B577" s="341"/>
      <c r="C577" s="628"/>
      <c r="D577" s="604"/>
      <c r="E577" s="30" t="s">
        <v>44</v>
      </c>
      <c r="F577" s="30"/>
      <c r="G577" s="332">
        <v>1E-4</v>
      </c>
      <c r="H577" s="332">
        <v>4</v>
      </c>
      <c r="I577" s="338">
        <v>0.30887999999999999</v>
      </c>
      <c r="J577" s="27"/>
      <c r="K577" s="27"/>
      <c r="L577" s="27"/>
      <c r="M577" s="387">
        <v>6</v>
      </c>
      <c r="N577" s="385">
        <v>454.87</v>
      </c>
      <c r="O577" s="328">
        <f t="shared" si="57"/>
        <v>140.5002456</v>
      </c>
      <c r="P577" s="330"/>
      <c r="Q577" s="27"/>
      <c r="R577" s="308"/>
      <c r="S577" s="307"/>
      <c r="T577" s="27"/>
    </row>
    <row r="578" spans="1:23" ht="31.5" x14ac:dyDescent="0.25">
      <c r="A578" s="591">
        <v>5</v>
      </c>
      <c r="B578" s="594" t="s">
        <v>1033</v>
      </c>
      <c r="C578" s="627" t="s">
        <v>289</v>
      </c>
      <c r="D578" s="603">
        <v>1</v>
      </c>
      <c r="E578" s="30" t="s">
        <v>290</v>
      </c>
      <c r="F578" s="221"/>
      <c r="G578" s="221">
        <v>0.18</v>
      </c>
      <c r="H578" s="221">
        <v>8</v>
      </c>
      <c r="I578" s="221">
        <v>1.44</v>
      </c>
      <c r="J578" s="221"/>
      <c r="K578" s="221"/>
      <c r="L578" s="221"/>
      <c r="M578" s="385">
        <v>6</v>
      </c>
      <c r="N578" s="221">
        <v>454.87</v>
      </c>
      <c r="O578" s="328">
        <f t="shared" si="57"/>
        <v>655.01279999999997</v>
      </c>
      <c r="P578" s="329" t="s">
        <v>291</v>
      </c>
      <c r="Q578" s="307">
        <v>5.0000000000000001E-3</v>
      </c>
      <c r="R578" s="308">
        <v>34</v>
      </c>
      <c r="S578" s="307">
        <f t="shared" si="55"/>
        <v>0.17</v>
      </c>
      <c r="T578" s="27"/>
    </row>
    <row r="579" spans="1:23" ht="31.5" x14ac:dyDescent="0.25">
      <c r="A579" s="592"/>
      <c r="B579" s="595"/>
      <c r="C579" s="632"/>
      <c r="D579" s="617"/>
      <c r="E579" s="30" t="s">
        <v>292</v>
      </c>
      <c r="F579" s="221"/>
      <c r="G579" s="221">
        <v>0.73</v>
      </c>
      <c r="H579" s="221">
        <v>3</v>
      </c>
      <c r="I579" s="221">
        <v>2.19</v>
      </c>
      <c r="J579" s="221"/>
      <c r="K579" s="221"/>
      <c r="L579" s="221"/>
      <c r="M579" s="385">
        <v>6</v>
      </c>
      <c r="N579" s="221">
        <v>454.87</v>
      </c>
      <c r="O579" s="328">
        <f t="shared" si="57"/>
        <v>996.1653</v>
      </c>
      <c r="P579" s="329" t="s">
        <v>293</v>
      </c>
      <c r="Q579" s="307">
        <v>4.0000000000000001E-3</v>
      </c>
      <c r="R579" s="308">
        <v>11200</v>
      </c>
      <c r="S579" s="307">
        <f t="shared" si="55"/>
        <v>44.800000000000004</v>
      </c>
      <c r="T579" s="27"/>
    </row>
    <row r="580" spans="1:23" ht="31.5" x14ac:dyDescent="0.25">
      <c r="A580" s="592"/>
      <c r="B580" s="595"/>
      <c r="C580" s="628"/>
      <c r="D580" s="604"/>
      <c r="E580" s="30" t="s">
        <v>294</v>
      </c>
      <c r="F580" s="215"/>
      <c r="G580" s="215">
        <v>5.75</v>
      </c>
      <c r="H580" s="215">
        <v>1</v>
      </c>
      <c r="I580" s="32">
        <v>5.75</v>
      </c>
      <c r="J580" s="215"/>
      <c r="K580" s="215"/>
      <c r="L580" s="215"/>
      <c r="M580" s="386">
        <v>6</v>
      </c>
      <c r="N580" s="221">
        <v>454.87</v>
      </c>
      <c r="O580" s="328">
        <f t="shared" si="57"/>
        <v>2615.5025000000001</v>
      </c>
      <c r="P580" s="329" t="s">
        <v>295</v>
      </c>
      <c r="Q580" s="307">
        <v>3.0000000000000001E-3</v>
      </c>
      <c r="R580" s="308">
        <v>2350</v>
      </c>
      <c r="S580" s="307">
        <f t="shared" si="55"/>
        <v>7.05</v>
      </c>
      <c r="T580" s="27"/>
    </row>
    <row r="581" spans="1:23" ht="31.5" x14ac:dyDescent="0.25">
      <c r="A581" s="592"/>
      <c r="B581" s="595"/>
      <c r="C581" s="627" t="s">
        <v>359</v>
      </c>
      <c r="D581" s="603">
        <v>1</v>
      </c>
      <c r="E581" s="611" t="s">
        <v>290</v>
      </c>
      <c r="F581" s="30"/>
      <c r="G581" s="611">
        <v>1.03</v>
      </c>
      <c r="H581" s="611">
        <v>8</v>
      </c>
      <c r="I581" s="618">
        <f>H581*G581</f>
        <v>8.24</v>
      </c>
      <c r="J581" s="621"/>
      <c r="K581" s="624"/>
      <c r="L581" s="624"/>
      <c r="M581" s="611">
        <v>4</v>
      </c>
      <c r="N581" s="605">
        <v>454.87</v>
      </c>
      <c r="O581" s="643">
        <f t="shared" si="57"/>
        <v>3748.1288</v>
      </c>
      <c r="P581" s="329" t="s">
        <v>297</v>
      </c>
      <c r="Q581" s="307">
        <v>0.04</v>
      </c>
      <c r="R581" s="308">
        <v>875.26</v>
      </c>
      <c r="S581" s="307">
        <f t="shared" si="55"/>
        <v>35.010399999999997</v>
      </c>
      <c r="T581" s="27"/>
      <c r="W581" s="17">
        <v>652.78628048780502</v>
      </c>
    </row>
    <row r="582" spans="1:23" x14ac:dyDescent="0.25">
      <c r="A582" s="592"/>
      <c r="B582" s="595"/>
      <c r="C582" s="632"/>
      <c r="D582" s="617"/>
      <c r="E582" s="612"/>
      <c r="F582" s="30"/>
      <c r="G582" s="612"/>
      <c r="H582" s="612"/>
      <c r="I582" s="619"/>
      <c r="J582" s="622"/>
      <c r="K582" s="625"/>
      <c r="L582" s="625"/>
      <c r="M582" s="612"/>
      <c r="N582" s="606"/>
      <c r="O582" s="644"/>
      <c r="P582" s="329" t="s">
        <v>298</v>
      </c>
      <c r="Q582" s="307">
        <v>0.05</v>
      </c>
      <c r="R582" s="308">
        <v>179.8</v>
      </c>
      <c r="S582" s="307">
        <f t="shared" si="55"/>
        <v>8.99</v>
      </c>
      <c r="T582" s="27"/>
    </row>
    <row r="583" spans="1:23" ht="31.5" x14ac:dyDescent="0.25">
      <c r="A583" s="592"/>
      <c r="B583" s="595"/>
      <c r="C583" s="632"/>
      <c r="D583" s="617"/>
      <c r="E583" s="612"/>
      <c r="F583" s="30"/>
      <c r="G583" s="612"/>
      <c r="H583" s="612"/>
      <c r="I583" s="619"/>
      <c r="J583" s="622"/>
      <c r="K583" s="625"/>
      <c r="L583" s="625"/>
      <c r="M583" s="612"/>
      <c r="N583" s="606"/>
      <c r="O583" s="644"/>
      <c r="P583" s="329" t="s">
        <v>291</v>
      </c>
      <c r="Q583" s="307">
        <v>0.1</v>
      </c>
      <c r="R583" s="308">
        <v>34</v>
      </c>
      <c r="S583" s="307">
        <f t="shared" ref="S583:S646" si="62">(Q583*R583)</f>
        <v>3.4000000000000004</v>
      </c>
      <c r="T583" s="27"/>
    </row>
    <row r="584" spans="1:23" x14ac:dyDescent="0.25">
      <c r="A584" s="592"/>
      <c r="B584" s="595"/>
      <c r="C584" s="632"/>
      <c r="D584" s="617"/>
      <c r="E584" s="612"/>
      <c r="F584" s="30"/>
      <c r="G584" s="612"/>
      <c r="H584" s="612"/>
      <c r="I584" s="619"/>
      <c r="J584" s="622"/>
      <c r="K584" s="625"/>
      <c r="L584" s="625"/>
      <c r="M584" s="612"/>
      <c r="N584" s="606"/>
      <c r="O584" s="644"/>
      <c r="P584" s="329" t="s">
        <v>299</v>
      </c>
      <c r="Q584" s="307">
        <v>2</v>
      </c>
      <c r="R584" s="308">
        <v>4.0999999999999996</v>
      </c>
      <c r="S584" s="307">
        <f t="shared" si="62"/>
        <v>8.1999999999999993</v>
      </c>
      <c r="T584" s="27"/>
    </row>
    <row r="585" spans="1:23" x14ac:dyDescent="0.25">
      <c r="A585" s="592"/>
      <c r="B585" s="595"/>
      <c r="C585" s="632"/>
      <c r="D585" s="617"/>
      <c r="E585" s="490"/>
      <c r="F585" s="30"/>
      <c r="G585" s="490"/>
      <c r="H585" s="490"/>
      <c r="I585" s="620"/>
      <c r="J585" s="623"/>
      <c r="K585" s="626"/>
      <c r="L585" s="626"/>
      <c r="M585" s="490"/>
      <c r="N585" s="607"/>
      <c r="O585" s="645"/>
      <c r="P585" s="329" t="s">
        <v>300</v>
      </c>
      <c r="Q585" s="307">
        <v>0.25</v>
      </c>
      <c r="R585" s="308">
        <v>272</v>
      </c>
      <c r="S585" s="307">
        <f t="shared" si="62"/>
        <v>68</v>
      </c>
      <c r="T585" s="27"/>
    </row>
    <row r="586" spans="1:23" x14ac:dyDescent="0.25">
      <c r="A586" s="592"/>
      <c r="B586" s="595"/>
      <c r="C586" s="632"/>
      <c r="D586" s="617"/>
      <c r="E586" s="611" t="s">
        <v>292</v>
      </c>
      <c r="F586" s="30"/>
      <c r="G586" s="608">
        <v>2.46</v>
      </c>
      <c r="H586" s="608">
        <v>3</v>
      </c>
      <c r="I586" s="613">
        <f t="shared" ref="I586" si="63">H586*G586</f>
        <v>7.38</v>
      </c>
      <c r="J586" s="608"/>
      <c r="K586" s="608"/>
      <c r="L586" s="608"/>
      <c r="M586" s="611">
        <v>4</v>
      </c>
      <c r="N586" s="605">
        <v>454.87</v>
      </c>
      <c r="O586" s="643">
        <f t="shared" ref="O586:O645" si="64">I586*N586</f>
        <v>3356.9405999999999</v>
      </c>
      <c r="P586" s="329" t="s">
        <v>298</v>
      </c>
      <c r="Q586" s="307">
        <v>0.2</v>
      </c>
      <c r="R586" s="308">
        <v>179.8</v>
      </c>
      <c r="S586" s="307">
        <f t="shared" si="62"/>
        <v>35.96</v>
      </c>
      <c r="T586" s="27"/>
    </row>
    <row r="587" spans="1:23" ht="31.5" x14ac:dyDescent="0.25">
      <c r="A587" s="592"/>
      <c r="B587" s="595"/>
      <c r="C587" s="632"/>
      <c r="D587" s="617"/>
      <c r="E587" s="612"/>
      <c r="F587" s="30"/>
      <c r="G587" s="609"/>
      <c r="H587" s="609"/>
      <c r="I587" s="614"/>
      <c r="J587" s="609"/>
      <c r="K587" s="609"/>
      <c r="L587" s="609"/>
      <c r="M587" s="612"/>
      <c r="N587" s="606"/>
      <c r="O587" s="644"/>
      <c r="P587" s="329" t="s">
        <v>297</v>
      </c>
      <c r="Q587" s="307">
        <v>0.01</v>
      </c>
      <c r="R587" s="308">
        <v>875.26</v>
      </c>
      <c r="S587" s="307">
        <f t="shared" si="62"/>
        <v>8.7525999999999993</v>
      </c>
      <c r="T587" s="27"/>
    </row>
    <row r="588" spans="1:23" ht="31.5" x14ac:dyDescent="0.25">
      <c r="A588" s="592"/>
      <c r="B588" s="595"/>
      <c r="C588" s="632"/>
      <c r="D588" s="617"/>
      <c r="E588" s="612"/>
      <c r="F588" s="30"/>
      <c r="G588" s="609"/>
      <c r="H588" s="609"/>
      <c r="I588" s="614"/>
      <c r="J588" s="609"/>
      <c r="K588" s="609"/>
      <c r="L588" s="609"/>
      <c r="M588" s="612"/>
      <c r="N588" s="606"/>
      <c r="O588" s="644"/>
      <c r="P588" s="329" t="s">
        <v>293</v>
      </c>
      <c r="Q588" s="307">
        <v>6.0000000000000001E-3</v>
      </c>
      <c r="R588" s="308">
        <v>11200</v>
      </c>
      <c r="S588" s="307">
        <f t="shared" si="62"/>
        <v>67.2</v>
      </c>
      <c r="T588" s="27"/>
    </row>
    <row r="589" spans="1:23" ht="31.5" x14ac:dyDescent="0.25">
      <c r="A589" s="592"/>
      <c r="B589" s="595"/>
      <c r="C589" s="632"/>
      <c r="D589" s="617"/>
      <c r="E589" s="612"/>
      <c r="F589" s="30"/>
      <c r="G589" s="609"/>
      <c r="H589" s="609"/>
      <c r="I589" s="614"/>
      <c r="J589" s="609"/>
      <c r="K589" s="609"/>
      <c r="L589" s="609"/>
      <c r="M589" s="612"/>
      <c r="N589" s="606"/>
      <c r="O589" s="644"/>
      <c r="P589" s="329" t="s">
        <v>295</v>
      </c>
      <c r="Q589" s="307">
        <v>4.0000000000000001E-3</v>
      </c>
      <c r="R589" s="308">
        <v>2350</v>
      </c>
      <c r="S589" s="307">
        <f t="shared" si="62"/>
        <v>9.4</v>
      </c>
      <c r="T589" s="27"/>
    </row>
    <row r="590" spans="1:23" ht="31.5" x14ac:dyDescent="0.25">
      <c r="A590" s="592"/>
      <c r="B590" s="595"/>
      <c r="C590" s="632"/>
      <c r="D590" s="617"/>
      <c r="E590" s="612"/>
      <c r="F590" s="30"/>
      <c r="G590" s="609"/>
      <c r="H590" s="609"/>
      <c r="I590" s="614"/>
      <c r="J590" s="609"/>
      <c r="K590" s="609"/>
      <c r="L590" s="609"/>
      <c r="M590" s="612"/>
      <c r="N590" s="606"/>
      <c r="O590" s="644"/>
      <c r="P590" s="329" t="s">
        <v>301</v>
      </c>
      <c r="Q590" s="307">
        <v>0.05</v>
      </c>
      <c r="R590" s="308">
        <v>1148</v>
      </c>
      <c r="S590" s="307">
        <f t="shared" si="62"/>
        <v>57.400000000000006</v>
      </c>
      <c r="T590" s="27"/>
    </row>
    <row r="591" spans="1:23" ht="31.5" x14ac:dyDescent="0.25">
      <c r="A591" s="592"/>
      <c r="B591" s="595"/>
      <c r="C591" s="632"/>
      <c r="D591" s="617"/>
      <c r="E591" s="612"/>
      <c r="F591" s="30"/>
      <c r="G591" s="609"/>
      <c r="H591" s="609"/>
      <c r="I591" s="614"/>
      <c r="J591" s="609"/>
      <c r="K591" s="609"/>
      <c r="L591" s="609"/>
      <c r="M591" s="612"/>
      <c r="N591" s="606"/>
      <c r="O591" s="644"/>
      <c r="P591" s="329" t="s">
        <v>291</v>
      </c>
      <c r="Q591" s="307">
        <v>0.02</v>
      </c>
      <c r="R591" s="308">
        <v>34</v>
      </c>
      <c r="S591" s="307">
        <f t="shared" si="62"/>
        <v>0.68</v>
      </c>
      <c r="T591" s="27"/>
    </row>
    <row r="592" spans="1:23" x14ac:dyDescent="0.25">
      <c r="A592" s="592"/>
      <c r="B592" s="595"/>
      <c r="C592" s="632"/>
      <c r="D592" s="617"/>
      <c r="E592" s="612"/>
      <c r="F592" s="30"/>
      <c r="G592" s="609"/>
      <c r="H592" s="609"/>
      <c r="I592" s="614"/>
      <c r="J592" s="609"/>
      <c r="K592" s="609"/>
      <c r="L592" s="609"/>
      <c r="M592" s="612"/>
      <c r="N592" s="606"/>
      <c r="O592" s="644"/>
      <c r="P592" s="329" t="s">
        <v>300</v>
      </c>
      <c r="Q592" s="307">
        <v>0.25</v>
      </c>
      <c r="R592" s="308">
        <v>272</v>
      </c>
      <c r="S592" s="307">
        <f t="shared" si="62"/>
        <v>68</v>
      </c>
      <c r="T592" s="27"/>
    </row>
    <row r="593" spans="1:20" x14ac:dyDescent="0.25">
      <c r="A593" s="592"/>
      <c r="B593" s="595"/>
      <c r="C593" s="632"/>
      <c r="D593" s="617"/>
      <c r="E593" s="612"/>
      <c r="F593" s="30"/>
      <c r="G593" s="609"/>
      <c r="H593" s="609"/>
      <c r="I593" s="614"/>
      <c r="J593" s="609"/>
      <c r="K593" s="609"/>
      <c r="L593" s="609"/>
      <c r="M593" s="612"/>
      <c r="N593" s="606"/>
      <c r="O593" s="644"/>
      <c r="P593" s="329" t="s">
        <v>302</v>
      </c>
      <c r="Q593" s="307">
        <v>0.08</v>
      </c>
      <c r="R593" s="308">
        <v>950</v>
      </c>
      <c r="S593" s="307">
        <f t="shared" si="62"/>
        <v>76</v>
      </c>
      <c r="T593" s="27"/>
    </row>
    <row r="594" spans="1:20" ht="31.5" x14ac:dyDescent="0.25">
      <c r="A594" s="592"/>
      <c r="B594" s="595"/>
      <c r="C594" s="632"/>
      <c r="D594" s="617"/>
      <c r="E594" s="490"/>
      <c r="F594" s="30"/>
      <c r="G594" s="610"/>
      <c r="H594" s="610"/>
      <c r="I594" s="615"/>
      <c r="J594" s="610"/>
      <c r="K594" s="610"/>
      <c r="L594" s="610"/>
      <c r="M594" s="490"/>
      <c r="N594" s="607"/>
      <c r="O594" s="645"/>
      <c r="P594" s="329" t="s">
        <v>303</v>
      </c>
      <c r="Q594" s="307">
        <v>1</v>
      </c>
      <c r="R594" s="308">
        <v>6790</v>
      </c>
      <c r="S594" s="307">
        <f t="shared" si="62"/>
        <v>6790</v>
      </c>
      <c r="T594" s="27"/>
    </row>
    <row r="595" spans="1:20" ht="31.5" x14ac:dyDescent="0.25">
      <c r="A595" s="592"/>
      <c r="B595" s="595"/>
      <c r="C595" s="632"/>
      <c r="D595" s="617"/>
      <c r="E595" s="611" t="s">
        <v>294</v>
      </c>
      <c r="F595" s="30"/>
      <c r="G595" s="608">
        <v>8.51</v>
      </c>
      <c r="H595" s="608">
        <v>1</v>
      </c>
      <c r="I595" s="613">
        <f t="shared" ref="I595" si="65">H595*G595</f>
        <v>8.51</v>
      </c>
      <c r="J595" s="608"/>
      <c r="K595" s="608"/>
      <c r="L595" s="608"/>
      <c r="M595" s="611">
        <v>4</v>
      </c>
      <c r="N595" s="633">
        <v>454.87</v>
      </c>
      <c r="O595" s="643">
        <f t="shared" si="64"/>
        <v>3870.9436999999998</v>
      </c>
      <c r="P595" s="329" t="s">
        <v>293</v>
      </c>
      <c r="Q595" s="307">
        <v>6.0000000000000001E-3</v>
      </c>
      <c r="R595" s="308">
        <v>11200</v>
      </c>
      <c r="S595" s="307">
        <f t="shared" si="62"/>
        <v>67.2</v>
      </c>
      <c r="T595" s="27"/>
    </row>
    <row r="596" spans="1:20" ht="31.5" x14ac:dyDescent="0.25">
      <c r="A596" s="592"/>
      <c r="B596" s="595"/>
      <c r="C596" s="632"/>
      <c r="D596" s="617"/>
      <c r="E596" s="612"/>
      <c r="F596" s="30"/>
      <c r="G596" s="609"/>
      <c r="H596" s="609"/>
      <c r="I596" s="614"/>
      <c r="J596" s="609"/>
      <c r="K596" s="609"/>
      <c r="L596" s="609"/>
      <c r="M596" s="612"/>
      <c r="N596" s="606"/>
      <c r="O596" s="644"/>
      <c r="P596" s="329" t="s">
        <v>295</v>
      </c>
      <c r="Q596" s="307">
        <v>4.0000000000000001E-3</v>
      </c>
      <c r="R596" s="308">
        <v>2350</v>
      </c>
      <c r="S596" s="307">
        <f t="shared" si="62"/>
        <v>9.4</v>
      </c>
      <c r="T596" s="27"/>
    </row>
    <row r="597" spans="1:20" ht="31.5" x14ac:dyDescent="0.25">
      <c r="A597" s="592"/>
      <c r="B597" s="595"/>
      <c r="C597" s="632"/>
      <c r="D597" s="617"/>
      <c r="E597" s="612"/>
      <c r="F597" s="30"/>
      <c r="G597" s="609"/>
      <c r="H597" s="609"/>
      <c r="I597" s="614"/>
      <c r="J597" s="609"/>
      <c r="K597" s="609"/>
      <c r="L597" s="609"/>
      <c r="M597" s="612"/>
      <c r="N597" s="606"/>
      <c r="O597" s="644"/>
      <c r="P597" s="329" t="s">
        <v>291</v>
      </c>
      <c r="Q597" s="307">
        <v>0.02</v>
      </c>
      <c r="R597" s="308">
        <v>34</v>
      </c>
      <c r="S597" s="307">
        <f t="shared" si="62"/>
        <v>0.68</v>
      </c>
      <c r="T597" s="27"/>
    </row>
    <row r="598" spans="1:20" ht="31.5" x14ac:dyDescent="0.25">
      <c r="A598" s="592"/>
      <c r="B598" s="595"/>
      <c r="C598" s="632"/>
      <c r="D598" s="617"/>
      <c r="E598" s="612"/>
      <c r="F598" s="30"/>
      <c r="G598" s="609"/>
      <c r="H598" s="609"/>
      <c r="I598" s="614"/>
      <c r="J598" s="609"/>
      <c r="K598" s="609"/>
      <c r="L598" s="609"/>
      <c r="M598" s="612"/>
      <c r="N598" s="606"/>
      <c r="O598" s="644"/>
      <c r="P598" s="329" t="s">
        <v>301</v>
      </c>
      <c r="Q598" s="307">
        <v>0.05</v>
      </c>
      <c r="R598" s="308">
        <v>1148</v>
      </c>
      <c r="S598" s="307">
        <f t="shared" si="62"/>
        <v>57.400000000000006</v>
      </c>
      <c r="T598" s="27"/>
    </row>
    <row r="599" spans="1:20" x14ac:dyDescent="0.25">
      <c r="A599" s="592"/>
      <c r="B599" s="595"/>
      <c r="C599" s="632"/>
      <c r="D599" s="617"/>
      <c r="E599" s="612"/>
      <c r="F599" s="30"/>
      <c r="G599" s="609"/>
      <c r="H599" s="609"/>
      <c r="I599" s="614"/>
      <c r="J599" s="609"/>
      <c r="K599" s="609"/>
      <c r="L599" s="609"/>
      <c r="M599" s="612"/>
      <c r="N599" s="606"/>
      <c r="O599" s="644"/>
      <c r="P599" s="329" t="s">
        <v>300</v>
      </c>
      <c r="Q599" s="307">
        <v>0.25</v>
      </c>
      <c r="R599" s="308">
        <v>272</v>
      </c>
      <c r="S599" s="307">
        <f t="shared" si="62"/>
        <v>68</v>
      </c>
      <c r="T599" s="27"/>
    </row>
    <row r="600" spans="1:20" x14ac:dyDescent="0.25">
      <c r="A600" s="592"/>
      <c r="B600" s="595"/>
      <c r="C600" s="632"/>
      <c r="D600" s="617"/>
      <c r="E600" s="612"/>
      <c r="F600" s="30"/>
      <c r="G600" s="609"/>
      <c r="H600" s="609"/>
      <c r="I600" s="614"/>
      <c r="J600" s="609"/>
      <c r="K600" s="609"/>
      <c r="L600" s="609"/>
      <c r="M600" s="612"/>
      <c r="N600" s="606"/>
      <c r="O600" s="644"/>
      <c r="P600" s="329" t="s">
        <v>302</v>
      </c>
      <c r="Q600" s="307">
        <v>0.08</v>
      </c>
      <c r="R600" s="308">
        <v>950</v>
      </c>
      <c r="S600" s="307">
        <f t="shared" si="62"/>
        <v>76</v>
      </c>
      <c r="T600" s="27"/>
    </row>
    <row r="601" spans="1:20" ht="31.5" x14ac:dyDescent="0.25">
      <c r="A601" s="592"/>
      <c r="B601" s="595"/>
      <c r="C601" s="632"/>
      <c r="D601" s="617"/>
      <c r="E601" s="612"/>
      <c r="F601" s="30"/>
      <c r="G601" s="609"/>
      <c r="H601" s="609"/>
      <c r="I601" s="614"/>
      <c r="J601" s="609"/>
      <c r="K601" s="609"/>
      <c r="L601" s="609"/>
      <c r="M601" s="612"/>
      <c r="N601" s="606"/>
      <c r="O601" s="644"/>
      <c r="P601" s="329" t="s">
        <v>303</v>
      </c>
      <c r="Q601" s="307">
        <v>1</v>
      </c>
      <c r="R601" s="308">
        <v>6790</v>
      </c>
      <c r="S601" s="307">
        <f t="shared" si="62"/>
        <v>6790</v>
      </c>
      <c r="T601" s="27"/>
    </row>
    <row r="602" spans="1:20" ht="31.5" x14ac:dyDescent="0.25">
      <c r="A602" s="592"/>
      <c r="B602" s="595"/>
      <c r="C602" s="632"/>
      <c r="D602" s="617"/>
      <c r="E602" s="612"/>
      <c r="F602" s="30"/>
      <c r="G602" s="609"/>
      <c r="H602" s="609"/>
      <c r="I602" s="614"/>
      <c r="J602" s="609"/>
      <c r="K602" s="609"/>
      <c r="L602" s="609"/>
      <c r="M602" s="612"/>
      <c r="N602" s="606"/>
      <c r="O602" s="644"/>
      <c r="P602" s="329" t="s">
        <v>304</v>
      </c>
      <c r="Q602" s="307">
        <v>3</v>
      </c>
      <c r="R602" s="308">
        <v>256.5</v>
      </c>
      <c r="S602" s="307">
        <f t="shared" si="62"/>
        <v>769.5</v>
      </c>
      <c r="T602" s="27"/>
    </row>
    <row r="603" spans="1:20" ht="31.5" x14ac:dyDescent="0.25">
      <c r="A603" s="592"/>
      <c r="B603" s="595"/>
      <c r="C603" s="632"/>
      <c r="D603" s="617"/>
      <c r="E603" s="612"/>
      <c r="F603" s="30"/>
      <c r="G603" s="609"/>
      <c r="H603" s="609"/>
      <c r="I603" s="614"/>
      <c r="J603" s="609"/>
      <c r="K603" s="609"/>
      <c r="L603" s="609"/>
      <c r="M603" s="612"/>
      <c r="N603" s="606"/>
      <c r="O603" s="644"/>
      <c r="P603" s="329" t="s">
        <v>305</v>
      </c>
      <c r="Q603" s="307">
        <v>0.03</v>
      </c>
      <c r="R603" s="308">
        <v>165</v>
      </c>
      <c r="S603" s="307">
        <f t="shared" si="62"/>
        <v>4.95</v>
      </c>
      <c r="T603" s="27"/>
    </row>
    <row r="604" spans="1:20" ht="47.25" x14ac:dyDescent="0.25">
      <c r="A604" s="592"/>
      <c r="B604" s="595"/>
      <c r="C604" s="632"/>
      <c r="D604" s="617"/>
      <c r="E604" s="612"/>
      <c r="F604" s="30"/>
      <c r="G604" s="609"/>
      <c r="H604" s="609"/>
      <c r="I604" s="614"/>
      <c r="J604" s="609"/>
      <c r="K604" s="609"/>
      <c r="L604" s="609"/>
      <c r="M604" s="612"/>
      <c r="N604" s="606"/>
      <c r="O604" s="644"/>
      <c r="P604" s="329" t="s">
        <v>306</v>
      </c>
      <c r="Q604" s="307">
        <v>0.01</v>
      </c>
      <c r="R604" s="308">
        <v>207</v>
      </c>
      <c r="S604" s="307">
        <f t="shared" si="62"/>
        <v>2.0699999999999998</v>
      </c>
      <c r="T604" s="27"/>
    </row>
    <row r="605" spans="1:20" x14ac:dyDescent="0.25">
      <c r="A605" s="592"/>
      <c r="B605" s="595"/>
      <c r="C605" s="632"/>
      <c r="D605" s="617"/>
      <c r="E605" s="612"/>
      <c r="F605" s="30"/>
      <c r="G605" s="609"/>
      <c r="H605" s="609"/>
      <c r="I605" s="614"/>
      <c r="J605" s="609"/>
      <c r="K605" s="609"/>
      <c r="L605" s="609"/>
      <c r="M605" s="612"/>
      <c r="N605" s="606"/>
      <c r="O605" s="644"/>
      <c r="P605" s="329" t="s">
        <v>307</v>
      </c>
      <c r="Q605" s="307">
        <v>0.2</v>
      </c>
      <c r="R605" s="308">
        <v>133</v>
      </c>
      <c r="S605" s="307">
        <f t="shared" si="62"/>
        <v>26.6</v>
      </c>
      <c r="T605" s="27"/>
    </row>
    <row r="606" spans="1:20" x14ac:dyDescent="0.25">
      <c r="A606" s="592"/>
      <c r="B606" s="595"/>
      <c r="C606" s="632"/>
      <c r="D606" s="617"/>
      <c r="E606" s="612"/>
      <c r="F606" s="30"/>
      <c r="G606" s="609"/>
      <c r="H606" s="609"/>
      <c r="I606" s="614"/>
      <c r="J606" s="609"/>
      <c r="K606" s="609"/>
      <c r="L606" s="609"/>
      <c r="M606" s="612"/>
      <c r="N606" s="606"/>
      <c r="O606" s="644"/>
      <c r="P606" s="329" t="s">
        <v>308</v>
      </c>
      <c r="Q606" s="307">
        <v>0.25</v>
      </c>
      <c r="R606" s="308">
        <v>625</v>
      </c>
      <c r="S606" s="307">
        <f t="shared" si="62"/>
        <v>156.25</v>
      </c>
      <c r="T606" s="27"/>
    </row>
    <row r="607" spans="1:20" x14ac:dyDescent="0.25">
      <c r="A607" s="592"/>
      <c r="B607" s="595"/>
      <c r="C607" s="632"/>
      <c r="D607" s="617"/>
      <c r="E607" s="612"/>
      <c r="F607" s="30"/>
      <c r="G607" s="609"/>
      <c r="H607" s="609"/>
      <c r="I607" s="614"/>
      <c r="J607" s="609"/>
      <c r="K607" s="609"/>
      <c r="L607" s="609"/>
      <c r="M607" s="612"/>
      <c r="N607" s="606"/>
      <c r="O607" s="644"/>
      <c r="P607" s="329" t="s">
        <v>298</v>
      </c>
      <c r="Q607" s="307">
        <v>0.2</v>
      </c>
      <c r="R607" s="308">
        <v>179.8</v>
      </c>
      <c r="S607" s="307">
        <f t="shared" si="62"/>
        <v>35.96</v>
      </c>
      <c r="T607" s="27"/>
    </row>
    <row r="608" spans="1:20" ht="31.5" x14ac:dyDescent="0.25">
      <c r="A608" s="592"/>
      <c r="B608" s="595"/>
      <c r="C608" s="628"/>
      <c r="D608" s="604"/>
      <c r="E608" s="490"/>
      <c r="F608" s="30"/>
      <c r="G608" s="610"/>
      <c r="H608" s="610"/>
      <c r="I608" s="615"/>
      <c r="J608" s="610"/>
      <c r="K608" s="610"/>
      <c r="L608" s="610"/>
      <c r="M608" s="490"/>
      <c r="N608" s="607"/>
      <c r="O608" s="645"/>
      <c r="P608" s="329" t="s">
        <v>297</v>
      </c>
      <c r="Q608" s="307">
        <v>0.01</v>
      </c>
      <c r="R608" s="308">
        <v>875.26</v>
      </c>
      <c r="S608" s="307">
        <f t="shared" si="62"/>
        <v>8.7525999999999993</v>
      </c>
      <c r="T608" s="27"/>
    </row>
    <row r="609" spans="1:20" x14ac:dyDescent="0.25">
      <c r="A609" s="592"/>
      <c r="B609" s="595"/>
      <c r="C609" s="627" t="s">
        <v>309</v>
      </c>
      <c r="D609" s="603">
        <v>1</v>
      </c>
      <c r="E609" s="611" t="s">
        <v>290</v>
      </c>
      <c r="F609" s="30"/>
      <c r="G609" s="608">
        <v>0.32</v>
      </c>
      <c r="H609" s="608">
        <v>8</v>
      </c>
      <c r="I609" s="613">
        <f>H609*G609</f>
        <v>2.56</v>
      </c>
      <c r="J609" s="629"/>
      <c r="K609" s="608"/>
      <c r="L609" s="608"/>
      <c r="M609" s="611">
        <v>5</v>
      </c>
      <c r="N609" s="633">
        <v>454.87</v>
      </c>
      <c r="O609" s="643">
        <f t="shared" si="64"/>
        <v>1164.4672</v>
      </c>
      <c r="P609" s="329" t="s">
        <v>310</v>
      </c>
      <c r="Q609" s="307">
        <v>0.01</v>
      </c>
      <c r="R609" s="308">
        <v>272</v>
      </c>
      <c r="S609" s="307">
        <f t="shared" si="62"/>
        <v>2.72</v>
      </c>
      <c r="T609" s="27"/>
    </row>
    <row r="610" spans="1:20" x14ac:dyDescent="0.25">
      <c r="A610" s="592"/>
      <c r="B610" s="595"/>
      <c r="C610" s="632"/>
      <c r="D610" s="617"/>
      <c r="E610" s="612"/>
      <c r="F610" s="30"/>
      <c r="G610" s="609"/>
      <c r="H610" s="609"/>
      <c r="I610" s="614"/>
      <c r="J610" s="630"/>
      <c r="K610" s="609"/>
      <c r="L610" s="609"/>
      <c r="M610" s="612"/>
      <c r="N610" s="606"/>
      <c r="O610" s="644"/>
      <c r="P610" s="329" t="s">
        <v>298</v>
      </c>
      <c r="Q610" s="307">
        <v>0.03</v>
      </c>
      <c r="R610" s="308">
        <v>179.8</v>
      </c>
      <c r="S610" s="307">
        <f t="shared" si="62"/>
        <v>5.3940000000000001</v>
      </c>
      <c r="T610" s="27"/>
    </row>
    <row r="611" spans="1:20" ht="31.5" x14ac:dyDescent="0.25">
      <c r="A611" s="592"/>
      <c r="B611" s="595"/>
      <c r="C611" s="632"/>
      <c r="D611" s="617"/>
      <c r="E611" s="490"/>
      <c r="F611" s="30"/>
      <c r="G611" s="610"/>
      <c r="H611" s="610"/>
      <c r="I611" s="615"/>
      <c r="J611" s="631"/>
      <c r="K611" s="610"/>
      <c r="L611" s="610"/>
      <c r="M611" s="490"/>
      <c r="N611" s="607"/>
      <c r="O611" s="645"/>
      <c r="P611" s="329" t="s">
        <v>311</v>
      </c>
      <c r="Q611" s="307">
        <v>0.03</v>
      </c>
      <c r="R611" s="308">
        <v>1385</v>
      </c>
      <c r="S611" s="307">
        <f t="shared" si="62"/>
        <v>41.55</v>
      </c>
      <c r="T611" s="27"/>
    </row>
    <row r="612" spans="1:20" x14ac:dyDescent="0.25">
      <c r="A612" s="592"/>
      <c r="B612" s="595"/>
      <c r="C612" s="632"/>
      <c r="D612" s="617"/>
      <c r="E612" s="611" t="s">
        <v>292</v>
      </c>
      <c r="F612" s="30"/>
      <c r="G612" s="608">
        <v>0.63</v>
      </c>
      <c r="H612" s="608">
        <v>3</v>
      </c>
      <c r="I612" s="613">
        <f t="shared" ref="I612" si="66">H612*G612</f>
        <v>1.8900000000000001</v>
      </c>
      <c r="J612" s="608"/>
      <c r="K612" s="608"/>
      <c r="L612" s="608"/>
      <c r="M612" s="611">
        <v>5</v>
      </c>
      <c r="N612" s="633">
        <v>454.87</v>
      </c>
      <c r="O612" s="643">
        <f t="shared" si="64"/>
        <v>859.7043000000001</v>
      </c>
      <c r="P612" s="329" t="s">
        <v>310</v>
      </c>
      <c r="Q612" s="307">
        <v>0.01</v>
      </c>
      <c r="R612" s="308">
        <v>272</v>
      </c>
      <c r="S612" s="307">
        <f t="shared" si="62"/>
        <v>2.72</v>
      </c>
      <c r="T612" s="27"/>
    </row>
    <row r="613" spans="1:20" x14ac:dyDescent="0.25">
      <c r="A613" s="592"/>
      <c r="B613" s="595"/>
      <c r="C613" s="632"/>
      <c r="D613" s="617"/>
      <c r="E613" s="612"/>
      <c r="F613" s="30"/>
      <c r="G613" s="609"/>
      <c r="H613" s="609"/>
      <c r="I613" s="614"/>
      <c r="J613" s="609"/>
      <c r="K613" s="609"/>
      <c r="L613" s="609"/>
      <c r="M613" s="612"/>
      <c r="N613" s="606"/>
      <c r="O613" s="644"/>
      <c r="P613" s="329" t="s">
        <v>312</v>
      </c>
      <c r="Q613" s="307">
        <v>0.5</v>
      </c>
      <c r="R613" s="308">
        <v>272</v>
      </c>
      <c r="S613" s="307">
        <f t="shared" si="62"/>
        <v>136</v>
      </c>
      <c r="T613" s="27"/>
    </row>
    <row r="614" spans="1:20" x14ac:dyDescent="0.25">
      <c r="A614" s="592"/>
      <c r="B614" s="595"/>
      <c r="C614" s="632"/>
      <c r="D614" s="617"/>
      <c r="E614" s="612"/>
      <c r="F614" s="30"/>
      <c r="G614" s="609"/>
      <c r="H614" s="609"/>
      <c r="I614" s="614"/>
      <c r="J614" s="609"/>
      <c r="K614" s="609"/>
      <c r="L614" s="609"/>
      <c r="M614" s="612"/>
      <c r="N614" s="606"/>
      <c r="O614" s="644"/>
      <c r="P614" s="329" t="s">
        <v>313</v>
      </c>
      <c r="Q614" s="307">
        <v>0.1</v>
      </c>
      <c r="R614" s="308">
        <v>632</v>
      </c>
      <c r="S614" s="307">
        <f t="shared" si="62"/>
        <v>63.2</v>
      </c>
      <c r="T614" s="27"/>
    </row>
    <row r="615" spans="1:20" x14ac:dyDescent="0.25">
      <c r="A615" s="592"/>
      <c r="B615" s="595"/>
      <c r="C615" s="632"/>
      <c r="D615" s="617"/>
      <c r="E615" s="612"/>
      <c r="F615" s="30"/>
      <c r="G615" s="609"/>
      <c r="H615" s="609"/>
      <c r="I615" s="614"/>
      <c r="J615" s="609"/>
      <c r="K615" s="609"/>
      <c r="L615" s="609"/>
      <c r="M615" s="612"/>
      <c r="N615" s="606"/>
      <c r="O615" s="644"/>
      <c r="P615" s="329" t="s">
        <v>314</v>
      </c>
      <c r="Q615" s="307">
        <v>0.03</v>
      </c>
      <c r="R615" s="308">
        <v>179</v>
      </c>
      <c r="S615" s="307">
        <f t="shared" si="62"/>
        <v>5.37</v>
      </c>
      <c r="T615" s="27"/>
    </row>
    <row r="616" spans="1:20" ht="31.5" x14ac:dyDescent="0.25">
      <c r="A616" s="592"/>
      <c r="B616" s="595"/>
      <c r="C616" s="632"/>
      <c r="D616" s="617"/>
      <c r="E616" s="612"/>
      <c r="F616" s="30"/>
      <c r="G616" s="609"/>
      <c r="H616" s="609"/>
      <c r="I616" s="614"/>
      <c r="J616" s="609"/>
      <c r="K616" s="609"/>
      <c r="L616" s="609"/>
      <c r="M616" s="612"/>
      <c r="N616" s="606"/>
      <c r="O616" s="644"/>
      <c r="P616" s="329" t="s">
        <v>315</v>
      </c>
      <c r="Q616" s="307">
        <v>4.0000000000000001E-3</v>
      </c>
      <c r="R616" s="308">
        <v>302</v>
      </c>
      <c r="S616" s="307">
        <f t="shared" si="62"/>
        <v>1.208</v>
      </c>
      <c r="T616" s="27"/>
    </row>
    <row r="617" spans="1:20" ht="31.5" x14ac:dyDescent="0.25">
      <c r="A617" s="592"/>
      <c r="B617" s="595"/>
      <c r="C617" s="632"/>
      <c r="D617" s="617"/>
      <c r="E617" s="612"/>
      <c r="F617" s="30"/>
      <c r="G617" s="609"/>
      <c r="H617" s="609"/>
      <c r="I617" s="614"/>
      <c r="J617" s="609"/>
      <c r="K617" s="609"/>
      <c r="L617" s="609"/>
      <c r="M617" s="612"/>
      <c r="N617" s="606"/>
      <c r="O617" s="644"/>
      <c r="P617" s="329" t="s">
        <v>316</v>
      </c>
      <c r="Q617" s="307">
        <v>5.0000000000000001E-3</v>
      </c>
      <c r="R617" s="308">
        <v>950</v>
      </c>
      <c r="S617" s="307">
        <f t="shared" si="62"/>
        <v>4.75</v>
      </c>
      <c r="T617" s="27"/>
    </row>
    <row r="618" spans="1:20" ht="31.5" x14ac:dyDescent="0.25">
      <c r="A618" s="592"/>
      <c r="B618" s="595"/>
      <c r="C618" s="632"/>
      <c r="D618" s="617"/>
      <c r="E618" s="612"/>
      <c r="F618" s="30"/>
      <c r="G618" s="609"/>
      <c r="H618" s="609"/>
      <c r="I618" s="614"/>
      <c r="J618" s="609"/>
      <c r="K618" s="609"/>
      <c r="L618" s="609"/>
      <c r="M618" s="612"/>
      <c r="N618" s="606"/>
      <c r="O618" s="644"/>
      <c r="P618" s="329" t="s">
        <v>291</v>
      </c>
      <c r="Q618" s="307">
        <v>5.0000000000000001E-3</v>
      </c>
      <c r="R618" s="308">
        <v>34</v>
      </c>
      <c r="S618" s="307">
        <f t="shared" si="62"/>
        <v>0.17</v>
      </c>
      <c r="T618" s="27"/>
    </row>
    <row r="619" spans="1:20" x14ac:dyDescent="0.25">
      <c r="A619" s="592"/>
      <c r="B619" s="595"/>
      <c r="C619" s="632"/>
      <c r="D619" s="617"/>
      <c r="E619" s="612"/>
      <c r="F619" s="30"/>
      <c r="G619" s="609"/>
      <c r="H619" s="609"/>
      <c r="I619" s="614"/>
      <c r="J619" s="609"/>
      <c r="K619" s="609"/>
      <c r="L619" s="609"/>
      <c r="M619" s="612"/>
      <c r="N619" s="606"/>
      <c r="O619" s="644"/>
      <c r="P619" s="329" t="s">
        <v>298</v>
      </c>
      <c r="Q619" s="307">
        <v>7.0000000000000007E-2</v>
      </c>
      <c r="R619" s="308">
        <v>179.8</v>
      </c>
      <c r="S619" s="307">
        <f t="shared" si="62"/>
        <v>12.586000000000002</v>
      </c>
      <c r="T619" s="27"/>
    </row>
    <row r="620" spans="1:20" ht="31.5" x14ac:dyDescent="0.25">
      <c r="A620" s="592"/>
      <c r="B620" s="595"/>
      <c r="C620" s="632"/>
      <c r="D620" s="617"/>
      <c r="E620" s="490"/>
      <c r="F620" s="30"/>
      <c r="G620" s="610"/>
      <c r="H620" s="610"/>
      <c r="I620" s="615"/>
      <c r="J620" s="610"/>
      <c r="K620" s="610"/>
      <c r="L620" s="610"/>
      <c r="M620" s="490"/>
      <c r="N620" s="607"/>
      <c r="O620" s="645"/>
      <c r="P620" s="329" t="s">
        <v>311</v>
      </c>
      <c r="Q620" s="307">
        <v>0.01</v>
      </c>
      <c r="R620" s="308">
        <v>1385</v>
      </c>
      <c r="S620" s="307">
        <f t="shared" si="62"/>
        <v>13.85</v>
      </c>
      <c r="T620" s="27"/>
    </row>
    <row r="621" spans="1:20" x14ac:dyDescent="0.25">
      <c r="A621" s="592"/>
      <c r="B621" s="595"/>
      <c r="C621" s="632"/>
      <c r="D621" s="617"/>
      <c r="E621" s="611" t="s">
        <v>294</v>
      </c>
      <c r="F621" s="30"/>
      <c r="G621" s="608">
        <v>2.36</v>
      </c>
      <c r="H621" s="608">
        <v>1</v>
      </c>
      <c r="I621" s="613">
        <f t="shared" ref="I621" si="67">H621*G621</f>
        <v>2.36</v>
      </c>
      <c r="J621" s="608"/>
      <c r="K621" s="608"/>
      <c r="L621" s="608"/>
      <c r="M621" s="611">
        <v>5</v>
      </c>
      <c r="N621" s="633">
        <v>454.87</v>
      </c>
      <c r="O621" s="643">
        <f t="shared" si="64"/>
        <v>1073.4931999999999</v>
      </c>
      <c r="P621" s="329" t="s">
        <v>310</v>
      </c>
      <c r="Q621" s="307">
        <v>0.01</v>
      </c>
      <c r="R621" s="308">
        <v>272</v>
      </c>
      <c r="S621" s="307">
        <f t="shared" si="62"/>
        <v>2.72</v>
      </c>
      <c r="T621" s="27"/>
    </row>
    <row r="622" spans="1:20" x14ac:dyDescent="0.25">
      <c r="A622" s="592"/>
      <c r="B622" s="595"/>
      <c r="C622" s="632"/>
      <c r="D622" s="617"/>
      <c r="E622" s="612"/>
      <c r="F622" s="30"/>
      <c r="G622" s="609"/>
      <c r="H622" s="609"/>
      <c r="I622" s="614"/>
      <c r="J622" s="609"/>
      <c r="K622" s="609"/>
      <c r="L622" s="609"/>
      <c r="M622" s="612"/>
      <c r="N622" s="606"/>
      <c r="O622" s="644"/>
      <c r="P622" s="329" t="s">
        <v>314</v>
      </c>
      <c r="Q622" s="307">
        <v>0.03</v>
      </c>
      <c r="R622" s="308">
        <v>179</v>
      </c>
      <c r="S622" s="307">
        <f t="shared" si="62"/>
        <v>5.37</v>
      </c>
      <c r="T622" s="27"/>
    </row>
    <row r="623" spans="1:20" ht="31.5" x14ac:dyDescent="0.25">
      <c r="A623" s="592"/>
      <c r="B623" s="595"/>
      <c r="C623" s="632"/>
      <c r="D623" s="617"/>
      <c r="E623" s="612"/>
      <c r="F623" s="30"/>
      <c r="G623" s="609"/>
      <c r="H623" s="609"/>
      <c r="I623" s="614"/>
      <c r="J623" s="609"/>
      <c r="K623" s="609"/>
      <c r="L623" s="609"/>
      <c r="M623" s="612"/>
      <c r="N623" s="606"/>
      <c r="O623" s="644"/>
      <c r="P623" s="329" t="s">
        <v>315</v>
      </c>
      <c r="Q623" s="307">
        <v>4.0000000000000001E-3</v>
      </c>
      <c r="R623" s="308">
        <v>302</v>
      </c>
      <c r="S623" s="307">
        <f t="shared" si="62"/>
        <v>1.208</v>
      </c>
      <c r="T623" s="27"/>
    </row>
    <row r="624" spans="1:20" ht="31.5" x14ac:dyDescent="0.25">
      <c r="A624" s="592"/>
      <c r="B624" s="595"/>
      <c r="C624" s="632"/>
      <c r="D624" s="617"/>
      <c r="E624" s="612"/>
      <c r="F624" s="30"/>
      <c r="G624" s="609"/>
      <c r="H624" s="609"/>
      <c r="I624" s="614"/>
      <c r="J624" s="609"/>
      <c r="K624" s="609"/>
      <c r="L624" s="609"/>
      <c r="M624" s="612"/>
      <c r="N624" s="606"/>
      <c r="O624" s="644"/>
      <c r="P624" s="329" t="s">
        <v>316</v>
      </c>
      <c r="Q624" s="307">
        <v>5.0000000000000001E-3</v>
      </c>
      <c r="R624" s="308">
        <v>950</v>
      </c>
      <c r="S624" s="307">
        <f t="shared" si="62"/>
        <v>4.75</v>
      </c>
      <c r="T624" s="27"/>
    </row>
    <row r="625" spans="1:20" ht="31.5" x14ac:dyDescent="0.25">
      <c r="A625" s="592"/>
      <c r="B625" s="595"/>
      <c r="C625" s="632"/>
      <c r="D625" s="617"/>
      <c r="E625" s="612"/>
      <c r="F625" s="30"/>
      <c r="G625" s="609"/>
      <c r="H625" s="609"/>
      <c r="I625" s="614"/>
      <c r="J625" s="609"/>
      <c r="K625" s="609"/>
      <c r="L625" s="609"/>
      <c r="M625" s="612"/>
      <c r="N625" s="606"/>
      <c r="O625" s="644"/>
      <c r="P625" s="329" t="s">
        <v>291</v>
      </c>
      <c r="Q625" s="307">
        <v>5.0000000000000001E-3</v>
      </c>
      <c r="R625" s="308">
        <v>34</v>
      </c>
      <c r="S625" s="307">
        <f t="shared" si="62"/>
        <v>0.17</v>
      </c>
      <c r="T625" s="27"/>
    </row>
    <row r="626" spans="1:20" x14ac:dyDescent="0.25">
      <c r="A626" s="592"/>
      <c r="B626" s="595"/>
      <c r="C626" s="632"/>
      <c r="D626" s="617"/>
      <c r="E626" s="612"/>
      <c r="F626" s="30"/>
      <c r="G626" s="609"/>
      <c r="H626" s="609"/>
      <c r="I626" s="614"/>
      <c r="J626" s="609"/>
      <c r="K626" s="609"/>
      <c r="L626" s="609"/>
      <c r="M626" s="612"/>
      <c r="N626" s="606"/>
      <c r="O626" s="644"/>
      <c r="P626" s="329" t="s">
        <v>317</v>
      </c>
      <c r="Q626" s="307">
        <v>0.2</v>
      </c>
      <c r="R626" s="308">
        <v>294.12</v>
      </c>
      <c r="S626" s="307">
        <f t="shared" si="62"/>
        <v>58.824000000000005</v>
      </c>
      <c r="T626" s="27"/>
    </row>
    <row r="627" spans="1:20" x14ac:dyDescent="0.25">
      <c r="A627" s="592"/>
      <c r="B627" s="595"/>
      <c r="C627" s="632"/>
      <c r="D627" s="617"/>
      <c r="E627" s="612"/>
      <c r="F627" s="30"/>
      <c r="G627" s="609"/>
      <c r="H627" s="609"/>
      <c r="I627" s="614"/>
      <c r="J627" s="609"/>
      <c r="K627" s="609"/>
      <c r="L627" s="609"/>
      <c r="M627" s="612"/>
      <c r="N627" s="606"/>
      <c r="O627" s="644"/>
      <c r="P627" s="329" t="s">
        <v>318</v>
      </c>
      <c r="Q627" s="307">
        <v>1</v>
      </c>
      <c r="R627" s="308">
        <v>256.5</v>
      </c>
      <c r="S627" s="307">
        <f t="shared" si="62"/>
        <v>256.5</v>
      </c>
      <c r="T627" s="27"/>
    </row>
    <row r="628" spans="1:20" ht="31.5" x14ac:dyDescent="0.25">
      <c r="A628" s="592"/>
      <c r="B628" s="595"/>
      <c r="C628" s="632"/>
      <c r="D628" s="617"/>
      <c r="E628" s="612"/>
      <c r="F628" s="30"/>
      <c r="G628" s="609"/>
      <c r="H628" s="609"/>
      <c r="I628" s="614"/>
      <c r="J628" s="609"/>
      <c r="K628" s="609"/>
      <c r="L628" s="609"/>
      <c r="M628" s="612"/>
      <c r="N628" s="606"/>
      <c r="O628" s="644"/>
      <c r="P628" s="329" t="s">
        <v>319</v>
      </c>
      <c r="Q628" s="307">
        <v>1.5</v>
      </c>
      <c r="R628" s="308">
        <v>400</v>
      </c>
      <c r="S628" s="307">
        <f t="shared" si="62"/>
        <v>600</v>
      </c>
      <c r="T628" s="27"/>
    </row>
    <row r="629" spans="1:20" ht="31.5" x14ac:dyDescent="0.25">
      <c r="A629" s="592"/>
      <c r="B629" s="595"/>
      <c r="C629" s="632"/>
      <c r="D629" s="617"/>
      <c r="E629" s="612"/>
      <c r="F629" s="30"/>
      <c r="G629" s="609"/>
      <c r="H629" s="609"/>
      <c r="I629" s="614"/>
      <c r="J629" s="609"/>
      <c r="K629" s="609"/>
      <c r="L629" s="609"/>
      <c r="M629" s="612"/>
      <c r="N629" s="606"/>
      <c r="O629" s="644"/>
      <c r="P629" s="329" t="s">
        <v>320</v>
      </c>
      <c r="Q629" s="307">
        <v>2</v>
      </c>
      <c r="R629" s="308">
        <v>102</v>
      </c>
      <c r="S629" s="307">
        <f t="shared" si="62"/>
        <v>204</v>
      </c>
      <c r="T629" s="27"/>
    </row>
    <row r="630" spans="1:20" x14ac:dyDescent="0.25">
      <c r="A630" s="592"/>
      <c r="B630" s="595"/>
      <c r="C630" s="632"/>
      <c r="D630" s="617"/>
      <c r="E630" s="612"/>
      <c r="F630" s="30"/>
      <c r="G630" s="609"/>
      <c r="H630" s="609"/>
      <c r="I630" s="614"/>
      <c r="J630" s="609"/>
      <c r="K630" s="609"/>
      <c r="L630" s="609"/>
      <c r="M630" s="612"/>
      <c r="N630" s="606"/>
      <c r="O630" s="644"/>
      <c r="P630" s="329" t="s">
        <v>298</v>
      </c>
      <c r="Q630" s="307">
        <v>7.0000000000000007E-2</v>
      </c>
      <c r="R630" s="308">
        <v>179.8</v>
      </c>
      <c r="S630" s="307">
        <f t="shared" si="62"/>
        <v>12.586000000000002</v>
      </c>
      <c r="T630" s="27"/>
    </row>
    <row r="631" spans="1:20" x14ac:dyDescent="0.25">
      <c r="A631" s="592"/>
      <c r="B631" s="595"/>
      <c r="C631" s="632"/>
      <c r="D631" s="617"/>
      <c r="E631" s="612"/>
      <c r="F631" s="30"/>
      <c r="G631" s="609"/>
      <c r="H631" s="609"/>
      <c r="I631" s="614"/>
      <c r="J631" s="609"/>
      <c r="K631" s="609"/>
      <c r="L631" s="609"/>
      <c r="M631" s="612"/>
      <c r="N631" s="606"/>
      <c r="O631" s="644"/>
      <c r="P631" s="329" t="s">
        <v>321</v>
      </c>
      <c r="Q631" s="307">
        <v>2</v>
      </c>
      <c r="R631" s="308">
        <v>527</v>
      </c>
      <c r="S631" s="307">
        <f t="shared" si="62"/>
        <v>1054</v>
      </c>
      <c r="T631" s="27"/>
    </row>
    <row r="632" spans="1:20" ht="31.5" x14ac:dyDescent="0.25">
      <c r="A632" s="592"/>
      <c r="B632" s="595"/>
      <c r="C632" s="628"/>
      <c r="D632" s="604"/>
      <c r="E632" s="490"/>
      <c r="F632" s="30"/>
      <c r="G632" s="610"/>
      <c r="H632" s="610"/>
      <c r="I632" s="615"/>
      <c r="J632" s="610"/>
      <c r="K632" s="610"/>
      <c r="L632" s="610"/>
      <c r="M632" s="490"/>
      <c r="N632" s="607"/>
      <c r="O632" s="645"/>
      <c r="P632" s="329" t="s">
        <v>311</v>
      </c>
      <c r="Q632" s="307">
        <v>0.01</v>
      </c>
      <c r="R632" s="308">
        <v>1385</v>
      </c>
      <c r="S632" s="307">
        <f t="shared" si="62"/>
        <v>13.85</v>
      </c>
      <c r="T632" s="27"/>
    </row>
    <row r="633" spans="1:20" x14ac:dyDescent="0.25">
      <c r="A633" s="592"/>
      <c r="B633" s="595"/>
      <c r="C633" s="627" t="s">
        <v>322</v>
      </c>
      <c r="D633" s="603">
        <v>1</v>
      </c>
      <c r="E633" s="611" t="s">
        <v>290</v>
      </c>
      <c r="F633" s="30"/>
      <c r="G633" s="608">
        <v>0.32</v>
      </c>
      <c r="H633" s="608">
        <v>8</v>
      </c>
      <c r="I633" s="613">
        <f>H633*G633</f>
        <v>2.56</v>
      </c>
      <c r="J633" s="629"/>
      <c r="K633" s="608"/>
      <c r="L633" s="608"/>
      <c r="M633" s="611">
        <v>5</v>
      </c>
      <c r="N633" s="605">
        <v>454.87</v>
      </c>
      <c r="O633" s="643">
        <f t="shared" si="64"/>
        <v>1164.4672</v>
      </c>
      <c r="P633" s="329" t="s">
        <v>310</v>
      </c>
      <c r="Q633" s="307">
        <v>0.01</v>
      </c>
      <c r="R633" s="308">
        <v>272</v>
      </c>
      <c r="S633" s="307">
        <f t="shared" si="62"/>
        <v>2.72</v>
      </c>
      <c r="T633" s="27"/>
    </row>
    <row r="634" spans="1:20" x14ac:dyDescent="0.25">
      <c r="A634" s="592"/>
      <c r="B634" s="595"/>
      <c r="C634" s="632"/>
      <c r="D634" s="617"/>
      <c r="E634" s="612"/>
      <c r="F634" s="30"/>
      <c r="G634" s="609"/>
      <c r="H634" s="609"/>
      <c r="I634" s="614"/>
      <c r="J634" s="630"/>
      <c r="K634" s="609"/>
      <c r="L634" s="609"/>
      <c r="M634" s="612"/>
      <c r="N634" s="606"/>
      <c r="O634" s="644"/>
      <c r="P634" s="329" t="s">
        <v>298</v>
      </c>
      <c r="Q634" s="307">
        <v>0.03</v>
      </c>
      <c r="R634" s="308">
        <v>179.8</v>
      </c>
      <c r="S634" s="307">
        <f t="shared" si="62"/>
        <v>5.3940000000000001</v>
      </c>
      <c r="T634" s="27"/>
    </row>
    <row r="635" spans="1:20" ht="31.5" x14ac:dyDescent="0.25">
      <c r="A635" s="592"/>
      <c r="B635" s="595"/>
      <c r="C635" s="632"/>
      <c r="D635" s="617"/>
      <c r="E635" s="490"/>
      <c r="F635" s="30"/>
      <c r="G635" s="610"/>
      <c r="H635" s="610"/>
      <c r="I635" s="615"/>
      <c r="J635" s="631"/>
      <c r="K635" s="610"/>
      <c r="L635" s="610"/>
      <c r="M635" s="490"/>
      <c r="N635" s="607"/>
      <c r="O635" s="645"/>
      <c r="P635" s="329" t="s">
        <v>311</v>
      </c>
      <c r="Q635" s="307">
        <v>0.03</v>
      </c>
      <c r="R635" s="308">
        <v>1385</v>
      </c>
      <c r="S635" s="307">
        <f t="shared" si="62"/>
        <v>41.55</v>
      </c>
      <c r="T635" s="27"/>
    </row>
    <row r="636" spans="1:20" x14ac:dyDescent="0.25">
      <c r="A636" s="592"/>
      <c r="B636" s="595"/>
      <c r="C636" s="632"/>
      <c r="D636" s="617"/>
      <c r="E636" s="611" t="s">
        <v>292</v>
      </c>
      <c r="F636" s="30"/>
      <c r="G636" s="608">
        <v>0.63</v>
      </c>
      <c r="H636" s="608">
        <v>3</v>
      </c>
      <c r="I636" s="613">
        <f t="shared" ref="I636" si="68">H636*G636</f>
        <v>1.8900000000000001</v>
      </c>
      <c r="J636" s="608"/>
      <c r="K636" s="608"/>
      <c r="L636" s="608"/>
      <c r="M636" s="611">
        <v>5</v>
      </c>
      <c r="N636" s="605">
        <v>454.87</v>
      </c>
      <c r="O636" s="643">
        <f t="shared" si="64"/>
        <v>859.7043000000001</v>
      </c>
      <c r="P636" s="329" t="s">
        <v>310</v>
      </c>
      <c r="Q636" s="307">
        <v>0.01</v>
      </c>
      <c r="R636" s="308">
        <v>272</v>
      </c>
      <c r="S636" s="307">
        <f t="shared" si="62"/>
        <v>2.72</v>
      </c>
      <c r="T636" s="27"/>
    </row>
    <row r="637" spans="1:20" x14ac:dyDescent="0.25">
      <c r="A637" s="592"/>
      <c r="B637" s="595"/>
      <c r="C637" s="632"/>
      <c r="D637" s="617"/>
      <c r="E637" s="612"/>
      <c r="F637" s="30"/>
      <c r="G637" s="609"/>
      <c r="H637" s="609"/>
      <c r="I637" s="614"/>
      <c r="J637" s="609"/>
      <c r="K637" s="609"/>
      <c r="L637" s="609"/>
      <c r="M637" s="612"/>
      <c r="N637" s="606"/>
      <c r="O637" s="644"/>
      <c r="P637" s="329" t="s">
        <v>312</v>
      </c>
      <c r="Q637" s="307">
        <v>0.5</v>
      </c>
      <c r="R637" s="308">
        <v>272</v>
      </c>
      <c r="S637" s="307">
        <f t="shared" si="62"/>
        <v>136</v>
      </c>
      <c r="T637" s="27"/>
    </row>
    <row r="638" spans="1:20" x14ac:dyDescent="0.25">
      <c r="A638" s="592"/>
      <c r="B638" s="595"/>
      <c r="C638" s="632"/>
      <c r="D638" s="617"/>
      <c r="E638" s="612"/>
      <c r="F638" s="30"/>
      <c r="G638" s="609"/>
      <c r="H638" s="609"/>
      <c r="I638" s="614"/>
      <c r="J638" s="609"/>
      <c r="K638" s="609"/>
      <c r="L638" s="609"/>
      <c r="M638" s="612"/>
      <c r="N638" s="606"/>
      <c r="O638" s="644"/>
      <c r="P638" s="329" t="s">
        <v>313</v>
      </c>
      <c r="Q638" s="307">
        <v>0.1</v>
      </c>
      <c r="R638" s="308">
        <v>632</v>
      </c>
      <c r="S638" s="307">
        <f t="shared" si="62"/>
        <v>63.2</v>
      </c>
      <c r="T638" s="27"/>
    </row>
    <row r="639" spans="1:20" x14ac:dyDescent="0.25">
      <c r="A639" s="592"/>
      <c r="B639" s="595"/>
      <c r="C639" s="632"/>
      <c r="D639" s="617"/>
      <c r="E639" s="612"/>
      <c r="F639" s="30"/>
      <c r="G639" s="609"/>
      <c r="H639" s="609"/>
      <c r="I639" s="614"/>
      <c r="J639" s="609"/>
      <c r="K639" s="609"/>
      <c r="L639" s="609"/>
      <c r="M639" s="612"/>
      <c r="N639" s="606"/>
      <c r="O639" s="644"/>
      <c r="P639" s="329" t="s">
        <v>314</v>
      </c>
      <c r="Q639" s="307">
        <v>0.03</v>
      </c>
      <c r="R639" s="308">
        <v>179</v>
      </c>
      <c r="S639" s="307">
        <f t="shared" si="62"/>
        <v>5.37</v>
      </c>
      <c r="T639" s="27"/>
    </row>
    <row r="640" spans="1:20" ht="31.5" x14ac:dyDescent="0.25">
      <c r="A640" s="592"/>
      <c r="B640" s="595"/>
      <c r="C640" s="632"/>
      <c r="D640" s="617"/>
      <c r="E640" s="612"/>
      <c r="F640" s="30"/>
      <c r="G640" s="609"/>
      <c r="H640" s="609"/>
      <c r="I640" s="614"/>
      <c r="J640" s="609"/>
      <c r="K640" s="609"/>
      <c r="L640" s="609"/>
      <c r="M640" s="612"/>
      <c r="N640" s="606"/>
      <c r="O640" s="644"/>
      <c r="P640" s="329" t="s">
        <v>315</v>
      </c>
      <c r="Q640" s="307">
        <v>4.0000000000000001E-3</v>
      </c>
      <c r="R640" s="308">
        <v>302</v>
      </c>
      <c r="S640" s="307">
        <f t="shared" si="62"/>
        <v>1.208</v>
      </c>
      <c r="T640" s="27"/>
    </row>
    <row r="641" spans="1:20" ht="31.5" x14ac:dyDescent="0.25">
      <c r="A641" s="592"/>
      <c r="B641" s="595"/>
      <c r="C641" s="632"/>
      <c r="D641" s="617"/>
      <c r="E641" s="612"/>
      <c r="F641" s="30"/>
      <c r="G641" s="609"/>
      <c r="H641" s="609"/>
      <c r="I641" s="614"/>
      <c r="J641" s="609"/>
      <c r="K641" s="609"/>
      <c r="L641" s="609"/>
      <c r="M641" s="612"/>
      <c r="N641" s="606"/>
      <c r="O641" s="644"/>
      <c r="P641" s="329" t="s">
        <v>316</v>
      </c>
      <c r="Q641" s="307">
        <v>5.0000000000000001E-3</v>
      </c>
      <c r="R641" s="308">
        <v>950</v>
      </c>
      <c r="S641" s="307">
        <f t="shared" si="62"/>
        <v>4.75</v>
      </c>
      <c r="T641" s="27"/>
    </row>
    <row r="642" spans="1:20" ht="31.5" x14ac:dyDescent="0.25">
      <c r="A642" s="592"/>
      <c r="B642" s="595"/>
      <c r="C642" s="632"/>
      <c r="D642" s="617"/>
      <c r="E642" s="612"/>
      <c r="F642" s="30"/>
      <c r="G642" s="609"/>
      <c r="H642" s="609"/>
      <c r="I642" s="614"/>
      <c r="J642" s="609"/>
      <c r="K642" s="609"/>
      <c r="L642" s="609"/>
      <c r="M642" s="612"/>
      <c r="N642" s="606"/>
      <c r="O642" s="644"/>
      <c r="P642" s="329" t="s">
        <v>291</v>
      </c>
      <c r="Q642" s="307">
        <v>5.0000000000000001E-3</v>
      </c>
      <c r="R642" s="308">
        <v>34</v>
      </c>
      <c r="S642" s="307">
        <f t="shared" si="62"/>
        <v>0.17</v>
      </c>
      <c r="T642" s="27"/>
    </row>
    <row r="643" spans="1:20" x14ac:dyDescent="0.25">
      <c r="A643" s="592"/>
      <c r="B643" s="595"/>
      <c r="C643" s="632"/>
      <c r="D643" s="617"/>
      <c r="E643" s="612"/>
      <c r="F643" s="30"/>
      <c r="G643" s="609"/>
      <c r="H643" s="609"/>
      <c r="I643" s="614"/>
      <c r="J643" s="609"/>
      <c r="K643" s="609"/>
      <c r="L643" s="609"/>
      <c r="M643" s="612"/>
      <c r="N643" s="606"/>
      <c r="O643" s="644"/>
      <c r="P643" s="329" t="s">
        <v>298</v>
      </c>
      <c r="Q643" s="307">
        <v>7.0000000000000007E-2</v>
      </c>
      <c r="R643" s="308">
        <v>179.8</v>
      </c>
      <c r="S643" s="307">
        <f t="shared" si="62"/>
        <v>12.586000000000002</v>
      </c>
      <c r="T643" s="27"/>
    </row>
    <row r="644" spans="1:20" ht="31.5" x14ac:dyDescent="0.25">
      <c r="A644" s="592"/>
      <c r="B644" s="595"/>
      <c r="C644" s="632"/>
      <c r="D644" s="617"/>
      <c r="E644" s="490"/>
      <c r="F644" s="30"/>
      <c r="G644" s="610"/>
      <c r="H644" s="610"/>
      <c r="I644" s="615"/>
      <c r="J644" s="610"/>
      <c r="K644" s="610"/>
      <c r="L644" s="610"/>
      <c r="M644" s="490"/>
      <c r="N644" s="607"/>
      <c r="O644" s="645"/>
      <c r="P644" s="329" t="s">
        <v>311</v>
      </c>
      <c r="Q644" s="307">
        <v>0.01</v>
      </c>
      <c r="R644" s="308">
        <v>1385</v>
      </c>
      <c r="S644" s="307">
        <f t="shared" si="62"/>
        <v>13.85</v>
      </c>
      <c r="T644" s="27"/>
    </row>
    <row r="645" spans="1:20" x14ac:dyDescent="0.25">
      <c r="A645" s="592"/>
      <c r="B645" s="595"/>
      <c r="C645" s="632"/>
      <c r="D645" s="617"/>
      <c r="E645" s="611" t="s">
        <v>294</v>
      </c>
      <c r="F645" s="30"/>
      <c r="G645" s="608">
        <v>2.36</v>
      </c>
      <c r="H645" s="608">
        <v>1</v>
      </c>
      <c r="I645" s="613">
        <f t="shared" ref="I645" si="69">H645*G645</f>
        <v>2.36</v>
      </c>
      <c r="J645" s="608"/>
      <c r="K645" s="608"/>
      <c r="L645" s="608"/>
      <c r="M645" s="611">
        <v>5</v>
      </c>
      <c r="N645" s="605">
        <v>454.87</v>
      </c>
      <c r="O645" s="643">
        <f t="shared" si="64"/>
        <v>1073.4931999999999</v>
      </c>
      <c r="P645" s="329" t="s">
        <v>310</v>
      </c>
      <c r="Q645" s="307">
        <v>0.01</v>
      </c>
      <c r="R645" s="308">
        <v>272</v>
      </c>
      <c r="S645" s="307">
        <f t="shared" si="62"/>
        <v>2.72</v>
      </c>
      <c r="T645" s="27"/>
    </row>
    <row r="646" spans="1:20" x14ac:dyDescent="0.25">
      <c r="A646" s="592"/>
      <c r="B646" s="595"/>
      <c r="C646" s="632"/>
      <c r="D646" s="617"/>
      <c r="E646" s="612"/>
      <c r="F646" s="30"/>
      <c r="G646" s="609"/>
      <c r="H646" s="609"/>
      <c r="I646" s="614"/>
      <c r="J646" s="609"/>
      <c r="K646" s="609"/>
      <c r="L646" s="609"/>
      <c r="M646" s="612"/>
      <c r="N646" s="606"/>
      <c r="O646" s="644"/>
      <c r="P646" s="329" t="s">
        <v>314</v>
      </c>
      <c r="Q646" s="307">
        <v>0.03</v>
      </c>
      <c r="R646" s="308">
        <v>179</v>
      </c>
      <c r="S646" s="307">
        <f t="shared" si="62"/>
        <v>5.37</v>
      </c>
      <c r="T646" s="27"/>
    </row>
    <row r="647" spans="1:20" ht="31.5" x14ac:dyDescent="0.25">
      <c r="A647" s="592"/>
      <c r="B647" s="595"/>
      <c r="C647" s="632"/>
      <c r="D647" s="617"/>
      <c r="E647" s="612"/>
      <c r="F647" s="30"/>
      <c r="G647" s="609"/>
      <c r="H647" s="609"/>
      <c r="I647" s="614"/>
      <c r="J647" s="609"/>
      <c r="K647" s="609"/>
      <c r="L647" s="609"/>
      <c r="M647" s="612"/>
      <c r="N647" s="606"/>
      <c r="O647" s="644"/>
      <c r="P647" s="329" t="s">
        <v>315</v>
      </c>
      <c r="Q647" s="307">
        <v>4.0000000000000001E-3</v>
      </c>
      <c r="R647" s="308">
        <v>302</v>
      </c>
      <c r="S647" s="307">
        <f t="shared" ref="S647:S710" si="70">(Q647*R647)</f>
        <v>1.208</v>
      </c>
      <c r="T647" s="27"/>
    </row>
    <row r="648" spans="1:20" ht="31.5" x14ac:dyDescent="0.25">
      <c r="A648" s="592"/>
      <c r="B648" s="595"/>
      <c r="C648" s="632"/>
      <c r="D648" s="617"/>
      <c r="E648" s="612"/>
      <c r="F648" s="30"/>
      <c r="G648" s="609"/>
      <c r="H648" s="609"/>
      <c r="I648" s="614"/>
      <c r="J648" s="609"/>
      <c r="K648" s="609"/>
      <c r="L648" s="609"/>
      <c r="M648" s="612"/>
      <c r="N648" s="606"/>
      <c r="O648" s="644"/>
      <c r="P648" s="329" t="s">
        <v>316</v>
      </c>
      <c r="Q648" s="307">
        <v>5.0000000000000001E-3</v>
      </c>
      <c r="R648" s="308">
        <v>950</v>
      </c>
      <c r="S648" s="307">
        <f t="shared" si="70"/>
        <v>4.75</v>
      </c>
      <c r="T648" s="27"/>
    </row>
    <row r="649" spans="1:20" ht="31.5" x14ac:dyDescent="0.25">
      <c r="A649" s="592"/>
      <c r="B649" s="595"/>
      <c r="C649" s="632"/>
      <c r="D649" s="617"/>
      <c r="E649" s="612"/>
      <c r="F649" s="30"/>
      <c r="G649" s="609"/>
      <c r="H649" s="609"/>
      <c r="I649" s="614"/>
      <c r="J649" s="609"/>
      <c r="K649" s="609"/>
      <c r="L649" s="609"/>
      <c r="M649" s="612"/>
      <c r="N649" s="606"/>
      <c r="O649" s="644"/>
      <c r="P649" s="329" t="s">
        <v>291</v>
      </c>
      <c r="Q649" s="307">
        <v>5.0000000000000001E-3</v>
      </c>
      <c r="R649" s="308">
        <v>34</v>
      </c>
      <c r="S649" s="307">
        <f t="shared" si="70"/>
        <v>0.17</v>
      </c>
      <c r="T649" s="27"/>
    </row>
    <row r="650" spans="1:20" x14ac:dyDescent="0.25">
      <c r="A650" s="592"/>
      <c r="B650" s="595"/>
      <c r="C650" s="632"/>
      <c r="D650" s="617"/>
      <c r="E650" s="612"/>
      <c r="F650" s="30"/>
      <c r="G650" s="609"/>
      <c r="H650" s="609"/>
      <c r="I650" s="614"/>
      <c r="J650" s="609"/>
      <c r="K650" s="609"/>
      <c r="L650" s="609"/>
      <c r="M650" s="612"/>
      <c r="N650" s="606"/>
      <c r="O650" s="644"/>
      <c r="P650" s="329" t="s">
        <v>317</v>
      </c>
      <c r="Q650" s="307">
        <v>0.2</v>
      </c>
      <c r="R650" s="308">
        <v>294.12</v>
      </c>
      <c r="S650" s="307">
        <f t="shared" si="70"/>
        <v>58.824000000000005</v>
      </c>
      <c r="T650" s="27"/>
    </row>
    <row r="651" spans="1:20" x14ac:dyDescent="0.25">
      <c r="A651" s="592"/>
      <c r="B651" s="595"/>
      <c r="C651" s="632"/>
      <c r="D651" s="617"/>
      <c r="E651" s="612"/>
      <c r="F651" s="30"/>
      <c r="G651" s="609"/>
      <c r="H651" s="609"/>
      <c r="I651" s="614"/>
      <c r="J651" s="609"/>
      <c r="K651" s="609"/>
      <c r="L651" s="609"/>
      <c r="M651" s="612"/>
      <c r="N651" s="606"/>
      <c r="O651" s="644"/>
      <c r="P651" s="329" t="s">
        <v>318</v>
      </c>
      <c r="Q651" s="307">
        <v>1</v>
      </c>
      <c r="R651" s="308">
        <v>256.5</v>
      </c>
      <c r="S651" s="307">
        <f t="shared" si="70"/>
        <v>256.5</v>
      </c>
      <c r="T651" s="27"/>
    </row>
    <row r="652" spans="1:20" ht="31.5" x14ac:dyDescent="0.25">
      <c r="A652" s="592"/>
      <c r="B652" s="595"/>
      <c r="C652" s="632"/>
      <c r="D652" s="617"/>
      <c r="E652" s="612"/>
      <c r="F652" s="30"/>
      <c r="G652" s="609"/>
      <c r="H652" s="609"/>
      <c r="I652" s="614"/>
      <c r="J652" s="609"/>
      <c r="K652" s="609"/>
      <c r="L652" s="609"/>
      <c r="M652" s="612"/>
      <c r="N652" s="606"/>
      <c r="O652" s="644"/>
      <c r="P652" s="329" t="s">
        <v>319</v>
      </c>
      <c r="Q652" s="307">
        <v>1.5</v>
      </c>
      <c r="R652" s="308">
        <v>400</v>
      </c>
      <c r="S652" s="307">
        <f t="shared" si="70"/>
        <v>600</v>
      </c>
      <c r="T652" s="27"/>
    </row>
    <row r="653" spans="1:20" ht="31.5" x14ac:dyDescent="0.25">
      <c r="A653" s="592"/>
      <c r="B653" s="595"/>
      <c r="C653" s="632"/>
      <c r="D653" s="617"/>
      <c r="E653" s="612"/>
      <c r="F653" s="30"/>
      <c r="G653" s="609"/>
      <c r="H653" s="609"/>
      <c r="I653" s="614"/>
      <c r="J653" s="609"/>
      <c r="K653" s="609"/>
      <c r="L653" s="609"/>
      <c r="M653" s="612"/>
      <c r="N653" s="606"/>
      <c r="O653" s="644"/>
      <c r="P653" s="329" t="s">
        <v>320</v>
      </c>
      <c r="Q653" s="307">
        <v>2</v>
      </c>
      <c r="R653" s="308">
        <v>102</v>
      </c>
      <c r="S653" s="307">
        <f t="shared" si="70"/>
        <v>204</v>
      </c>
      <c r="T653" s="27"/>
    </row>
    <row r="654" spans="1:20" x14ac:dyDescent="0.25">
      <c r="A654" s="592"/>
      <c r="B654" s="595"/>
      <c r="C654" s="632"/>
      <c r="D654" s="617"/>
      <c r="E654" s="612"/>
      <c r="F654" s="30"/>
      <c r="G654" s="609"/>
      <c r="H654" s="609"/>
      <c r="I654" s="614"/>
      <c r="J654" s="609"/>
      <c r="K654" s="609"/>
      <c r="L654" s="609"/>
      <c r="M654" s="612"/>
      <c r="N654" s="606"/>
      <c r="O654" s="644"/>
      <c r="P654" s="329" t="s">
        <v>298</v>
      </c>
      <c r="Q654" s="307">
        <v>7.0000000000000007E-2</v>
      </c>
      <c r="R654" s="308">
        <v>179.8</v>
      </c>
      <c r="S654" s="307">
        <f t="shared" si="70"/>
        <v>12.586000000000002</v>
      </c>
      <c r="T654" s="27"/>
    </row>
    <row r="655" spans="1:20" x14ac:dyDescent="0.25">
      <c r="A655" s="592"/>
      <c r="B655" s="595"/>
      <c r="C655" s="632"/>
      <c r="D655" s="617"/>
      <c r="E655" s="612"/>
      <c r="F655" s="30"/>
      <c r="G655" s="609"/>
      <c r="H655" s="609"/>
      <c r="I655" s="614"/>
      <c r="J655" s="609"/>
      <c r="K655" s="609"/>
      <c r="L655" s="609"/>
      <c r="M655" s="612"/>
      <c r="N655" s="606"/>
      <c r="O655" s="644"/>
      <c r="P655" s="329" t="s">
        <v>321</v>
      </c>
      <c r="Q655" s="307">
        <v>2</v>
      </c>
      <c r="R655" s="308">
        <v>527</v>
      </c>
      <c r="S655" s="307">
        <f t="shared" si="70"/>
        <v>1054</v>
      </c>
      <c r="T655" s="27"/>
    </row>
    <row r="656" spans="1:20" ht="31.5" x14ac:dyDescent="0.25">
      <c r="A656" s="592"/>
      <c r="B656" s="595"/>
      <c r="C656" s="628"/>
      <c r="D656" s="604"/>
      <c r="E656" s="490"/>
      <c r="F656" s="30"/>
      <c r="G656" s="610"/>
      <c r="H656" s="610"/>
      <c r="I656" s="615"/>
      <c r="J656" s="610"/>
      <c r="K656" s="610"/>
      <c r="L656" s="610"/>
      <c r="M656" s="490"/>
      <c r="N656" s="607"/>
      <c r="O656" s="645"/>
      <c r="P656" s="329" t="s">
        <v>311</v>
      </c>
      <c r="Q656" s="307">
        <v>0.01</v>
      </c>
      <c r="R656" s="308">
        <v>1385</v>
      </c>
      <c r="S656" s="307">
        <f t="shared" si="70"/>
        <v>13.85</v>
      </c>
      <c r="T656" s="27"/>
    </row>
    <row r="657" spans="1:20" ht="31.5" x14ac:dyDescent="0.25">
      <c r="A657" s="592"/>
      <c r="B657" s="595"/>
      <c r="C657" s="627" t="s">
        <v>323</v>
      </c>
      <c r="D657" s="603">
        <v>1</v>
      </c>
      <c r="E657" s="611" t="s">
        <v>290</v>
      </c>
      <c r="F657" s="30"/>
      <c r="G657" s="608">
        <v>0.04</v>
      </c>
      <c r="H657" s="608">
        <v>8</v>
      </c>
      <c r="I657" s="613">
        <f>H657*G657</f>
        <v>0.32</v>
      </c>
      <c r="J657" s="629"/>
      <c r="K657" s="608"/>
      <c r="L657" s="608"/>
      <c r="M657" s="611">
        <v>4</v>
      </c>
      <c r="N657" s="605">
        <v>454.87</v>
      </c>
      <c r="O657" s="643">
        <f t="shared" ref="O657:O710" si="71">I657*N657</f>
        <v>145.55840000000001</v>
      </c>
      <c r="P657" s="329" t="s">
        <v>311</v>
      </c>
      <c r="Q657" s="307">
        <v>0.01</v>
      </c>
      <c r="R657" s="308">
        <v>1385</v>
      </c>
      <c r="S657" s="307">
        <f t="shared" si="70"/>
        <v>13.85</v>
      </c>
      <c r="T657" s="27"/>
    </row>
    <row r="658" spans="1:20" x14ac:dyDescent="0.25">
      <c r="A658" s="592"/>
      <c r="B658" s="595"/>
      <c r="C658" s="632"/>
      <c r="D658" s="617"/>
      <c r="E658" s="612"/>
      <c r="F658" s="30"/>
      <c r="G658" s="609"/>
      <c r="H658" s="609"/>
      <c r="I658" s="614"/>
      <c r="J658" s="630"/>
      <c r="K658" s="609"/>
      <c r="L658" s="609"/>
      <c r="M658" s="612"/>
      <c r="N658" s="606"/>
      <c r="O658" s="644"/>
      <c r="P658" s="329" t="s">
        <v>298</v>
      </c>
      <c r="Q658" s="307">
        <v>0.04</v>
      </c>
      <c r="R658" s="308">
        <v>179.8</v>
      </c>
      <c r="S658" s="307">
        <f t="shared" si="70"/>
        <v>7.1920000000000002</v>
      </c>
      <c r="T658" s="27"/>
    </row>
    <row r="659" spans="1:20" x14ac:dyDescent="0.25">
      <c r="A659" s="592"/>
      <c r="B659" s="595"/>
      <c r="C659" s="632"/>
      <c r="D659" s="617"/>
      <c r="E659" s="612"/>
      <c r="F659" s="30"/>
      <c r="G659" s="609"/>
      <c r="H659" s="609"/>
      <c r="I659" s="614"/>
      <c r="J659" s="630"/>
      <c r="K659" s="609"/>
      <c r="L659" s="609"/>
      <c r="M659" s="612"/>
      <c r="N659" s="606"/>
      <c r="O659" s="644"/>
      <c r="P659" s="330" t="s">
        <v>324</v>
      </c>
      <c r="Q659" s="331">
        <v>1</v>
      </c>
      <c r="R659" s="308">
        <v>44</v>
      </c>
      <c r="S659" s="307">
        <f t="shared" si="70"/>
        <v>44</v>
      </c>
      <c r="T659" s="27"/>
    </row>
    <row r="660" spans="1:20" x14ac:dyDescent="0.25">
      <c r="A660" s="592"/>
      <c r="B660" s="595"/>
      <c r="C660" s="632"/>
      <c r="D660" s="617"/>
      <c r="E660" s="612"/>
      <c r="F660" s="30"/>
      <c r="G660" s="609"/>
      <c r="H660" s="609"/>
      <c r="I660" s="614"/>
      <c r="J660" s="630"/>
      <c r="K660" s="609"/>
      <c r="L660" s="609"/>
      <c r="M660" s="612"/>
      <c r="N660" s="606"/>
      <c r="O660" s="644"/>
      <c r="P660" s="330" t="s">
        <v>325</v>
      </c>
      <c r="Q660" s="307">
        <v>0.01</v>
      </c>
      <c r="R660" s="308">
        <v>649</v>
      </c>
      <c r="S660" s="307">
        <f t="shared" si="70"/>
        <v>6.49</v>
      </c>
      <c r="T660" s="27"/>
    </row>
    <row r="661" spans="1:20" x14ac:dyDescent="0.25">
      <c r="A661" s="592"/>
      <c r="B661" s="595"/>
      <c r="C661" s="632"/>
      <c r="D661" s="617"/>
      <c r="E661" s="612"/>
      <c r="F661" s="30"/>
      <c r="G661" s="609"/>
      <c r="H661" s="609"/>
      <c r="I661" s="614"/>
      <c r="J661" s="630"/>
      <c r="K661" s="609"/>
      <c r="L661" s="609"/>
      <c r="M661" s="612"/>
      <c r="N661" s="606"/>
      <c r="O661" s="644"/>
      <c r="P661" s="330" t="s">
        <v>326</v>
      </c>
      <c r="Q661" s="331">
        <v>0.03</v>
      </c>
      <c r="R661" s="308">
        <v>1148</v>
      </c>
      <c r="S661" s="307">
        <f t="shared" si="70"/>
        <v>34.44</v>
      </c>
      <c r="T661" s="27"/>
    </row>
    <row r="662" spans="1:20" x14ac:dyDescent="0.25">
      <c r="A662" s="592"/>
      <c r="B662" s="595"/>
      <c r="C662" s="632"/>
      <c r="D662" s="617"/>
      <c r="E662" s="490"/>
      <c r="F662" s="30"/>
      <c r="G662" s="610"/>
      <c r="H662" s="610"/>
      <c r="I662" s="615"/>
      <c r="J662" s="631"/>
      <c r="K662" s="610"/>
      <c r="L662" s="610"/>
      <c r="M662" s="490"/>
      <c r="N662" s="607"/>
      <c r="O662" s="645"/>
      <c r="P662" s="329" t="s">
        <v>318</v>
      </c>
      <c r="Q662" s="331">
        <v>2</v>
      </c>
      <c r="R662" s="308">
        <v>256.5</v>
      </c>
      <c r="S662" s="307">
        <f t="shared" si="70"/>
        <v>513</v>
      </c>
      <c r="T662" s="27"/>
    </row>
    <row r="663" spans="1:20" x14ac:dyDescent="0.25">
      <c r="A663" s="592"/>
      <c r="B663" s="595"/>
      <c r="C663" s="632"/>
      <c r="D663" s="617"/>
      <c r="E663" s="611" t="s">
        <v>292</v>
      </c>
      <c r="F663" s="30"/>
      <c r="G663" s="608">
        <v>0.06</v>
      </c>
      <c r="H663" s="608">
        <v>3</v>
      </c>
      <c r="I663" s="613">
        <f t="shared" ref="I663" si="72">H663*G663</f>
        <v>0.18</v>
      </c>
      <c r="J663" s="608"/>
      <c r="K663" s="608"/>
      <c r="L663" s="608"/>
      <c r="M663" s="611">
        <v>4</v>
      </c>
      <c r="N663" s="605">
        <v>454.87</v>
      </c>
      <c r="O663" s="643">
        <f t="shared" si="71"/>
        <v>81.876599999999996</v>
      </c>
      <c r="P663" s="329" t="s">
        <v>298</v>
      </c>
      <c r="Q663" s="307">
        <v>0.09</v>
      </c>
      <c r="R663" s="308">
        <v>179.8</v>
      </c>
      <c r="S663" s="307">
        <f t="shared" si="70"/>
        <v>16.182000000000002</v>
      </c>
      <c r="T663" s="27"/>
    </row>
    <row r="664" spans="1:20" x14ac:dyDescent="0.25">
      <c r="A664" s="592"/>
      <c r="B664" s="595"/>
      <c r="C664" s="632"/>
      <c r="D664" s="617"/>
      <c r="E664" s="612"/>
      <c r="F664" s="30"/>
      <c r="G664" s="609"/>
      <c r="H664" s="609"/>
      <c r="I664" s="614"/>
      <c r="J664" s="609"/>
      <c r="K664" s="609"/>
      <c r="L664" s="609"/>
      <c r="M664" s="612"/>
      <c r="N664" s="606"/>
      <c r="O664" s="644"/>
      <c r="P664" s="330" t="s">
        <v>302</v>
      </c>
      <c r="Q664" s="331">
        <v>0.05</v>
      </c>
      <c r="R664" s="308">
        <v>950</v>
      </c>
      <c r="S664" s="307">
        <f t="shared" si="70"/>
        <v>47.5</v>
      </c>
      <c r="T664" s="27"/>
    </row>
    <row r="665" spans="1:20" ht="31.5" x14ac:dyDescent="0.25">
      <c r="A665" s="592"/>
      <c r="B665" s="595"/>
      <c r="C665" s="632"/>
      <c r="D665" s="617"/>
      <c r="E665" s="612"/>
      <c r="F665" s="30"/>
      <c r="G665" s="609"/>
      <c r="H665" s="609"/>
      <c r="I665" s="614"/>
      <c r="J665" s="609"/>
      <c r="K665" s="609"/>
      <c r="L665" s="609"/>
      <c r="M665" s="612"/>
      <c r="N665" s="606"/>
      <c r="O665" s="644"/>
      <c r="P665" s="329" t="s">
        <v>311</v>
      </c>
      <c r="Q665" s="307">
        <v>0.01</v>
      </c>
      <c r="R665" s="308">
        <v>1385</v>
      </c>
      <c r="S665" s="307">
        <f t="shared" si="70"/>
        <v>13.85</v>
      </c>
      <c r="T665" s="27"/>
    </row>
    <row r="666" spans="1:20" x14ac:dyDescent="0.25">
      <c r="A666" s="592"/>
      <c r="B666" s="595"/>
      <c r="C666" s="632"/>
      <c r="D666" s="617"/>
      <c r="E666" s="612"/>
      <c r="F666" s="30"/>
      <c r="G666" s="609"/>
      <c r="H666" s="609"/>
      <c r="I666" s="614"/>
      <c r="J666" s="609"/>
      <c r="K666" s="609"/>
      <c r="L666" s="609"/>
      <c r="M666" s="612"/>
      <c r="N666" s="606"/>
      <c r="O666" s="644"/>
      <c r="P666" s="330" t="s">
        <v>327</v>
      </c>
      <c r="Q666" s="331">
        <v>0.04</v>
      </c>
      <c r="R666" s="308">
        <v>302</v>
      </c>
      <c r="S666" s="307">
        <f t="shared" si="70"/>
        <v>12.08</v>
      </c>
      <c r="T666" s="27"/>
    </row>
    <row r="667" spans="1:20" x14ac:dyDescent="0.25">
      <c r="A667" s="592"/>
      <c r="B667" s="595"/>
      <c r="C667" s="632"/>
      <c r="D667" s="617"/>
      <c r="E667" s="612"/>
      <c r="F667" s="30"/>
      <c r="G667" s="609"/>
      <c r="H667" s="609"/>
      <c r="I667" s="614"/>
      <c r="J667" s="609"/>
      <c r="K667" s="609"/>
      <c r="L667" s="609"/>
      <c r="M667" s="612"/>
      <c r="N667" s="606"/>
      <c r="O667" s="644"/>
      <c r="P667" s="329" t="s">
        <v>318</v>
      </c>
      <c r="Q667" s="331">
        <v>2</v>
      </c>
      <c r="R667" s="308">
        <v>256.5</v>
      </c>
      <c r="S667" s="307">
        <f t="shared" si="70"/>
        <v>513</v>
      </c>
      <c r="T667" s="27"/>
    </row>
    <row r="668" spans="1:20" x14ac:dyDescent="0.25">
      <c r="A668" s="592"/>
      <c r="B668" s="595"/>
      <c r="C668" s="632"/>
      <c r="D668" s="617"/>
      <c r="E668" s="612"/>
      <c r="F668" s="30"/>
      <c r="G668" s="609"/>
      <c r="H668" s="609"/>
      <c r="I668" s="614"/>
      <c r="J668" s="609"/>
      <c r="K668" s="609"/>
      <c r="L668" s="609"/>
      <c r="M668" s="612"/>
      <c r="N668" s="606"/>
      <c r="O668" s="644"/>
      <c r="P668" s="330" t="s">
        <v>325</v>
      </c>
      <c r="Q668" s="307">
        <v>0.01</v>
      </c>
      <c r="R668" s="308">
        <v>649</v>
      </c>
      <c r="S668" s="307">
        <f t="shared" si="70"/>
        <v>6.49</v>
      </c>
      <c r="T668" s="27"/>
    </row>
    <row r="669" spans="1:20" x14ac:dyDescent="0.25">
      <c r="A669" s="592"/>
      <c r="B669" s="595"/>
      <c r="C669" s="632"/>
      <c r="D669" s="617"/>
      <c r="E669" s="612"/>
      <c r="F669" s="30"/>
      <c r="G669" s="609"/>
      <c r="H669" s="609"/>
      <c r="I669" s="614"/>
      <c r="J669" s="609"/>
      <c r="K669" s="609"/>
      <c r="L669" s="609"/>
      <c r="M669" s="612"/>
      <c r="N669" s="606"/>
      <c r="O669" s="644"/>
      <c r="P669" s="330" t="s">
        <v>324</v>
      </c>
      <c r="Q669" s="331">
        <v>1</v>
      </c>
      <c r="R669" s="308">
        <v>44</v>
      </c>
      <c r="S669" s="307">
        <f t="shared" si="70"/>
        <v>44</v>
      </c>
      <c r="T669" s="27"/>
    </row>
    <row r="670" spans="1:20" ht="31.5" x14ac:dyDescent="0.25">
      <c r="A670" s="592"/>
      <c r="B670" s="595"/>
      <c r="C670" s="632"/>
      <c r="D670" s="617"/>
      <c r="E670" s="490"/>
      <c r="F670" s="30"/>
      <c r="G670" s="610"/>
      <c r="H670" s="610"/>
      <c r="I670" s="615"/>
      <c r="J670" s="610"/>
      <c r="K670" s="610"/>
      <c r="L670" s="610"/>
      <c r="M670" s="490"/>
      <c r="N670" s="607"/>
      <c r="O670" s="645"/>
      <c r="P670" s="329" t="s">
        <v>291</v>
      </c>
      <c r="Q670" s="307">
        <v>0.02</v>
      </c>
      <c r="R670" s="308">
        <v>34</v>
      </c>
      <c r="S670" s="307">
        <f t="shared" si="70"/>
        <v>0.68</v>
      </c>
      <c r="T670" s="27"/>
    </row>
    <row r="671" spans="1:20" x14ac:dyDescent="0.25">
      <c r="A671" s="592"/>
      <c r="B671" s="595"/>
      <c r="C671" s="628"/>
      <c r="D671" s="604"/>
      <c r="E671" s="34" t="s">
        <v>294</v>
      </c>
      <c r="F671" s="30"/>
      <c r="G671" s="27">
        <v>1.26</v>
      </c>
      <c r="H671" s="27">
        <v>1</v>
      </c>
      <c r="I671" s="238">
        <f t="shared" ref="I671" si="73">H671*G671</f>
        <v>1.26</v>
      </c>
      <c r="J671" s="27"/>
      <c r="K671" s="27"/>
      <c r="L671" s="27"/>
      <c r="M671" s="387">
        <v>4</v>
      </c>
      <c r="N671" s="385">
        <v>454.87</v>
      </c>
      <c r="O671" s="328">
        <f t="shared" si="71"/>
        <v>573.13620000000003</v>
      </c>
      <c r="P671" s="329"/>
      <c r="Q671" s="27"/>
      <c r="R671" s="308"/>
      <c r="S671" s="307"/>
      <c r="T671" s="27"/>
    </row>
    <row r="672" spans="1:20" x14ac:dyDescent="0.25">
      <c r="A672" s="592"/>
      <c r="B672" s="595"/>
      <c r="C672" s="627" t="s">
        <v>356</v>
      </c>
      <c r="D672" s="603">
        <v>1</v>
      </c>
      <c r="E672" s="30" t="s">
        <v>43</v>
      </c>
      <c r="F672" s="30"/>
      <c r="G672" s="332">
        <v>2E-3</v>
      </c>
      <c r="H672" s="332">
        <v>2</v>
      </c>
      <c r="I672" s="333">
        <v>3.0888</v>
      </c>
      <c r="J672" s="333">
        <v>6</v>
      </c>
      <c r="K672" s="334"/>
      <c r="L672" s="334"/>
      <c r="M672" s="399">
        <v>6</v>
      </c>
      <c r="N672" s="385">
        <v>454.87</v>
      </c>
      <c r="O672" s="328">
        <f t="shared" si="71"/>
        <v>1405.0024559999999</v>
      </c>
      <c r="P672" s="329"/>
      <c r="Q672" s="307"/>
      <c r="R672" s="308"/>
      <c r="S672" s="307"/>
      <c r="T672" s="27"/>
    </row>
    <row r="673" spans="1:20" x14ac:dyDescent="0.25">
      <c r="A673" s="592"/>
      <c r="B673" s="595"/>
      <c r="C673" s="628"/>
      <c r="D673" s="604"/>
      <c r="E673" s="30" t="s">
        <v>44</v>
      </c>
      <c r="F673" s="30"/>
      <c r="G673" s="332">
        <v>2E-3</v>
      </c>
      <c r="H673" s="332">
        <v>4</v>
      </c>
      <c r="I673" s="333">
        <v>3.0888</v>
      </c>
      <c r="J673" s="333">
        <v>6</v>
      </c>
      <c r="K673" s="27"/>
      <c r="L673" s="27"/>
      <c r="M673" s="387">
        <v>6</v>
      </c>
      <c r="N673" s="385">
        <v>454.87</v>
      </c>
      <c r="O673" s="328">
        <f t="shared" si="71"/>
        <v>1405.0024559999999</v>
      </c>
      <c r="P673" s="330"/>
      <c r="Q673" s="27"/>
      <c r="R673" s="308"/>
      <c r="S673" s="307"/>
      <c r="T673" s="27"/>
    </row>
    <row r="674" spans="1:20" x14ac:dyDescent="0.25">
      <c r="A674" s="592"/>
      <c r="B674" s="595"/>
      <c r="C674" s="627" t="s">
        <v>360</v>
      </c>
      <c r="D674" s="603">
        <v>2</v>
      </c>
      <c r="E674" s="30" t="s">
        <v>43</v>
      </c>
      <c r="F674" s="30"/>
      <c r="G674" s="326">
        <v>5.0000000000000001E-3</v>
      </c>
      <c r="H674" s="335">
        <v>2</v>
      </c>
      <c r="I674" s="339">
        <v>3.8610000000000002</v>
      </c>
      <c r="J674" s="27"/>
      <c r="K674" s="27"/>
      <c r="L674" s="27"/>
      <c r="M674" s="387">
        <v>6</v>
      </c>
      <c r="N674" s="385">
        <v>454.87</v>
      </c>
      <c r="O674" s="328">
        <f t="shared" si="71"/>
        <v>1756.2530700000002</v>
      </c>
      <c r="P674" s="330"/>
      <c r="Q674" s="27"/>
      <c r="R674" s="308"/>
      <c r="S674" s="307"/>
      <c r="T674" s="27"/>
    </row>
    <row r="675" spans="1:20" x14ac:dyDescent="0.25">
      <c r="A675" s="592"/>
      <c r="B675" s="595"/>
      <c r="C675" s="628"/>
      <c r="D675" s="604"/>
      <c r="E675" s="30" t="s">
        <v>44</v>
      </c>
      <c r="F675" s="30"/>
      <c r="G675" s="326">
        <v>5.0000000000000001E-4</v>
      </c>
      <c r="H675" s="335">
        <v>4</v>
      </c>
      <c r="I675" s="337">
        <v>0.3861</v>
      </c>
      <c r="J675" s="27"/>
      <c r="K675" s="27"/>
      <c r="L675" s="27"/>
      <c r="M675" s="387">
        <v>6</v>
      </c>
      <c r="N675" s="385">
        <v>454.87</v>
      </c>
      <c r="O675" s="328">
        <f t="shared" si="71"/>
        <v>175.62530699999999</v>
      </c>
      <c r="P675" s="330"/>
      <c r="Q675" s="27"/>
      <c r="R675" s="308"/>
      <c r="S675" s="307"/>
      <c r="T675" s="27"/>
    </row>
    <row r="676" spans="1:20" x14ac:dyDescent="0.25">
      <c r="A676" s="592"/>
      <c r="B676" s="595"/>
      <c r="C676" s="627" t="s">
        <v>349</v>
      </c>
      <c r="D676" s="603">
        <v>2</v>
      </c>
      <c r="E676" s="30" t="s">
        <v>43</v>
      </c>
      <c r="F676" s="30"/>
      <c r="G676" s="332">
        <v>1E-3</v>
      </c>
      <c r="H676" s="332">
        <v>2</v>
      </c>
      <c r="I676" s="337">
        <v>3.0888</v>
      </c>
      <c r="J676" s="27"/>
      <c r="K676" s="27"/>
      <c r="L676" s="27"/>
      <c r="M676" s="387">
        <v>6</v>
      </c>
      <c r="N676" s="385">
        <v>454.87</v>
      </c>
      <c r="O676" s="328">
        <f t="shared" si="71"/>
        <v>1405.0024559999999</v>
      </c>
      <c r="P676" s="330"/>
      <c r="Q676" s="27"/>
      <c r="R676" s="308"/>
      <c r="S676" s="307"/>
      <c r="T676" s="27"/>
    </row>
    <row r="677" spans="1:20" x14ac:dyDescent="0.25">
      <c r="A677" s="592"/>
      <c r="B677" s="595"/>
      <c r="C677" s="628"/>
      <c r="D677" s="604"/>
      <c r="E677" s="30" t="s">
        <v>44</v>
      </c>
      <c r="F677" s="30"/>
      <c r="G677" s="332">
        <v>1E-4</v>
      </c>
      <c r="H677" s="332">
        <v>4</v>
      </c>
      <c r="I677" s="338">
        <v>0.30887999999999999</v>
      </c>
      <c r="J677" s="27"/>
      <c r="K677" s="27"/>
      <c r="L677" s="27"/>
      <c r="M677" s="387">
        <v>6</v>
      </c>
      <c r="N677" s="385">
        <v>454.87</v>
      </c>
      <c r="O677" s="328">
        <f t="shared" si="71"/>
        <v>140.5002456</v>
      </c>
      <c r="P677" s="330"/>
      <c r="Q677" s="27"/>
      <c r="R677" s="308"/>
      <c r="S677" s="307"/>
      <c r="T677" s="27"/>
    </row>
    <row r="678" spans="1:20" x14ac:dyDescent="0.25">
      <c r="A678" s="592"/>
      <c r="B678" s="595"/>
      <c r="C678" s="627" t="s">
        <v>361</v>
      </c>
      <c r="D678" s="603">
        <v>1</v>
      </c>
      <c r="E678" s="30" t="s">
        <v>43</v>
      </c>
      <c r="F678" s="30"/>
      <c r="G678" s="326">
        <v>5.0000000000000001E-3</v>
      </c>
      <c r="H678" s="335">
        <v>2</v>
      </c>
      <c r="I678" s="333">
        <v>1.9305000000000001</v>
      </c>
      <c r="J678" s="336"/>
      <c r="K678" s="27"/>
      <c r="L678" s="27"/>
      <c r="M678" s="387">
        <v>6</v>
      </c>
      <c r="N678" s="385">
        <v>454.87</v>
      </c>
      <c r="O678" s="328">
        <f t="shared" si="71"/>
        <v>878.1265350000001</v>
      </c>
      <c r="P678" s="330"/>
      <c r="Q678" s="27"/>
      <c r="R678" s="308"/>
      <c r="S678" s="307"/>
      <c r="T678" s="27"/>
    </row>
    <row r="679" spans="1:20" x14ac:dyDescent="0.25">
      <c r="A679" s="592"/>
      <c r="B679" s="595"/>
      <c r="C679" s="628"/>
      <c r="D679" s="604"/>
      <c r="E679" s="30" t="s">
        <v>44</v>
      </c>
      <c r="F679" s="30"/>
      <c r="G679" s="326">
        <v>5.0000000000000001E-4</v>
      </c>
      <c r="H679" s="335">
        <v>4</v>
      </c>
      <c r="I679" s="333">
        <v>0.19305</v>
      </c>
      <c r="J679" s="27"/>
      <c r="K679" s="27"/>
      <c r="L679" s="27"/>
      <c r="M679" s="387">
        <v>6</v>
      </c>
      <c r="N679" s="385">
        <v>454.87</v>
      </c>
      <c r="O679" s="328">
        <f t="shared" si="71"/>
        <v>87.812653499999996</v>
      </c>
      <c r="P679" s="330"/>
      <c r="Q679" s="27"/>
      <c r="R679" s="308"/>
      <c r="S679" s="307"/>
      <c r="T679" s="27"/>
    </row>
    <row r="680" spans="1:20" x14ac:dyDescent="0.25">
      <c r="A680" s="593"/>
      <c r="B680" s="596"/>
      <c r="C680" s="208" t="s">
        <v>362</v>
      </c>
      <c r="D680" s="240">
        <v>1</v>
      </c>
      <c r="E680" s="30" t="s">
        <v>44</v>
      </c>
      <c r="F680" s="30"/>
      <c r="G680" s="326">
        <v>5.0000000000000001E-4</v>
      </c>
      <c r="H680" s="335">
        <v>4</v>
      </c>
      <c r="I680" s="333">
        <v>0.19305</v>
      </c>
      <c r="J680" s="27"/>
      <c r="K680" s="27"/>
      <c r="L680" s="27"/>
      <c r="M680" s="387">
        <v>6</v>
      </c>
      <c r="N680" s="385">
        <v>454.87</v>
      </c>
      <c r="O680" s="328">
        <f t="shared" si="71"/>
        <v>87.812653499999996</v>
      </c>
      <c r="P680" s="330"/>
      <c r="Q680" s="27"/>
      <c r="R680" s="308"/>
      <c r="S680" s="307"/>
      <c r="T680" s="27"/>
    </row>
    <row r="681" spans="1:20" x14ac:dyDescent="0.25">
      <c r="A681" s="591">
        <v>6</v>
      </c>
      <c r="B681" s="594" t="s">
        <v>1030</v>
      </c>
      <c r="C681" s="601" t="s">
        <v>330</v>
      </c>
      <c r="D681" s="603">
        <v>1</v>
      </c>
      <c r="E681" s="611" t="s">
        <v>290</v>
      </c>
      <c r="F681" s="30"/>
      <c r="G681" s="608">
        <v>0.18</v>
      </c>
      <c r="H681" s="608">
        <v>8</v>
      </c>
      <c r="I681" s="613">
        <f>H681*G681</f>
        <v>1.44</v>
      </c>
      <c r="J681" s="608"/>
      <c r="K681" s="608"/>
      <c r="L681" s="608"/>
      <c r="M681" s="611">
        <v>6</v>
      </c>
      <c r="N681" s="605">
        <v>454.87</v>
      </c>
      <c r="O681" s="643">
        <f t="shared" si="71"/>
        <v>655.01279999999997</v>
      </c>
      <c r="P681" s="329" t="s">
        <v>298</v>
      </c>
      <c r="Q681" s="307">
        <v>0.05</v>
      </c>
      <c r="R681" s="308">
        <v>179.8</v>
      </c>
      <c r="S681" s="307">
        <f t="shared" si="70"/>
        <v>8.99</v>
      </c>
      <c r="T681" s="27"/>
    </row>
    <row r="682" spans="1:20" x14ac:dyDescent="0.25">
      <c r="A682" s="592"/>
      <c r="B682" s="595"/>
      <c r="C682" s="616"/>
      <c r="D682" s="617"/>
      <c r="E682" s="612"/>
      <c r="F682" s="30"/>
      <c r="G682" s="609"/>
      <c r="H682" s="609"/>
      <c r="I682" s="614"/>
      <c r="J682" s="609"/>
      <c r="K682" s="609"/>
      <c r="L682" s="609"/>
      <c r="M682" s="612"/>
      <c r="N682" s="606"/>
      <c r="O682" s="644"/>
      <c r="P682" s="330" t="s">
        <v>325</v>
      </c>
      <c r="Q682" s="307">
        <v>2.5000000000000001E-2</v>
      </c>
      <c r="R682" s="308">
        <v>649</v>
      </c>
      <c r="S682" s="307">
        <f t="shared" si="70"/>
        <v>16.225000000000001</v>
      </c>
      <c r="T682" s="27"/>
    </row>
    <row r="683" spans="1:20" ht="31.5" x14ac:dyDescent="0.25">
      <c r="A683" s="592"/>
      <c r="B683" s="595"/>
      <c r="C683" s="616"/>
      <c r="D683" s="617"/>
      <c r="E683" s="612"/>
      <c r="F683" s="30"/>
      <c r="G683" s="609"/>
      <c r="H683" s="609"/>
      <c r="I683" s="614"/>
      <c r="J683" s="609"/>
      <c r="K683" s="609"/>
      <c r="L683" s="609"/>
      <c r="M683" s="612"/>
      <c r="N683" s="606"/>
      <c r="O683" s="644"/>
      <c r="P683" s="329" t="s">
        <v>297</v>
      </c>
      <c r="Q683" s="307">
        <v>0.01</v>
      </c>
      <c r="R683" s="308">
        <v>875.26</v>
      </c>
      <c r="S683" s="307">
        <f t="shared" si="70"/>
        <v>8.7525999999999993</v>
      </c>
      <c r="T683" s="27"/>
    </row>
    <row r="684" spans="1:20" ht="31.5" x14ac:dyDescent="0.25">
      <c r="A684" s="592"/>
      <c r="B684" s="595"/>
      <c r="C684" s="616"/>
      <c r="D684" s="617"/>
      <c r="E684" s="612"/>
      <c r="F684" s="30"/>
      <c r="G684" s="609"/>
      <c r="H684" s="609"/>
      <c r="I684" s="614"/>
      <c r="J684" s="609"/>
      <c r="K684" s="609"/>
      <c r="L684" s="609"/>
      <c r="M684" s="612"/>
      <c r="N684" s="606"/>
      <c r="O684" s="644"/>
      <c r="P684" s="329" t="s">
        <v>305</v>
      </c>
      <c r="Q684" s="307">
        <v>0.01</v>
      </c>
      <c r="R684" s="308">
        <v>165</v>
      </c>
      <c r="S684" s="307">
        <f t="shared" si="70"/>
        <v>1.6500000000000001</v>
      </c>
      <c r="T684" s="27"/>
    </row>
    <row r="685" spans="1:20" ht="31.5" x14ac:dyDescent="0.25">
      <c r="A685" s="592"/>
      <c r="B685" s="595"/>
      <c r="C685" s="616"/>
      <c r="D685" s="617"/>
      <c r="E685" s="612"/>
      <c r="F685" s="30"/>
      <c r="G685" s="609"/>
      <c r="H685" s="609"/>
      <c r="I685" s="614"/>
      <c r="J685" s="609"/>
      <c r="K685" s="609"/>
      <c r="L685" s="609"/>
      <c r="M685" s="612"/>
      <c r="N685" s="606"/>
      <c r="O685" s="644"/>
      <c r="P685" s="329" t="s">
        <v>291</v>
      </c>
      <c r="Q685" s="307">
        <v>5.0000000000000001E-3</v>
      </c>
      <c r="R685" s="308">
        <v>34</v>
      </c>
      <c r="S685" s="307">
        <f t="shared" si="70"/>
        <v>0.17</v>
      </c>
      <c r="T685" s="27"/>
    </row>
    <row r="686" spans="1:20" ht="31.5" x14ac:dyDescent="0.25">
      <c r="A686" s="592"/>
      <c r="B686" s="595"/>
      <c r="C686" s="616"/>
      <c r="D686" s="617"/>
      <c r="E686" s="612"/>
      <c r="F686" s="30"/>
      <c r="G686" s="609"/>
      <c r="H686" s="609"/>
      <c r="I686" s="614"/>
      <c r="J686" s="609"/>
      <c r="K686" s="609"/>
      <c r="L686" s="609"/>
      <c r="M686" s="612"/>
      <c r="N686" s="606"/>
      <c r="O686" s="644"/>
      <c r="P686" s="329" t="s">
        <v>293</v>
      </c>
      <c r="Q686" s="307">
        <v>4.0000000000000001E-3</v>
      </c>
      <c r="R686" s="308">
        <v>11200</v>
      </c>
      <c r="S686" s="307">
        <f t="shared" si="70"/>
        <v>44.800000000000004</v>
      </c>
      <c r="T686" s="27"/>
    </row>
    <row r="687" spans="1:20" ht="31.5" x14ac:dyDescent="0.25">
      <c r="A687" s="592"/>
      <c r="B687" s="595"/>
      <c r="C687" s="616"/>
      <c r="D687" s="617"/>
      <c r="E687" s="490"/>
      <c r="F687" s="30"/>
      <c r="G687" s="610"/>
      <c r="H687" s="610"/>
      <c r="I687" s="615"/>
      <c r="J687" s="610"/>
      <c r="K687" s="610"/>
      <c r="L687" s="610"/>
      <c r="M687" s="490"/>
      <c r="N687" s="607"/>
      <c r="O687" s="645"/>
      <c r="P687" s="329" t="s">
        <v>295</v>
      </c>
      <c r="Q687" s="307">
        <v>3.0000000000000001E-3</v>
      </c>
      <c r="R687" s="308">
        <v>2350</v>
      </c>
      <c r="S687" s="307">
        <f t="shared" si="70"/>
        <v>7.05</v>
      </c>
      <c r="T687" s="27"/>
    </row>
    <row r="688" spans="1:20" x14ac:dyDescent="0.25">
      <c r="A688" s="592"/>
      <c r="B688" s="595"/>
      <c r="C688" s="616"/>
      <c r="D688" s="617"/>
      <c r="E688" s="611" t="s">
        <v>292</v>
      </c>
      <c r="F688" s="30"/>
      <c r="G688" s="608">
        <v>0.73</v>
      </c>
      <c r="H688" s="608">
        <v>3</v>
      </c>
      <c r="I688" s="613">
        <f t="shared" ref="I688" si="74">H688*G688</f>
        <v>2.19</v>
      </c>
      <c r="J688" s="608"/>
      <c r="K688" s="608"/>
      <c r="L688" s="608"/>
      <c r="M688" s="611">
        <v>6</v>
      </c>
      <c r="N688" s="605">
        <v>454.87</v>
      </c>
      <c r="O688" s="643">
        <f t="shared" si="71"/>
        <v>996.1653</v>
      </c>
      <c r="P688" s="329" t="s">
        <v>298</v>
      </c>
      <c r="Q688" s="307">
        <v>0.08</v>
      </c>
      <c r="R688" s="308">
        <v>179.8</v>
      </c>
      <c r="S688" s="307">
        <f t="shared" si="70"/>
        <v>14.384</v>
      </c>
      <c r="T688" s="27"/>
    </row>
    <row r="689" spans="1:20" x14ac:dyDescent="0.25">
      <c r="A689" s="592"/>
      <c r="B689" s="595"/>
      <c r="C689" s="616"/>
      <c r="D689" s="617"/>
      <c r="E689" s="612"/>
      <c r="F689" s="30"/>
      <c r="G689" s="609"/>
      <c r="H689" s="609"/>
      <c r="I689" s="614"/>
      <c r="J689" s="609"/>
      <c r="K689" s="609"/>
      <c r="L689" s="609"/>
      <c r="M689" s="612"/>
      <c r="N689" s="606"/>
      <c r="O689" s="644"/>
      <c r="P689" s="330" t="s">
        <v>325</v>
      </c>
      <c r="Q689" s="307">
        <v>0.03</v>
      </c>
      <c r="R689" s="308">
        <v>649</v>
      </c>
      <c r="S689" s="307">
        <f t="shared" si="70"/>
        <v>19.47</v>
      </c>
      <c r="T689" s="27"/>
    </row>
    <row r="690" spans="1:20" ht="31.5" x14ac:dyDescent="0.25">
      <c r="A690" s="592"/>
      <c r="B690" s="595"/>
      <c r="C690" s="616"/>
      <c r="D690" s="617"/>
      <c r="E690" s="612"/>
      <c r="F690" s="30"/>
      <c r="G690" s="609"/>
      <c r="H690" s="609"/>
      <c r="I690" s="614"/>
      <c r="J690" s="609"/>
      <c r="K690" s="609"/>
      <c r="L690" s="609"/>
      <c r="M690" s="612"/>
      <c r="N690" s="606"/>
      <c r="O690" s="644"/>
      <c r="P690" s="329" t="s">
        <v>297</v>
      </c>
      <c r="Q690" s="307">
        <v>0.02</v>
      </c>
      <c r="R690" s="308">
        <v>875.26</v>
      </c>
      <c r="S690" s="307">
        <f t="shared" si="70"/>
        <v>17.505199999999999</v>
      </c>
      <c r="T690" s="27"/>
    </row>
    <row r="691" spans="1:20" ht="31.5" x14ac:dyDescent="0.25">
      <c r="A691" s="592"/>
      <c r="B691" s="595"/>
      <c r="C691" s="616"/>
      <c r="D691" s="617"/>
      <c r="E691" s="612"/>
      <c r="F691" s="30"/>
      <c r="G691" s="609"/>
      <c r="H691" s="609"/>
      <c r="I691" s="614"/>
      <c r="J691" s="609"/>
      <c r="K691" s="609"/>
      <c r="L691" s="609"/>
      <c r="M691" s="612"/>
      <c r="N691" s="606"/>
      <c r="O691" s="644"/>
      <c r="P691" s="329" t="s">
        <v>305</v>
      </c>
      <c r="Q691" s="307">
        <v>0.01</v>
      </c>
      <c r="R691" s="308">
        <v>165</v>
      </c>
      <c r="S691" s="307">
        <f t="shared" si="70"/>
        <v>1.6500000000000001</v>
      </c>
      <c r="T691" s="27"/>
    </row>
    <row r="692" spans="1:20" ht="31.5" x14ac:dyDescent="0.25">
      <c r="A692" s="592"/>
      <c r="B692" s="595"/>
      <c r="C692" s="616"/>
      <c r="D692" s="617"/>
      <c r="E692" s="612"/>
      <c r="F692" s="30"/>
      <c r="G692" s="609"/>
      <c r="H692" s="609"/>
      <c r="I692" s="614"/>
      <c r="J692" s="609"/>
      <c r="K692" s="609"/>
      <c r="L692" s="609"/>
      <c r="M692" s="612"/>
      <c r="N692" s="606"/>
      <c r="O692" s="644"/>
      <c r="P692" s="329" t="s">
        <v>291</v>
      </c>
      <c r="Q692" s="307">
        <v>6.0000000000000001E-3</v>
      </c>
      <c r="R692" s="308">
        <v>34</v>
      </c>
      <c r="S692" s="307">
        <f t="shared" si="70"/>
        <v>0.20400000000000001</v>
      </c>
      <c r="T692" s="27"/>
    </row>
    <row r="693" spans="1:20" ht="31.5" x14ac:dyDescent="0.25">
      <c r="A693" s="592"/>
      <c r="B693" s="595"/>
      <c r="C693" s="616"/>
      <c r="D693" s="617"/>
      <c r="E693" s="612"/>
      <c r="F693" s="30"/>
      <c r="G693" s="609"/>
      <c r="H693" s="609"/>
      <c r="I693" s="614"/>
      <c r="J693" s="609"/>
      <c r="K693" s="609"/>
      <c r="L693" s="609"/>
      <c r="M693" s="612"/>
      <c r="N693" s="606"/>
      <c r="O693" s="644"/>
      <c r="P693" s="329" t="s">
        <v>293</v>
      </c>
      <c r="Q693" s="307">
        <v>5.0000000000000001E-3</v>
      </c>
      <c r="R693" s="308">
        <v>11200</v>
      </c>
      <c r="S693" s="307">
        <f t="shared" si="70"/>
        <v>56</v>
      </c>
      <c r="T693" s="27"/>
    </row>
    <row r="694" spans="1:20" ht="31.5" x14ac:dyDescent="0.25">
      <c r="A694" s="592"/>
      <c r="B694" s="595"/>
      <c r="C694" s="616"/>
      <c r="D694" s="617"/>
      <c r="E694" s="490"/>
      <c r="F694" s="30"/>
      <c r="G694" s="610"/>
      <c r="H694" s="610"/>
      <c r="I694" s="615"/>
      <c r="J694" s="610"/>
      <c r="K694" s="610"/>
      <c r="L694" s="610"/>
      <c r="M694" s="490"/>
      <c r="N694" s="607"/>
      <c r="O694" s="645"/>
      <c r="P694" s="329" t="s">
        <v>295</v>
      </c>
      <c r="Q694" s="307">
        <v>4.0000000000000001E-3</v>
      </c>
      <c r="R694" s="308">
        <v>2350</v>
      </c>
      <c r="S694" s="307">
        <f t="shared" si="70"/>
        <v>9.4</v>
      </c>
      <c r="T694" s="27"/>
    </row>
    <row r="695" spans="1:20" x14ac:dyDescent="0.25">
      <c r="A695" s="592"/>
      <c r="B695" s="595"/>
      <c r="C695" s="602"/>
      <c r="D695" s="604"/>
      <c r="E695" s="34" t="s">
        <v>294</v>
      </c>
      <c r="F695" s="30"/>
      <c r="G695" s="27">
        <v>5.75</v>
      </c>
      <c r="H695" s="27">
        <v>1</v>
      </c>
      <c r="I695" s="238">
        <f t="shared" ref="I695" si="75">H695*G695</f>
        <v>5.75</v>
      </c>
      <c r="J695" s="27"/>
      <c r="K695" s="27"/>
      <c r="L695" s="27"/>
      <c r="M695" s="387">
        <v>6</v>
      </c>
      <c r="N695" s="385">
        <v>454.87</v>
      </c>
      <c r="O695" s="328">
        <f t="shared" si="71"/>
        <v>2615.5025000000001</v>
      </c>
      <c r="P695" s="330" t="s">
        <v>328</v>
      </c>
      <c r="Q695" s="27"/>
      <c r="R695" s="308"/>
      <c r="S695" s="307">
        <f t="shared" si="70"/>
        <v>0</v>
      </c>
      <c r="T695" s="27"/>
    </row>
    <row r="696" spans="1:20" ht="31.5" x14ac:dyDescent="0.25">
      <c r="A696" s="592"/>
      <c r="B696" s="595"/>
      <c r="C696" s="601" t="s">
        <v>331</v>
      </c>
      <c r="D696" s="603">
        <v>1</v>
      </c>
      <c r="E696" s="611" t="s">
        <v>290</v>
      </c>
      <c r="F696" s="30"/>
      <c r="G696" s="611">
        <v>1.03</v>
      </c>
      <c r="H696" s="611">
        <v>8</v>
      </c>
      <c r="I696" s="618">
        <f>H696*G696</f>
        <v>8.24</v>
      </c>
      <c r="J696" s="621"/>
      <c r="K696" s="624"/>
      <c r="L696" s="624"/>
      <c r="M696" s="611">
        <v>4</v>
      </c>
      <c r="N696" s="605">
        <v>454.87</v>
      </c>
      <c r="O696" s="643">
        <f t="shared" si="71"/>
        <v>3748.1288</v>
      </c>
      <c r="P696" s="329" t="s">
        <v>297</v>
      </c>
      <c r="Q696" s="307">
        <v>0.04</v>
      </c>
      <c r="R696" s="308">
        <v>875.26</v>
      </c>
      <c r="S696" s="307">
        <f t="shared" si="70"/>
        <v>35.010399999999997</v>
      </c>
      <c r="T696" s="27"/>
    </row>
    <row r="697" spans="1:20" x14ac:dyDescent="0.25">
      <c r="A697" s="592"/>
      <c r="B697" s="595"/>
      <c r="C697" s="616"/>
      <c r="D697" s="617"/>
      <c r="E697" s="612"/>
      <c r="F697" s="30"/>
      <c r="G697" s="612"/>
      <c r="H697" s="612"/>
      <c r="I697" s="619"/>
      <c r="J697" s="622"/>
      <c r="K697" s="625"/>
      <c r="L697" s="625"/>
      <c r="M697" s="612"/>
      <c r="N697" s="606"/>
      <c r="O697" s="644"/>
      <c r="P697" s="329" t="s">
        <v>298</v>
      </c>
      <c r="Q697" s="307">
        <v>0.05</v>
      </c>
      <c r="R697" s="308">
        <v>179.8</v>
      </c>
      <c r="S697" s="307">
        <f t="shared" si="70"/>
        <v>8.99</v>
      </c>
      <c r="T697" s="27"/>
    </row>
    <row r="698" spans="1:20" ht="31.5" x14ac:dyDescent="0.25">
      <c r="A698" s="592"/>
      <c r="B698" s="595"/>
      <c r="C698" s="616"/>
      <c r="D698" s="617"/>
      <c r="E698" s="612"/>
      <c r="F698" s="30"/>
      <c r="G698" s="612"/>
      <c r="H698" s="612"/>
      <c r="I698" s="619"/>
      <c r="J698" s="622"/>
      <c r="K698" s="625"/>
      <c r="L698" s="625"/>
      <c r="M698" s="612"/>
      <c r="N698" s="606"/>
      <c r="O698" s="644"/>
      <c r="P698" s="329" t="s">
        <v>291</v>
      </c>
      <c r="Q698" s="307">
        <v>0.1</v>
      </c>
      <c r="R698" s="308">
        <v>34</v>
      </c>
      <c r="S698" s="307">
        <f t="shared" si="70"/>
        <v>3.4000000000000004</v>
      </c>
      <c r="T698" s="27"/>
    </row>
    <row r="699" spans="1:20" x14ac:dyDescent="0.25">
      <c r="A699" s="592"/>
      <c r="B699" s="595"/>
      <c r="C699" s="616"/>
      <c r="D699" s="617"/>
      <c r="E699" s="612"/>
      <c r="F699" s="30"/>
      <c r="G699" s="612"/>
      <c r="H699" s="612"/>
      <c r="I699" s="619"/>
      <c r="J699" s="622"/>
      <c r="K699" s="625"/>
      <c r="L699" s="625"/>
      <c r="M699" s="612"/>
      <c r="N699" s="606"/>
      <c r="O699" s="644"/>
      <c r="P699" s="329" t="s">
        <v>299</v>
      </c>
      <c r="Q699" s="307">
        <v>2</v>
      </c>
      <c r="R699" s="308">
        <v>4.0999999999999996</v>
      </c>
      <c r="S699" s="307">
        <f t="shared" si="70"/>
        <v>8.1999999999999993</v>
      </c>
      <c r="T699" s="27"/>
    </row>
    <row r="700" spans="1:20" x14ac:dyDescent="0.25">
      <c r="A700" s="592"/>
      <c r="B700" s="595"/>
      <c r="C700" s="616"/>
      <c r="D700" s="617"/>
      <c r="E700" s="490"/>
      <c r="F700" s="30"/>
      <c r="G700" s="490"/>
      <c r="H700" s="490"/>
      <c r="I700" s="620"/>
      <c r="J700" s="623"/>
      <c r="K700" s="626"/>
      <c r="L700" s="626"/>
      <c r="M700" s="490"/>
      <c r="N700" s="607"/>
      <c r="O700" s="645"/>
      <c r="P700" s="329" t="s">
        <v>300</v>
      </c>
      <c r="Q700" s="307">
        <v>0.25</v>
      </c>
      <c r="R700" s="308">
        <v>272</v>
      </c>
      <c r="S700" s="307">
        <f t="shared" si="70"/>
        <v>68</v>
      </c>
      <c r="T700" s="27"/>
    </row>
    <row r="701" spans="1:20" x14ac:dyDescent="0.25">
      <c r="A701" s="592"/>
      <c r="B701" s="595"/>
      <c r="C701" s="616"/>
      <c r="D701" s="617"/>
      <c r="E701" s="611" t="s">
        <v>292</v>
      </c>
      <c r="F701" s="30"/>
      <c r="G701" s="608">
        <v>2.46</v>
      </c>
      <c r="H701" s="608">
        <v>3</v>
      </c>
      <c r="I701" s="613">
        <f t="shared" ref="I701" si="76">H701*G701</f>
        <v>7.38</v>
      </c>
      <c r="J701" s="608"/>
      <c r="K701" s="608"/>
      <c r="L701" s="608"/>
      <c r="M701" s="611">
        <v>4</v>
      </c>
      <c r="N701" s="605">
        <v>454.87</v>
      </c>
      <c r="O701" s="643">
        <f t="shared" si="71"/>
        <v>3356.9405999999999</v>
      </c>
      <c r="P701" s="329" t="s">
        <v>298</v>
      </c>
      <c r="Q701" s="307">
        <v>0.2</v>
      </c>
      <c r="R701" s="308">
        <v>179.8</v>
      </c>
      <c r="S701" s="307">
        <f t="shared" si="70"/>
        <v>35.96</v>
      </c>
      <c r="T701" s="27"/>
    </row>
    <row r="702" spans="1:20" ht="31.5" x14ac:dyDescent="0.25">
      <c r="A702" s="592"/>
      <c r="B702" s="595"/>
      <c r="C702" s="616"/>
      <c r="D702" s="617"/>
      <c r="E702" s="612"/>
      <c r="F702" s="30"/>
      <c r="G702" s="609"/>
      <c r="H702" s="609"/>
      <c r="I702" s="614"/>
      <c r="J702" s="609"/>
      <c r="K702" s="609"/>
      <c r="L702" s="609"/>
      <c r="M702" s="612"/>
      <c r="N702" s="606"/>
      <c r="O702" s="644"/>
      <c r="P702" s="329" t="s">
        <v>297</v>
      </c>
      <c r="Q702" s="307">
        <v>0.01</v>
      </c>
      <c r="R702" s="308">
        <v>875.26</v>
      </c>
      <c r="S702" s="307">
        <f t="shared" si="70"/>
        <v>8.7525999999999993</v>
      </c>
      <c r="T702" s="27"/>
    </row>
    <row r="703" spans="1:20" ht="31.5" x14ac:dyDescent="0.25">
      <c r="A703" s="592"/>
      <c r="B703" s="595"/>
      <c r="C703" s="616"/>
      <c r="D703" s="617"/>
      <c r="E703" s="612"/>
      <c r="F703" s="30"/>
      <c r="G703" s="609"/>
      <c r="H703" s="609"/>
      <c r="I703" s="614"/>
      <c r="J703" s="609"/>
      <c r="K703" s="609"/>
      <c r="L703" s="609"/>
      <c r="M703" s="612"/>
      <c r="N703" s="606"/>
      <c r="O703" s="644"/>
      <c r="P703" s="329" t="s">
        <v>293</v>
      </c>
      <c r="Q703" s="307">
        <v>6.0000000000000001E-3</v>
      </c>
      <c r="R703" s="308">
        <v>11200</v>
      </c>
      <c r="S703" s="307">
        <f t="shared" si="70"/>
        <v>67.2</v>
      </c>
      <c r="T703" s="27"/>
    </row>
    <row r="704" spans="1:20" ht="31.5" x14ac:dyDescent="0.25">
      <c r="A704" s="592"/>
      <c r="B704" s="595"/>
      <c r="C704" s="616"/>
      <c r="D704" s="617"/>
      <c r="E704" s="612"/>
      <c r="F704" s="30"/>
      <c r="G704" s="609"/>
      <c r="H704" s="609"/>
      <c r="I704" s="614"/>
      <c r="J704" s="609"/>
      <c r="K704" s="609"/>
      <c r="L704" s="609"/>
      <c r="M704" s="612"/>
      <c r="N704" s="606"/>
      <c r="O704" s="644"/>
      <c r="P704" s="329" t="s">
        <v>295</v>
      </c>
      <c r="Q704" s="307">
        <v>4.0000000000000001E-3</v>
      </c>
      <c r="R704" s="308">
        <v>2350</v>
      </c>
      <c r="S704" s="307">
        <f t="shared" si="70"/>
        <v>9.4</v>
      </c>
      <c r="T704" s="27"/>
    </row>
    <row r="705" spans="1:20" ht="31.5" x14ac:dyDescent="0.25">
      <c r="A705" s="592"/>
      <c r="B705" s="595"/>
      <c r="C705" s="616"/>
      <c r="D705" s="617"/>
      <c r="E705" s="612"/>
      <c r="F705" s="30"/>
      <c r="G705" s="609"/>
      <c r="H705" s="609"/>
      <c r="I705" s="614"/>
      <c r="J705" s="609"/>
      <c r="K705" s="609"/>
      <c r="L705" s="609"/>
      <c r="M705" s="612"/>
      <c r="N705" s="606"/>
      <c r="O705" s="644"/>
      <c r="P705" s="329" t="s">
        <v>301</v>
      </c>
      <c r="Q705" s="307">
        <v>0.05</v>
      </c>
      <c r="R705" s="308">
        <v>1148</v>
      </c>
      <c r="S705" s="307">
        <f t="shared" si="70"/>
        <v>57.400000000000006</v>
      </c>
      <c r="T705" s="27"/>
    </row>
    <row r="706" spans="1:20" ht="31.5" x14ac:dyDescent="0.25">
      <c r="A706" s="592"/>
      <c r="B706" s="595"/>
      <c r="C706" s="616"/>
      <c r="D706" s="617"/>
      <c r="E706" s="612"/>
      <c r="F706" s="30"/>
      <c r="G706" s="609"/>
      <c r="H706" s="609"/>
      <c r="I706" s="614"/>
      <c r="J706" s="609"/>
      <c r="K706" s="609"/>
      <c r="L706" s="609"/>
      <c r="M706" s="612"/>
      <c r="N706" s="606"/>
      <c r="O706" s="644"/>
      <c r="P706" s="329" t="s">
        <v>291</v>
      </c>
      <c r="Q706" s="307">
        <v>0.02</v>
      </c>
      <c r="R706" s="308">
        <v>34</v>
      </c>
      <c r="S706" s="307">
        <f t="shared" si="70"/>
        <v>0.68</v>
      </c>
      <c r="T706" s="27"/>
    </row>
    <row r="707" spans="1:20" x14ac:dyDescent="0.25">
      <c r="A707" s="592"/>
      <c r="B707" s="595"/>
      <c r="C707" s="616"/>
      <c r="D707" s="617"/>
      <c r="E707" s="612"/>
      <c r="F707" s="30"/>
      <c r="G707" s="609"/>
      <c r="H707" s="609"/>
      <c r="I707" s="614"/>
      <c r="J707" s="609"/>
      <c r="K707" s="609"/>
      <c r="L707" s="609"/>
      <c r="M707" s="612"/>
      <c r="N707" s="606"/>
      <c r="O707" s="644"/>
      <c r="P707" s="329" t="s">
        <v>300</v>
      </c>
      <c r="Q707" s="307">
        <v>0.25</v>
      </c>
      <c r="R707" s="308">
        <v>272</v>
      </c>
      <c r="S707" s="307">
        <f t="shared" si="70"/>
        <v>68</v>
      </c>
      <c r="T707" s="27"/>
    </row>
    <row r="708" spans="1:20" x14ac:dyDescent="0.25">
      <c r="A708" s="592"/>
      <c r="B708" s="595"/>
      <c r="C708" s="616"/>
      <c r="D708" s="617"/>
      <c r="E708" s="612"/>
      <c r="F708" s="30"/>
      <c r="G708" s="609"/>
      <c r="H708" s="609"/>
      <c r="I708" s="614"/>
      <c r="J708" s="609"/>
      <c r="K708" s="609"/>
      <c r="L708" s="609"/>
      <c r="M708" s="612"/>
      <c r="N708" s="606"/>
      <c r="O708" s="644"/>
      <c r="P708" s="329" t="s">
        <v>302</v>
      </c>
      <c r="Q708" s="307">
        <v>0.08</v>
      </c>
      <c r="R708" s="308">
        <v>950</v>
      </c>
      <c r="S708" s="307">
        <f t="shared" si="70"/>
        <v>76</v>
      </c>
      <c r="T708" s="27"/>
    </row>
    <row r="709" spans="1:20" ht="31.5" x14ac:dyDescent="0.25">
      <c r="A709" s="592"/>
      <c r="B709" s="595"/>
      <c r="C709" s="616"/>
      <c r="D709" s="617"/>
      <c r="E709" s="490"/>
      <c r="F709" s="30"/>
      <c r="G709" s="610"/>
      <c r="H709" s="610"/>
      <c r="I709" s="615"/>
      <c r="J709" s="610"/>
      <c r="K709" s="610"/>
      <c r="L709" s="610"/>
      <c r="M709" s="490"/>
      <c r="N709" s="607"/>
      <c r="O709" s="645"/>
      <c r="P709" s="329" t="s">
        <v>303</v>
      </c>
      <c r="Q709" s="307">
        <v>1</v>
      </c>
      <c r="R709" s="308">
        <v>6790</v>
      </c>
      <c r="S709" s="307">
        <f t="shared" si="70"/>
        <v>6790</v>
      </c>
      <c r="T709" s="27"/>
    </row>
    <row r="710" spans="1:20" ht="31.5" x14ac:dyDescent="0.25">
      <c r="A710" s="592"/>
      <c r="B710" s="595"/>
      <c r="C710" s="616"/>
      <c r="D710" s="617"/>
      <c r="E710" s="611" t="s">
        <v>294</v>
      </c>
      <c r="F710" s="30"/>
      <c r="G710" s="608">
        <v>8.51</v>
      </c>
      <c r="H710" s="608">
        <v>1</v>
      </c>
      <c r="I710" s="613">
        <f>H710*G710</f>
        <v>8.51</v>
      </c>
      <c r="J710" s="608"/>
      <c r="K710" s="608"/>
      <c r="L710" s="608"/>
      <c r="M710" s="611">
        <v>4</v>
      </c>
      <c r="N710" s="605">
        <v>454.87</v>
      </c>
      <c r="O710" s="643">
        <f t="shared" si="71"/>
        <v>3870.9436999999998</v>
      </c>
      <c r="P710" s="329" t="s">
        <v>293</v>
      </c>
      <c r="Q710" s="307">
        <v>6.0000000000000001E-3</v>
      </c>
      <c r="R710" s="308">
        <v>11200</v>
      </c>
      <c r="S710" s="307">
        <f t="shared" si="70"/>
        <v>67.2</v>
      </c>
      <c r="T710" s="27"/>
    </row>
    <row r="711" spans="1:20" ht="31.5" x14ac:dyDescent="0.25">
      <c r="A711" s="592"/>
      <c r="B711" s="595"/>
      <c r="C711" s="616"/>
      <c r="D711" s="617"/>
      <c r="E711" s="612"/>
      <c r="F711" s="30"/>
      <c r="G711" s="609"/>
      <c r="H711" s="609"/>
      <c r="I711" s="614"/>
      <c r="J711" s="609"/>
      <c r="K711" s="609"/>
      <c r="L711" s="609"/>
      <c r="M711" s="612"/>
      <c r="N711" s="606"/>
      <c r="O711" s="644"/>
      <c r="P711" s="329" t="s">
        <v>295</v>
      </c>
      <c r="Q711" s="307">
        <v>4.0000000000000001E-3</v>
      </c>
      <c r="R711" s="308">
        <v>2350</v>
      </c>
      <c r="S711" s="307">
        <f t="shared" ref="S711:S722" si="77">(Q711*R711)</f>
        <v>9.4</v>
      </c>
      <c r="T711" s="27"/>
    </row>
    <row r="712" spans="1:20" ht="31.5" x14ac:dyDescent="0.25">
      <c r="A712" s="592"/>
      <c r="B712" s="595"/>
      <c r="C712" s="616"/>
      <c r="D712" s="617"/>
      <c r="E712" s="612"/>
      <c r="F712" s="30"/>
      <c r="G712" s="609"/>
      <c r="H712" s="609"/>
      <c r="I712" s="614"/>
      <c r="J712" s="609"/>
      <c r="K712" s="609"/>
      <c r="L712" s="609"/>
      <c r="M712" s="612"/>
      <c r="N712" s="606"/>
      <c r="O712" s="644"/>
      <c r="P712" s="329" t="s">
        <v>291</v>
      </c>
      <c r="Q712" s="307">
        <v>0.02</v>
      </c>
      <c r="R712" s="308">
        <v>34</v>
      </c>
      <c r="S712" s="307">
        <f t="shared" si="77"/>
        <v>0.68</v>
      </c>
      <c r="T712" s="27"/>
    </row>
    <row r="713" spans="1:20" ht="31.5" x14ac:dyDescent="0.25">
      <c r="A713" s="592"/>
      <c r="B713" s="595"/>
      <c r="C713" s="616"/>
      <c r="D713" s="617"/>
      <c r="E713" s="612"/>
      <c r="F713" s="30"/>
      <c r="G713" s="609"/>
      <c r="H713" s="609"/>
      <c r="I713" s="614"/>
      <c r="J713" s="609"/>
      <c r="K713" s="609"/>
      <c r="L713" s="609"/>
      <c r="M713" s="612"/>
      <c r="N713" s="606"/>
      <c r="O713" s="644"/>
      <c r="P713" s="329" t="s">
        <v>301</v>
      </c>
      <c r="Q713" s="307">
        <v>0.05</v>
      </c>
      <c r="R713" s="308">
        <v>1148</v>
      </c>
      <c r="S713" s="307">
        <f t="shared" si="77"/>
        <v>57.400000000000006</v>
      </c>
      <c r="T713" s="27"/>
    </row>
    <row r="714" spans="1:20" x14ac:dyDescent="0.25">
      <c r="A714" s="592"/>
      <c r="B714" s="595"/>
      <c r="C714" s="616"/>
      <c r="D714" s="617"/>
      <c r="E714" s="612"/>
      <c r="F714" s="30"/>
      <c r="G714" s="609"/>
      <c r="H714" s="609"/>
      <c r="I714" s="614"/>
      <c r="J714" s="609"/>
      <c r="K714" s="609"/>
      <c r="L714" s="609"/>
      <c r="M714" s="612"/>
      <c r="N714" s="606"/>
      <c r="O714" s="644"/>
      <c r="P714" s="329" t="s">
        <v>300</v>
      </c>
      <c r="Q714" s="307">
        <v>0.25</v>
      </c>
      <c r="R714" s="308">
        <v>272</v>
      </c>
      <c r="S714" s="307">
        <f t="shared" si="77"/>
        <v>68</v>
      </c>
      <c r="T714" s="27"/>
    </row>
    <row r="715" spans="1:20" x14ac:dyDescent="0.25">
      <c r="A715" s="592"/>
      <c r="B715" s="595"/>
      <c r="C715" s="616"/>
      <c r="D715" s="617"/>
      <c r="E715" s="612"/>
      <c r="F715" s="30"/>
      <c r="G715" s="609"/>
      <c r="H715" s="609"/>
      <c r="I715" s="614"/>
      <c r="J715" s="609"/>
      <c r="K715" s="609"/>
      <c r="L715" s="609"/>
      <c r="M715" s="612"/>
      <c r="N715" s="606"/>
      <c r="O715" s="644"/>
      <c r="P715" s="329" t="s">
        <v>302</v>
      </c>
      <c r="Q715" s="307">
        <v>0.08</v>
      </c>
      <c r="R715" s="308">
        <v>950</v>
      </c>
      <c r="S715" s="307">
        <f t="shared" si="77"/>
        <v>76</v>
      </c>
      <c r="T715" s="27"/>
    </row>
    <row r="716" spans="1:20" ht="31.5" x14ac:dyDescent="0.25">
      <c r="A716" s="592"/>
      <c r="B716" s="595"/>
      <c r="C716" s="616"/>
      <c r="D716" s="617"/>
      <c r="E716" s="612"/>
      <c r="F716" s="30"/>
      <c r="G716" s="609"/>
      <c r="H716" s="609"/>
      <c r="I716" s="614"/>
      <c r="J716" s="609"/>
      <c r="K716" s="609"/>
      <c r="L716" s="609"/>
      <c r="M716" s="612"/>
      <c r="N716" s="606"/>
      <c r="O716" s="644"/>
      <c r="P716" s="329" t="s">
        <v>303</v>
      </c>
      <c r="Q716" s="307">
        <v>1</v>
      </c>
      <c r="R716" s="308">
        <v>6790</v>
      </c>
      <c r="S716" s="307">
        <f t="shared" si="77"/>
        <v>6790</v>
      </c>
      <c r="T716" s="27"/>
    </row>
    <row r="717" spans="1:20" ht="31.5" x14ac:dyDescent="0.25">
      <c r="A717" s="592"/>
      <c r="B717" s="595"/>
      <c r="C717" s="616"/>
      <c r="D717" s="617"/>
      <c r="E717" s="612"/>
      <c r="F717" s="30"/>
      <c r="G717" s="609"/>
      <c r="H717" s="609"/>
      <c r="I717" s="614"/>
      <c r="J717" s="609"/>
      <c r="K717" s="609"/>
      <c r="L717" s="609"/>
      <c r="M717" s="612"/>
      <c r="N717" s="606"/>
      <c r="O717" s="644"/>
      <c r="P717" s="329" t="s">
        <v>304</v>
      </c>
      <c r="Q717" s="307">
        <v>3</v>
      </c>
      <c r="R717" s="308">
        <v>256.5</v>
      </c>
      <c r="S717" s="307">
        <f t="shared" si="77"/>
        <v>769.5</v>
      </c>
      <c r="T717" s="27"/>
    </row>
    <row r="718" spans="1:20" ht="31.5" x14ac:dyDescent="0.25">
      <c r="A718" s="592"/>
      <c r="B718" s="595"/>
      <c r="C718" s="616"/>
      <c r="D718" s="617"/>
      <c r="E718" s="612"/>
      <c r="F718" s="30"/>
      <c r="G718" s="609"/>
      <c r="H718" s="609"/>
      <c r="I718" s="614"/>
      <c r="J718" s="609"/>
      <c r="K718" s="609"/>
      <c r="L718" s="609"/>
      <c r="M718" s="612"/>
      <c r="N718" s="606"/>
      <c r="O718" s="644"/>
      <c r="P718" s="329" t="s">
        <v>305</v>
      </c>
      <c r="Q718" s="307">
        <v>0.03</v>
      </c>
      <c r="R718" s="308">
        <v>165</v>
      </c>
      <c r="S718" s="307">
        <f t="shared" si="77"/>
        <v>4.95</v>
      </c>
      <c r="T718" s="27"/>
    </row>
    <row r="719" spans="1:20" ht="47.25" x14ac:dyDescent="0.25">
      <c r="A719" s="592"/>
      <c r="B719" s="595"/>
      <c r="C719" s="616"/>
      <c r="D719" s="617"/>
      <c r="E719" s="612"/>
      <c r="F719" s="30"/>
      <c r="G719" s="609"/>
      <c r="H719" s="609"/>
      <c r="I719" s="614"/>
      <c r="J719" s="609"/>
      <c r="K719" s="609"/>
      <c r="L719" s="609"/>
      <c r="M719" s="612"/>
      <c r="N719" s="606"/>
      <c r="O719" s="644"/>
      <c r="P719" s="329" t="s">
        <v>306</v>
      </c>
      <c r="Q719" s="307">
        <v>0.01</v>
      </c>
      <c r="R719" s="308">
        <v>207</v>
      </c>
      <c r="S719" s="307">
        <f t="shared" si="77"/>
        <v>2.0699999999999998</v>
      </c>
      <c r="T719" s="27"/>
    </row>
    <row r="720" spans="1:20" x14ac:dyDescent="0.25">
      <c r="A720" s="592"/>
      <c r="B720" s="595"/>
      <c r="C720" s="616"/>
      <c r="D720" s="617"/>
      <c r="E720" s="612"/>
      <c r="F720" s="30"/>
      <c r="G720" s="609"/>
      <c r="H720" s="609"/>
      <c r="I720" s="614"/>
      <c r="J720" s="609"/>
      <c r="K720" s="609"/>
      <c r="L720" s="609"/>
      <c r="M720" s="612"/>
      <c r="N720" s="606"/>
      <c r="O720" s="644"/>
      <c r="P720" s="329" t="s">
        <v>307</v>
      </c>
      <c r="Q720" s="307">
        <v>0.2</v>
      </c>
      <c r="R720" s="308">
        <v>133</v>
      </c>
      <c r="S720" s="307">
        <f t="shared" si="77"/>
        <v>26.6</v>
      </c>
      <c r="T720" s="27"/>
    </row>
    <row r="721" spans="1:20" x14ac:dyDescent="0.25">
      <c r="A721" s="592"/>
      <c r="B721" s="595"/>
      <c r="C721" s="616"/>
      <c r="D721" s="617"/>
      <c r="E721" s="612"/>
      <c r="F721" s="30"/>
      <c r="G721" s="609"/>
      <c r="H721" s="609"/>
      <c r="I721" s="614"/>
      <c r="J721" s="609"/>
      <c r="K721" s="609"/>
      <c r="L721" s="609"/>
      <c r="M721" s="612"/>
      <c r="N721" s="606"/>
      <c r="O721" s="644"/>
      <c r="P721" s="329" t="s">
        <v>308</v>
      </c>
      <c r="Q721" s="307">
        <v>0.25</v>
      </c>
      <c r="R721" s="308">
        <v>625</v>
      </c>
      <c r="S721" s="307">
        <f t="shared" si="77"/>
        <v>156.25</v>
      </c>
      <c r="T721" s="27"/>
    </row>
    <row r="722" spans="1:20" x14ac:dyDescent="0.25">
      <c r="A722" s="592"/>
      <c r="B722" s="595"/>
      <c r="C722" s="616"/>
      <c r="D722" s="617"/>
      <c r="E722" s="612"/>
      <c r="F722" s="30"/>
      <c r="G722" s="609"/>
      <c r="H722" s="609"/>
      <c r="I722" s="614"/>
      <c r="J722" s="609"/>
      <c r="K722" s="609"/>
      <c r="L722" s="609"/>
      <c r="M722" s="612"/>
      <c r="N722" s="606"/>
      <c r="O722" s="644"/>
      <c r="P722" s="329" t="s">
        <v>298</v>
      </c>
      <c r="Q722" s="307">
        <v>0.2</v>
      </c>
      <c r="R722" s="308">
        <v>179.8</v>
      </c>
      <c r="S722" s="307">
        <f t="shared" si="77"/>
        <v>35.96</v>
      </c>
      <c r="T722" s="27"/>
    </row>
    <row r="723" spans="1:20" ht="31.5" x14ac:dyDescent="0.25">
      <c r="A723" s="592"/>
      <c r="B723" s="595"/>
      <c r="C723" s="602"/>
      <c r="D723" s="604"/>
      <c r="E723" s="490"/>
      <c r="F723" s="30"/>
      <c r="G723" s="610"/>
      <c r="H723" s="610"/>
      <c r="I723" s="615"/>
      <c r="J723" s="610"/>
      <c r="K723" s="610"/>
      <c r="L723" s="610"/>
      <c r="M723" s="490"/>
      <c r="N723" s="607"/>
      <c r="O723" s="645"/>
      <c r="P723" s="329" t="s">
        <v>297</v>
      </c>
      <c r="Q723" s="307">
        <v>0.01</v>
      </c>
      <c r="R723" s="308">
        <v>875.26</v>
      </c>
      <c r="S723" s="307">
        <f>(Q723*R723)</f>
        <v>8.7525999999999993</v>
      </c>
      <c r="T723" s="27"/>
    </row>
    <row r="724" spans="1:20" x14ac:dyDescent="0.25">
      <c r="A724" s="592"/>
      <c r="B724" s="595"/>
      <c r="C724" s="601" t="s">
        <v>332</v>
      </c>
      <c r="D724" s="603">
        <v>1</v>
      </c>
      <c r="E724" s="30" t="s">
        <v>43</v>
      </c>
      <c r="F724" s="30"/>
      <c r="G724" s="332">
        <v>2E-3</v>
      </c>
      <c r="H724" s="332">
        <v>2</v>
      </c>
      <c r="I724" s="333">
        <v>3.0888</v>
      </c>
      <c r="J724" s="333">
        <v>6</v>
      </c>
      <c r="K724" s="334"/>
      <c r="L724" s="334"/>
      <c r="M724" s="399">
        <v>6</v>
      </c>
      <c r="N724" s="385">
        <v>454.87</v>
      </c>
      <c r="O724" s="328">
        <f t="shared" ref="O724:O774" si="78">I724*N724</f>
        <v>1405.0024559999999</v>
      </c>
      <c r="P724" s="329"/>
      <c r="Q724" s="307"/>
      <c r="R724" s="308"/>
      <c r="S724" s="307"/>
      <c r="T724" s="27"/>
    </row>
    <row r="725" spans="1:20" x14ac:dyDescent="0.25">
      <c r="A725" s="592"/>
      <c r="B725" s="595"/>
      <c r="C725" s="602"/>
      <c r="D725" s="604"/>
      <c r="E725" s="30" t="s">
        <v>44</v>
      </c>
      <c r="F725" s="30"/>
      <c r="G725" s="332">
        <v>2E-3</v>
      </c>
      <c r="H725" s="332">
        <v>4</v>
      </c>
      <c r="I725" s="333">
        <v>3.0888</v>
      </c>
      <c r="J725" s="333">
        <v>6</v>
      </c>
      <c r="K725" s="27"/>
      <c r="L725" s="27"/>
      <c r="M725" s="387">
        <v>6</v>
      </c>
      <c r="N725" s="385">
        <v>454.87</v>
      </c>
      <c r="O725" s="328">
        <f t="shared" si="78"/>
        <v>1405.0024559999999</v>
      </c>
      <c r="P725" s="330"/>
      <c r="Q725" s="27"/>
      <c r="R725" s="308"/>
      <c r="S725" s="307"/>
      <c r="T725" s="27"/>
    </row>
    <row r="726" spans="1:20" x14ac:dyDescent="0.25">
      <c r="A726" s="592"/>
      <c r="B726" s="595"/>
      <c r="C726" s="601" t="s">
        <v>363</v>
      </c>
      <c r="D726" s="603">
        <v>1</v>
      </c>
      <c r="E726" s="30" t="s">
        <v>43</v>
      </c>
      <c r="F726" s="30"/>
      <c r="G726" s="326">
        <v>5.0000000000000001E-3</v>
      </c>
      <c r="H726" s="335">
        <v>2</v>
      </c>
      <c r="I726" s="333">
        <v>1.9305000000000001</v>
      </c>
      <c r="J726" s="336"/>
      <c r="K726" s="27"/>
      <c r="L726" s="27"/>
      <c r="M726" s="387">
        <v>6</v>
      </c>
      <c r="N726" s="385">
        <v>454.87</v>
      </c>
      <c r="O726" s="328">
        <f t="shared" si="78"/>
        <v>878.1265350000001</v>
      </c>
      <c r="P726" s="330"/>
      <c r="Q726" s="27"/>
      <c r="R726" s="308"/>
      <c r="S726" s="307"/>
      <c r="T726" s="27"/>
    </row>
    <row r="727" spans="1:20" x14ac:dyDescent="0.25">
      <c r="A727" s="592"/>
      <c r="B727" s="595"/>
      <c r="C727" s="602"/>
      <c r="D727" s="604"/>
      <c r="E727" s="30" t="s">
        <v>44</v>
      </c>
      <c r="F727" s="30"/>
      <c r="G727" s="326">
        <v>5.0000000000000001E-4</v>
      </c>
      <c r="H727" s="335">
        <v>4</v>
      </c>
      <c r="I727" s="333">
        <v>0.19305</v>
      </c>
      <c r="J727" s="27"/>
      <c r="K727" s="27"/>
      <c r="L727" s="27"/>
      <c r="M727" s="387">
        <v>6</v>
      </c>
      <c r="N727" s="385">
        <v>454.87</v>
      </c>
      <c r="O727" s="328">
        <f t="shared" si="78"/>
        <v>87.812653499999996</v>
      </c>
      <c r="P727" s="330"/>
      <c r="Q727" s="27"/>
      <c r="R727" s="308"/>
      <c r="S727" s="307"/>
      <c r="T727" s="27"/>
    </row>
    <row r="728" spans="1:20" x14ac:dyDescent="0.25">
      <c r="A728" s="592"/>
      <c r="B728" s="595"/>
      <c r="C728" s="601" t="s">
        <v>349</v>
      </c>
      <c r="D728" s="603">
        <v>2</v>
      </c>
      <c r="E728" s="30" t="s">
        <v>43</v>
      </c>
      <c r="F728" s="30"/>
      <c r="G728" s="332">
        <v>1E-3</v>
      </c>
      <c r="H728" s="332">
        <v>2</v>
      </c>
      <c r="I728" s="337">
        <v>3.0888</v>
      </c>
      <c r="J728" s="27"/>
      <c r="K728" s="27"/>
      <c r="L728" s="27"/>
      <c r="M728" s="387">
        <v>6</v>
      </c>
      <c r="N728" s="385">
        <v>454.87</v>
      </c>
      <c r="O728" s="328">
        <f t="shared" si="78"/>
        <v>1405.0024559999999</v>
      </c>
      <c r="P728" s="330"/>
      <c r="Q728" s="27"/>
      <c r="R728" s="308"/>
      <c r="S728" s="307"/>
      <c r="T728" s="27"/>
    </row>
    <row r="729" spans="1:20" x14ac:dyDescent="0.25">
      <c r="A729" s="592"/>
      <c r="B729" s="595"/>
      <c r="C729" s="602"/>
      <c r="D729" s="604"/>
      <c r="E729" s="30" t="s">
        <v>44</v>
      </c>
      <c r="F729" s="30"/>
      <c r="G729" s="332">
        <v>1E-4</v>
      </c>
      <c r="H729" s="332">
        <v>4</v>
      </c>
      <c r="I729" s="338">
        <v>0.30887999999999999</v>
      </c>
      <c r="J729" s="27"/>
      <c r="K729" s="27"/>
      <c r="L729" s="27"/>
      <c r="M729" s="387">
        <v>6</v>
      </c>
      <c r="N729" s="385">
        <v>454.87</v>
      </c>
      <c r="O729" s="328">
        <f t="shared" si="78"/>
        <v>140.5002456</v>
      </c>
      <c r="P729" s="330"/>
      <c r="Q729" s="27"/>
      <c r="R729" s="308"/>
      <c r="S729" s="307"/>
      <c r="T729" s="27"/>
    </row>
    <row r="730" spans="1:20" x14ac:dyDescent="0.25">
      <c r="A730" s="592"/>
      <c r="B730" s="595"/>
      <c r="C730" s="601" t="s">
        <v>364</v>
      </c>
      <c r="D730" s="603">
        <v>1</v>
      </c>
      <c r="E730" s="30" t="s">
        <v>43</v>
      </c>
      <c r="F730" s="30"/>
      <c r="G730" s="326">
        <v>5.0000000000000001E-3</v>
      </c>
      <c r="H730" s="335">
        <v>2</v>
      </c>
      <c r="I730" s="333">
        <v>1.9305000000000001</v>
      </c>
      <c r="J730" s="336"/>
      <c r="K730" s="27"/>
      <c r="L730" s="27"/>
      <c r="M730" s="387">
        <v>6</v>
      </c>
      <c r="N730" s="385">
        <v>454.87</v>
      </c>
      <c r="O730" s="328">
        <f t="shared" si="78"/>
        <v>878.1265350000001</v>
      </c>
      <c r="P730" s="330"/>
      <c r="Q730" s="27"/>
      <c r="R730" s="308"/>
      <c r="S730" s="307"/>
      <c r="T730" s="27"/>
    </row>
    <row r="731" spans="1:20" x14ac:dyDescent="0.25">
      <c r="A731" s="592"/>
      <c r="B731" s="595"/>
      <c r="C731" s="602"/>
      <c r="D731" s="604"/>
      <c r="E731" s="30" t="s">
        <v>44</v>
      </c>
      <c r="F731" s="30"/>
      <c r="G731" s="326">
        <v>5.0000000000000001E-4</v>
      </c>
      <c r="H731" s="335">
        <v>4</v>
      </c>
      <c r="I731" s="333">
        <v>0.19305</v>
      </c>
      <c r="J731" s="27"/>
      <c r="K731" s="27"/>
      <c r="L731" s="27"/>
      <c r="M731" s="387">
        <v>6</v>
      </c>
      <c r="N731" s="385">
        <v>454.87</v>
      </c>
      <c r="O731" s="328">
        <f t="shared" si="78"/>
        <v>87.812653499999996</v>
      </c>
      <c r="P731" s="330"/>
      <c r="Q731" s="27"/>
      <c r="R731" s="308"/>
      <c r="S731" s="307"/>
      <c r="T731" s="27"/>
    </row>
    <row r="732" spans="1:20" x14ac:dyDescent="0.25">
      <c r="A732" s="593"/>
      <c r="B732" s="596"/>
      <c r="C732" s="219" t="s">
        <v>365</v>
      </c>
      <c r="D732" s="240">
        <v>1</v>
      </c>
      <c r="E732" s="30" t="s">
        <v>44</v>
      </c>
      <c r="F732" s="30"/>
      <c r="G732" s="326">
        <v>5.0000000000000001E-4</v>
      </c>
      <c r="H732" s="335">
        <v>4</v>
      </c>
      <c r="I732" s="333">
        <v>0.19305</v>
      </c>
      <c r="J732" s="27"/>
      <c r="K732" s="27"/>
      <c r="L732" s="27"/>
      <c r="M732" s="387">
        <v>6</v>
      </c>
      <c r="N732" s="385">
        <v>454.87</v>
      </c>
      <c r="O732" s="328">
        <f t="shared" si="78"/>
        <v>87.812653499999996</v>
      </c>
      <c r="P732" s="330"/>
      <c r="Q732" s="27"/>
      <c r="R732" s="308"/>
      <c r="S732" s="307"/>
      <c r="T732" s="27"/>
    </row>
    <row r="733" spans="1:20" x14ac:dyDescent="0.25">
      <c r="A733" s="591">
        <v>7</v>
      </c>
      <c r="B733" s="597" t="s">
        <v>1032</v>
      </c>
      <c r="C733" s="598" t="s">
        <v>732</v>
      </c>
      <c r="D733" s="240">
        <v>1</v>
      </c>
      <c r="E733" s="342" t="s">
        <v>737</v>
      </c>
      <c r="F733" s="30"/>
      <c r="G733" s="343">
        <f>0.5*H733</f>
        <v>4</v>
      </c>
      <c r="H733" s="343">
        <v>8</v>
      </c>
      <c r="I733" s="343">
        <f t="shared" ref="I733:I793" si="79">G733</f>
        <v>4</v>
      </c>
      <c r="J733" s="27"/>
      <c r="K733" s="27"/>
      <c r="L733" s="27"/>
      <c r="M733" s="387">
        <v>6</v>
      </c>
      <c r="N733" s="385">
        <v>454.87</v>
      </c>
      <c r="O733" s="328">
        <f t="shared" si="78"/>
        <v>1819.48</v>
      </c>
      <c r="P733" s="330"/>
      <c r="Q733" s="27"/>
      <c r="R733" s="308"/>
      <c r="S733" s="307"/>
      <c r="T733" s="27"/>
    </row>
    <row r="734" spans="1:20" x14ac:dyDescent="0.25">
      <c r="A734" s="592"/>
      <c r="B734" s="597"/>
      <c r="C734" s="599"/>
      <c r="D734" s="240">
        <v>1</v>
      </c>
      <c r="E734" s="342" t="s">
        <v>290</v>
      </c>
      <c r="F734" s="30"/>
      <c r="G734" s="343">
        <v>3</v>
      </c>
      <c r="H734" s="343">
        <v>3</v>
      </c>
      <c r="I734" s="343">
        <f t="shared" si="79"/>
        <v>3</v>
      </c>
      <c r="J734" s="27"/>
      <c r="K734" s="27"/>
      <c r="L734" s="27"/>
      <c r="M734" s="387">
        <v>6</v>
      </c>
      <c r="N734" s="385">
        <v>454.87</v>
      </c>
      <c r="O734" s="328">
        <f t="shared" si="78"/>
        <v>1364.6100000000001</v>
      </c>
      <c r="P734" s="330"/>
      <c r="Q734" s="27"/>
      <c r="R734" s="308"/>
      <c r="S734" s="307"/>
      <c r="T734" s="27"/>
    </row>
    <row r="735" spans="1:20" x14ac:dyDescent="0.25">
      <c r="A735" s="592"/>
      <c r="B735" s="597"/>
      <c r="C735" s="600"/>
      <c r="D735" s="240">
        <v>1</v>
      </c>
      <c r="E735" s="342" t="s">
        <v>292</v>
      </c>
      <c r="F735" s="30"/>
      <c r="G735" s="343">
        <v>6.5</v>
      </c>
      <c r="H735" s="343">
        <v>1</v>
      </c>
      <c r="I735" s="343">
        <f t="shared" si="79"/>
        <v>6.5</v>
      </c>
      <c r="J735" s="27"/>
      <c r="K735" s="27"/>
      <c r="L735" s="27"/>
      <c r="M735" s="387">
        <v>6</v>
      </c>
      <c r="N735" s="385">
        <v>454.87</v>
      </c>
      <c r="O735" s="328">
        <f t="shared" si="78"/>
        <v>2956.6550000000002</v>
      </c>
      <c r="P735" s="330"/>
      <c r="Q735" s="27"/>
      <c r="R735" s="308"/>
      <c r="S735" s="307"/>
      <c r="T735" s="27"/>
    </row>
    <row r="736" spans="1:20" x14ac:dyDescent="0.25">
      <c r="A736" s="592"/>
      <c r="B736" s="597"/>
      <c r="C736" s="598" t="s">
        <v>733</v>
      </c>
      <c r="D736" s="240">
        <v>1</v>
      </c>
      <c r="E736" s="342" t="s">
        <v>737</v>
      </c>
      <c r="F736" s="30"/>
      <c r="G736" s="343">
        <f>0.5*H736</f>
        <v>4</v>
      </c>
      <c r="H736" s="343">
        <v>8</v>
      </c>
      <c r="I736" s="343">
        <f t="shared" si="79"/>
        <v>4</v>
      </c>
      <c r="J736" s="27"/>
      <c r="K736" s="27"/>
      <c r="L736" s="27"/>
      <c r="M736" s="387">
        <v>6</v>
      </c>
      <c r="N736" s="385">
        <v>454.87</v>
      </c>
      <c r="O736" s="328">
        <f t="shared" si="78"/>
        <v>1819.48</v>
      </c>
      <c r="P736" s="330"/>
      <c r="Q736" s="27"/>
      <c r="R736" s="308"/>
      <c r="S736" s="307"/>
      <c r="T736" s="27"/>
    </row>
    <row r="737" spans="1:20" x14ac:dyDescent="0.25">
      <c r="A737" s="592"/>
      <c r="B737" s="597"/>
      <c r="C737" s="599"/>
      <c r="D737" s="240">
        <v>1</v>
      </c>
      <c r="E737" s="342" t="s">
        <v>290</v>
      </c>
      <c r="F737" s="30"/>
      <c r="G737" s="343">
        <v>3</v>
      </c>
      <c r="H737" s="343">
        <v>3</v>
      </c>
      <c r="I737" s="343">
        <f t="shared" si="79"/>
        <v>3</v>
      </c>
      <c r="J737" s="27"/>
      <c r="K737" s="27"/>
      <c r="L737" s="27"/>
      <c r="M737" s="387">
        <v>6</v>
      </c>
      <c r="N737" s="385">
        <v>454.87</v>
      </c>
      <c r="O737" s="328">
        <f t="shared" si="78"/>
        <v>1364.6100000000001</v>
      </c>
      <c r="P737" s="330"/>
      <c r="Q737" s="27"/>
      <c r="R737" s="308"/>
      <c r="S737" s="307"/>
      <c r="T737" s="27"/>
    </row>
    <row r="738" spans="1:20" x14ac:dyDescent="0.25">
      <c r="A738" s="592"/>
      <c r="B738" s="597"/>
      <c r="C738" s="600"/>
      <c r="D738" s="240">
        <v>1</v>
      </c>
      <c r="E738" s="342" t="s">
        <v>292</v>
      </c>
      <c r="F738" s="30"/>
      <c r="G738" s="343">
        <v>2.5</v>
      </c>
      <c r="H738" s="343">
        <v>1</v>
      </c>
      <c r="I738" s="343">
        <f t="shared" si="79"/>
        <v>2.5</v>
      </c>
      <c r="J738" s="27"/>
      <c r="K738" s="27"/>
      <c r="L738" s="27"/>
      <c r="M738" s="387">
        <v>6</v>
      </c>
      <c r="N738" s="385">
        <v>454.87</v>
      </c>
      <c r="O738" s="328">
        <f t="shared" si="78"/>
        <v>1137.175</v>
      </c>
      <c r="P738" s="330"/>
      <c r="Q738" s="27"/>
      <c r="R738" s="308"/>
      <c r="S738" s="307"/>
      <c r="T738" s="27"/>
    </row>
    <row r="739" spans="1:20" x14ac:dyDescent="0.25">
      <c r="A739" s="592"/>
      <c r="B739" s="597"/>
      <c r="C739" s="598" t="s">
        <v>734</v>
      </c>
      <c r="D739" s="240">
        <v>1</v>
      </c>
      <c r="E739" s="342" t="s">
        <v>737</v>
      </c>
      <c r="F739" s="30"/>
      <c r="G739" s="343">
        <f>0.5*H739</f>
        <v>4</v>
      </c>
      <c r="H739" s="343">
        <v>8</v>
      </c>
      <c r="I739" s="343">
        <f t="shared" si="79"/>
        <v>4</v>
      </c>
      <c r="J739" s="27"/>
      <c r="K739" s="27"/>
      <c r="L739" s="27"/>
      <c r="M739" s="387">
        <v>6</v>
      </c>
      <c r="N739" s="385">
        <v>454.87</v>
      </c>
      <c r="O739" s="328">
        <f t="shared" si="78"/>
        <v>1819.48</v>
      </c>
      <c r="P739" s="330"/>
      <c r="Q739" s="27"/>
      <c r="R739" s="308"/>
      <c r="S739" s="307"/>
      <c r="T739" s="27"/>
    </row>
    <row r="740" spans="1:20" x14ac:dyDescent="0.25">
      <c r="A740" s="592"/>
      <c r="B740" s="597"/>
      <c r="C740" s="599"/>
      <c r="D740" s="240">
        <v>1</v>
      </c>
      <c r="E740" s="342" t="s">
        <v>290</v>
      </c>
      <c r="F740" s="30"/>
      <c r="G740" s="343">
        <f>0.75*H740</f>
        <v>2.25</v>
      </c>
      <c r="H740" s="343">
        <v>3</v>
      </c>
      <c r="I740" s="343">
        <f t="shared" si="79"/>
        <v>2.25</v>
      </c>
      <c r="J740" s="27"/>
      <c r="K740" s="27"/>
      <c r="L740" s="27"/>
      <c r="M740" s="387">
        <v>6</v>
      </c>
      <c r="N740" s="385">
        <v>454.87</v>
      </c>
      <c r="O740" s="328">
        <f t="shared" si="78"/>
        <v>1023.4575</v>
      </c>
      <c r="P740" s="330"/>
      <c r="Q740" s="27"/>
      <c r="R740" s="308"/>
      <c r="S740" s="307"/>
      <c r="T740" s="27"/>
    </row>
    <row r="741" spans="1:20" x14ac:dyDescent="0.25">
      <c r="A741" s="592"/>
      <c r="B741" s="597"/>
      <c r="C741" s="600"/>
      <c r="D741" s="240">
        <v>1</v>
      </c>
      <c r="E741" s="342" t="s">
        <v>292</v>
      </c>
      <c r="F741" s="30"/>
      <c r="G741" s="343">
        <f>2.5*H741</f>
        <v>2.5</v>
      </c>
      <c r="H741" s="343">
        <v>1</v>
      </c>
      <c r="I741" s="343">
        <f t="shared" si="79"/>
        <v>2.5</v>
      </c>
      <c r="J741" s="27"/>
      <c r="K741" s="27"/>
      <c r="L741" s="27"/>
      <c r="M741" s="387">
        <v>6</v>
      </c>
      <c r="N741" s="385">
        <v>454.87</v>
      </c>
      <c r="O741" s="328">
        <f t="shared" si="78"/>
        <v>1137.175</v>
      </c>
      <c r="P741" s="330"/>
      <c r="Q741" s="27"/>
      <c r="R741" s="308"/>
      <c r="S741" s="307"/>
      <c r="T741" s="27"/>
    </row>
    <row r="742" spans="1:20" x14ac:dyDescent="0.25">
      <c r="A742" s="592"/>
      <c r="B742" s="597"/>
      <c r="C742" s="599" t="s">
        <v>735</v>
      </c>
      <c r="D742" s="240">
        <v>1</v>
      </c>
      <c r="E742" s="342" t="s">
        <v>737</v>
      </c>
      <c r="F742" s="30"/>
      <c r="G742" s="343">
        <f>5*H742</f>
        <v>40</v>
      </c>
      <c r="H742" s="343">
        <v>8</v>
      </c>
      <c r="I742" s="343">
        <f t="shared" si="79"/>
        <v>40</v>
      </c>
      <c r="J742" s="27"/>
      <c r="K742" s="27"/>
      <c r="L742" s="27"/>
      <c r="M742" s="387">
        <v>6</v>
      </c>
      <c r="N742" s="385">
        <v>454.87</v>
      </c>
      <c r="O742" s="328">
        <f t="shared" si="78"/>
        <v>18194.8</v>
      </c>
      <c r="P742" s="330"/>
      <c r="Q742" s="27"/>
      <c r="R742" s="308"/>
      <c r="S742" s="307"/>
      <c r="T742" s="27"/>
    </row>
    <row r="743" spans="1:20" x14ac:dyDescent="0.25">
      <c r="A743" s="592"/>
      <c r="B743" s="597"/>
      <c r="C743" s="599"/>
      <c r="D743" s="240">
        <v>1</v>
      </c>
      <c r="E743" s="342" t="s">
        <v>290</v>
      </c>
      <c r="F743" s="30"/>
      <c r="G743" s="343">
        <f>5.1*H743</f>
        <v>15.299999999999999</v>
      </c>
      <c r="H743" s="343">
        <v>3</v>
      </c>
      <c r="I743" s="343">
        <f t="shared" si="79"/>
        <v>15.299999999999999</v>
      </c>
      <c r="J743" s="27"/>
      <c r="K743" s="27"/>
      <c r="L743" s="27"/>
      <c r="M743" s="387">
        <v>6</v>
      </c>
      <c r="N743" s="385">
        <v>454.87</v>
      </c>
      <c r="O743" s="328">
        <f t="shared" si="78"/>
        <v>6959.5109999999995</v>
      </c>
      <c r="P743" s="330"/>
      <c r="Q743" s="27"/>
      <c r="R743" s="308"/>
      <c r="S743" s="307"/>
      <c r="T743" s="27"/>
    </row>
    <row r="744" spans="1:20" x14ac:dyDescent="0.25">
      <c r="A744" s="592"/>
      <c r="B744" s="597"/>
      <c r="C744" s="600"/>
      <c r="D744" s="240">
        <v>1</v>
      </c>
      <c r="E744" s="342" t="s">
        <v>292</v>
      </c>
      <c r="F744" s="30"/>
      <c r="G744" s="343">
        <f>14.6*H744</f>
        <v>14.6</v>
      </c>
      <c r="H744" s="343">
        <v>1</v>
      </c>
      <c r="I744" s="343">
        <f t="shared" si="79"/>
        <v>14.6</v>
      </c>
      <c r="J744" s="27"/>
      <c r="K744" s="27"/>
      <c r="L744" s="27"/>
      <c r="M744" s="387">
        <v>6</v>
      </c>
      <c r="N744" s="385">
        <v>454.87</v>
      </c>
      <c r="O744" s="328">
        <f t="shared" si="78"/>
        <v>6641.1019999999999</v>
      </c>
      <c r="P744" s="330"/>
      <c r="Q744" s="27"/>
      <c r="R744" s="308"/>
      <c r="S744" s="307"/>
      <c r="T744" s="27"/>
    </row>
    <row r="745" spans="1:20" ht="47.25" x14ac:dyDescent="0.25">
      <c r="A745" s="593"/>
      <c r="B745" s="597"/>
      <c r="C745" s="344" t="s">
        <v>736</v>
      </c>
      <c r="D745" s="240">
        <v>1</v>
      </c>
      <c r="E745" s="342" t="s">
        <v>290</v>
      </c>
      <c r="F745" s="30"/>
      <c r="G745" s="343">
        <f>0.1*H745</f>
        <v>1.2000000000000002</v>
      </c>
      <c r="H745" s="343">
        <v>12</v>
      </c>
      <c r="I745" s="343">
        <f t="shared" si="79"/>
        <v>1.2000000000000002</v>
      </c>
      <c r="J745" s="27"/>
      <c r="K745" s="27"/>
      <c r="L745" s="27"/>
      <c r="M745" s="387">
        <v>6</v>
      </c>
      <c r="N745" s="385">
        <v>454.87</v>
      </c>
      <c r="O745" s="328">
        <f t="shared" si="78"/>
        <v>545.84400000000005</v>
      </c>
      <c r="P745" s="330"/>
      <c r="Q745" s="27"/>
      <c r="R745" s="308"/>
      <c r="S745" s="307"/>
      <c r="T745" s="27"/>
    </row>
    <row r="746" spans="1:20" x14ac:dyDescent="0.25">
      <c r="A746" s="591">
        <v>8</v>
      </c>
      <c r="B746" s="589" t="s">
        <v>1034</v>
      </c>
      <c r="C746" s="590" t="s">
        <v>738</v>
      </c>
      <c r="D746" s="240">
        <v>1</v>
      </c>
      <c r="E746" s="345" t="s">
        <v>737</v>
      </c>
      <c r="F746" s="30"/>
      <c r="G746" s="346">
        <f>0.5*H746</f>
        <v>4</v>
      </c>
      <c r="H746" s="346">
        <v>8</v>
      </c>
      <c r="I746" s="346">
        <f t="shared" si="79"/>
        <v>4</v>
      </c>
      <c r="J746" s="27"/>
      <c r="K746" s="27"/>
      <c r="L746" s="27"/>
      <c r="M746" s="387">
        <v>6</v>
      </c>
      <c r="N746" s="385">
        <v>454.87</v>
      </c>
      <c r="O746" s="328">
        <f t="shared" si="78"/>
        <v>1819.48</v>
      </c>
      <c r="P746" s="330"/>
      <c r="Q746" s="27"/>
      <c r="R746" s="308"/>
      <c r="S746" s="307"/>
      <c r="T746" s="27"/>
    </row>
    <row r="747" spans="1:20" x14ac:dyDescent="0.25">
      <c r="A747" s="592"/>
      <c r="B747" s="589"/>
      <c r="C747" s="590"/>
      <c r="D747" s="240">
        <v>1</v>
      </c>
      <c r="E747" s="345" t="s">
        <v>290</v>
      </c>
      <c r="F747" s="30"/>
      <c r="G747" s="346">
        <v>3</v>
      </c>
      <c r="H747" s="346">
        <v>3</v>
      </c>
      <c r="I747" s="346">
        <f t="shared" si="79"/>
        <v>3</v>
      </c>
      <c r="J747" s="27"/>
      <c r="K747" s="27"/>
      <c r="L747" s="27"/>
      <c r="M747" s="387">
        <v>6</v>
      </c>
      <c r="N747" s="385">
        <v>454.87</v>
      </c>
      <c r="O747" s="328">
        <f t="shared" si="78"/>
        <v>1364.6100000000001</v>
      </c>
      <c r="P747" s="330"/>
      <c r="Q747" s="27"/>
      <c r="R747" s="308"/>
      <c r="S747" s="307"/>
      <c r="T747" s="27"/>
    </row>
    <row r="748" spans="1:20" x14ac:dyDescent="0.25">
      <c r="A748" s="592"/>
      <c r="B748" s="589"/>
      <c r="C748" s="590"/>
      <c r="D748" s="240">
        <v>1</v>
      </c>
      <c r="E748" s="345" t="s">
        <v>292</v>
      </c>
      <c r="F748" s="30"/>
      <c r="G748" s="346">
        <v>6.5</v>
      </c>
      <c r="H748" s="346">
        <v>1</v>
      </c>
      <c r="I748" s="346">
        <f t="shared" si="79"/>
        <v>6.5</v>
      </c>
      <c r="J748" s="27"/>
      <c r="K748" s="27"/>
      <c r="L748" s="27"/>
      <c r="M748" s="387">
        <v>6</v>
      </c>
      <c r="N748" s="385">
        <v>454.87</v>
      </c>
      <c r="O748" s="328">
        <f t="shared" si="78"/>
        <v>2956.6550000000002</v>
      </c>
      <c r="P748" s="330"/>
      <c r="Q748" s="27"/>
      <c r="R748" s="308"/>
      <c r="S748" s="307"/>
      <c r="T748" s="27"/>
    </row>
    <row r="749" spans="1:20" x14ac:dyDescent="0.25">
      <c r="A749" s="592"/>
      <c r="B749" s="589"/>
      <c r="C749" s="590" t="s">
        <v>733</v>
      </c>
      <c r="D749" s="240">
        <v>1</v>
      </c>
      <c r="E749" s="345" t="s">
        <v>737</v>
      </c>
      <c r="F749" s="30"/>
      <c r="G749" s="346">
        <f>0.5*H749</f>
        <v>4</v>
      </c>
      <c r="H749" s="346">
        <v>8</v>
      </c>
      <c r="I749" s="346">
        <f t="shared" si="79"/>
        <v>4</v>
      </c>
      <c r="J749" s="27"/>
      <c r="K749" s="27"/>
      <c r="L749" s="27"/>
      <c r="M749" s="387">
        <v>6</v>
      </c>
      <c r="N749" s="385">
        <v>454.87</v>
      </c>
      <c r="O749" s="328">
        <f t="shared" si="78"/>
        <v>1819.48</v>
      </c>
      <c r="P749" s="330"/>
      <c r="Q749" s="27"/>
      <c r="R749" s="308"/>
      <c r="S749" s="307"/>
      <c r="T749" s="27"/>
    </row>
    <row r="750" spans="1:20" x14ac:dyDescent="0.25">
      <c r="A750" s="592"/>
      <c r="B750" s="589"/>
      <c r="C750" s="590"/>
      <c r="D750" s="240">
        <v>1</v>
      </c>
      <c r="E750" s="345" t="s">
        <v>290</v>
      </c>
      <c r="F750" s="30"/>
      <c r="G750" s="346">
        <v>3</v>
      </c>
      <c r="H750" s="346">
        <v>3</v>
      </c>
      <c r="I750" s="346">
        <f t="shared" si="79"/>
        <v>3</v>
      </c>
      <c r="J750" s="27"/>
      <c r="K750" s="27"/>
      <c r="L750" s="27"/>
      <c r="M750" s="387">
        <v>6</v>
      </c>
      <c r="N750" s="385">
        <v>454.87</v>
      </c>
      <c r="O750" s="328">
        <f t="shared" si="78"/>
        <v>1364.6100000000001</v>
      </c>
      <c r="P750" s="330"/>
      <c r="Q750" s="27"/>
      <c r="R750" s="308"/>
      <c r="S750" s="307"/>
      <c r="T750" s="27"/>
    </row>
    <row r="751" spans="1:20" x14ac:dyDescent="0.25">
      <c r="A751" s="592"/>
      <c r="B751" s="589"/>
      <c r="C751" s="590"/>
      <c r="D751" s="240">
        <v>1</v>
      </c>
      <c r="E751" s="345" t="s">
        <v>292</v>
      </c>
      <c r="F751" s="30"/>
      <c r="G751" s="346">
        <v>2.5</v>
      </c>
      <c r="H751" s="346">
        <v>1</v>
      </c>
      <c r="I751" s="346">
        <f t="shared" si="79"/>
        <v>2.5</v>
      </c>
      <c r="J751" s="27"/>
      <c r="K751" s="27"/>
      <c r="L751" s="27"/>
      <c r="M751" s="387">
        <v>6</v>
      </c>
      <c r="N751" s="385">
        <v>454.87</v>
      </c>
      <c r="O751" s="328">
        <f t="shared" si="78"/>
        <v>1137.175</v>
      </c>
      <c r="P751" s="330"/>
      <c r="Q751" s="27"/>
      <c r="R751" s="308"/>
      <c r="S751" s="307"/>
      <c r="T751" s="27"/>
    </row>
    <row r="752" spans="1:20" x14ac:dyDescent="0.25">
      <c r="A752" s="592"/>
      <c r="B752" s="589"/>
      <c r="C752" s="590" t="s">
        <v>734</v>
      </c>
      <c r="D752" s="240">
        <v>1</v>
      </c>
      <c r="E752" s="345" t="s">
        <v>737</v>
      </c>
      <c r="F752" s="30"/>
      <c r="G752" s="346">
        <f>0.5*H752</f>
        <v>4</v>
      </c>
      <c r="H752" s="346">
        <v>8</v>
      </c>
      <c r="I752" s="346">
        <f t="shared" si="79"/>
        <v>4</v>
      </c>
      <c r="J752" s="27"/>
      <c r="K752" s="27"/>
      <c r="L752" s="27"/>
      <c r="M752" s="387">
        <v>6</v>
      </c>
      <c r="N752" s="385">
        <v>454.87</v>
      </c>
      <c r="O752" s="328">
        <f t="shared" si="78"/>
        <v>1819.48</v>
      </c>
      <c r="P752" s="330"/>
      <c r="Q752" s="27"/>
      <c r="R752" s="308"/>
      <c r="S752" s="307"/>
      <c r="T752" s="27"/>
    </row>
    <row r="753" spans="1:20" x14ac:dyDescent="0.25">
      <c r="A753" s="592"/>
      <c r="B753" s="589"/>
      <c r="C753" s="590"/>
      <c r="D753" s="240">
        <v>1</v>
      </c>
      <c r="E753" s="345" t="s">
        <v>290</v>
      </c>
      <c r="F753" s="30"/>
      <c r="G753" s="346">
        <f>0.75*H753</f>
        <v>2.25</v>
      </c>
      <c r="H753" s="346">
        <v>3</v>
      </c>
      <c r="I753" s="346">
        <f t="shared" si="79"/>
        <v>2.25</v>
      </c>
      <c r="J753" s="27"/>
      <c r="K753" s="27"/>
      <c r="L753" s="27"/>
      <c r="M753" s="387">
        <v>6</v>
      </c>
      <c r="N753" s="385">
        <v>454.87</v>
      </c>
      <c r="O753" s="328">
        <f t="shared" si="78"/>
        <v>1023.4575</v>
      </c>
      <c r="P753" s="330"/>
      <c r="Q753" s="27"/>
      <c r="R753" s="308"/>
      <c r="S753" s="307"/>
      <c r="T753" s="27"/>
    </row>
    <row r="754" spans="1:20" x14ac:dyDescent="0.25">
      <c r="A754" s="592"/>
      <c r="B754" s="589"/>
      <c r="C754" s="590"/>
      <c r="D754" s="240">
        <v>1</v>
      </c>
      <c r="E754" s="345" t="s">
        <v>292</v>
      </c>
      <c r="F754" s="30"/>
      <c r="G754" s="346">
        <f>2.5*H754</f>
        <v>2.5</v>
      </c>
      <c r="H754" s="346">
        <v>1</v>
      </c>
      <c r="I754" s="346">
        <f t="shared" si="79"/>
        <v>2.5</v>
      </c>
      <c r="J754" s="27"/>
      <c r="K754" s="27"/>
      <c r="L754" s="27"/>
      <c r="M754" s="387">
        <v>6</v>
      </c>
      <c r="N754" s="385">
        <v>454.87</v>
      </c>
      <c r="O754" s="328">
        <f t="shared" si="78"/>
        <v>1137.175</v>
      </c>
      <c r="P754" s="330"/>
      <c r="Q754" s="27"/>
      <c r="R754" s="308"/>
      <c r="S754" s="307"/>
      <c r="T754" s="27"/>
    </row>
    <row r="755" spans="1:20" x14ac:dyDescent="0.25">
      <c r="A755" s="592"/>
      <c r="B755" s="589"/>
      <c r="C755" s="590" t="s">
        <v>739</v>
      </c>
      <c r="D755" s="240">
        <v>1</v>
      </c>
      <c r="E755" s="345" t="s">
        <v>737</v>
      </c>
      <c r="F755" s="30"/>
      <c r="G755" s="346">
        <f>5*H755</f>
        <v>40</v>
      </c>
      <c r="H755" s="346">
        <v>8</v>
      </c>
      <c r="I755" s="346">
        <f t="shared" si="79"/>
        <v>40</v>
      </c>
      <c r="J755" s="27"/>
      <c r="K755" s="27"/>
      <c r="L755" s="27"/>
      <c r="M755" s="387">
        <v>6</v>
      </c>
      <c r="N755" s="385">
        <v>454.87</v>
      </c>
      <c r="O755" s="328">
        <f t="shared" si="78"/>
        <v>18194.8</v>
      </c>
      <c r="P755" s="330"/>
      <c r="Q755" s="27"/>
      <c r="R755" s="308"/>
      <c r="S755" s="307"/>
      <c r="T755" s="27"/>
    </row>
    <row r="756" spans="1:20" x14ac:dyDescent="0.25">
      <c r="A756" s="592"/>
      <c r="B756" s="589"/>
      <c r="C756" s="590"/>
      <c r="D756" s="240">
        <v>1</v>
      </c>
      <c r="E756" s="345" t="s">
        <v>290</v>
      </c>
      <c r="F756" s="30"/>
      <c r="G756" s="346">
        <f>5.1*H756</f>
        <v>15.299999999999999</v>
      </c>
      <c r="H756" s="346">
        <v>3</v>
      </c>
      <c r="I756" s="346">
        <f t="shared" si="79"/>
        <v>15.299999999999999</v>
      </c>
      <c r="J756" s="27"/>
      <c r="K756" s="27"/>
      <c r="L756" s="27"/>
      <c r="M756" s="387">
        <v>6</v>
      </c>
      <c r="N756" s="385">
        <v>454.87</v>
      </c>
      <c r="O756" s="328">
        <f t="shared" si="78"/>
        <v>6959.5109999999995</v>
      </c>
      <c r="P756" s="330"/>
      <c r="Q756" s="27"/>
      <c r="R756" s="308"/>
      <c r="S756" s="307"/>
      <c r="T756" s="27"/>
    </row>
    <row r="757" spans="1:20" x14ac:dyDescent="0.25">
      <c r="A757" s="592"/>
      <c r="B757" s="589"/>
      <c r="C757" s="590"/>
      <c r="D757" s="240">
        <v>1</v>
      </c>
      <c r="E757" s="345" t="s">
        <v>292</v>
      </c>
      <c r="F757" s="30"/>
      <c r="G757" s="346">
        <f>14.6*H757</f>
        <v>14.6</v>
      </c>
      <c r="H757" s="346">
        <v>1</v>
      </c>
      <c r="I757" s="346">
        <f t="shared" si="79"/>
        <v>14.6</v>
      </c>
      <c r="J757" s="27"/>
      <c r="K757" s="27"/>
      <c r="L757" s="27"/>
      <c r="M757" s="387">
        <v>6</v>
      </c>
      <c r="N757" s="385">
        <v>454.87</v>
      </c>
      <c r="O757" s="328">
        <f t="shared" si="78"/>
        <v>6641.1019999999999</v>
      </c>
      <c r="P757" s="330"/>
      <c r="Q757" s="27"/>
      <c r="R757" s="308"/>
      <c r="S757" s="307"/>
      <c r="T757" s="27"/>
    </row>
    <row r="758" spans="1:20" x14ac:dyDescent="0.25">
      <c r="A758" s="592"/>
      <c r="B758" s="589"/>
      <c r="C758" s="590" t="s">
        <v>740</v>
      </c>
      <c r="D758" s="240">
        <v>1</v>
      </c>
      <c r="E758" s="345" t="s">
        <v>737</v>
      </c>
      <c r="F758" s="30"/>
      <c r="G758" s="346">
        <f>0.25*8</f>
        <v>2</v>
      </c>
      <c r="H758" s="346">
        <v>8</v>
      </c>
      <c r="I758" s="346">
        <f t="shared" si="79"/>
        <v>2</v>
      </c>
      <c r="J758" s="27"/>
      <c r="K758" s="27"/>
      <c r="L758" s="27"/>
      <c r="M758" s="387">
        <v>6</v>
      </c>
      <c r="N758" s="385">
        <v>454.87</v>
      </c>
      <c r="O758" s="328">
        <f t="shared" si="78"/>
        <v>909.74</v>
      </c>
      <c r="P758" s="330"/>
      <c r="Q758" s="27"/>
      <c r="R758" s="308"/>
      <c r="S758" s="307"/>
      <c r="T758" s="27"/>
    </row>
    <row r="759" spans="1:20" x14ac:dyDescent="0.25">
      <c r="A759" s="592"/>
      <c r="B759" s="589"/>
      <c r="C759" s="590"/>
      <c r="D759" s="240">
        <v>1</v>
      </c>
      <c r="E759" s="345" t="s">
        <v>290</v>
      </c>
      <c r="F759" s="30"/>
      <c r="G759" s="346">
        <f>0.5*H759</f>
        <v>1.5</v>
      </c>
      <c r="H759" s="346">
        <v>3</v>
      </c>
      <c r="I759" s="346">
        <f t="shared" si="79"/>
        <v>1.5</v>
      </c>
      <c r="J759" s="27"/>
      <c r="K759" s="27"/>
      <c r="L759" s="27"/>
      <c r="M759" s="387">
        <v>6</v>
      </c>
      <c r="N759" s="385">
        <v>454.87</v>
      </c>
      <c r="O759" s="328">
        <f t="shared" si="78"/>
        <v>682.30500000000006</v>
      </c>
      <c r="P759" s="330"/>
      <c r="Q759" s="27"/>
      <c r="R759" s="308"/>
      <c r="S759" s="307"/>
      <c r="T759" s="27"/>
    </row>
    <row r="760" spans="1:20" x14ac:dyDescent="0.25">
      <c r="A760" s="592"/>
      <c r="B760" s="589"/>
      <c r="C760" s="590"/>
      <c r="D760" s="240">
        <v>1</v>
      </c>
      <c r="E760" s="345" t="s">
        <v>292</v>
      </c>
      <c r="F760" s="30"/>
      <c r="G760" s="346">
        <v>1</v>
      </c>
      <c r="H760" s="346">
        <v>1</v>
      </c>
      <c r="I760" s="346">
        <f t="shared" si="79"/>
        <v>1</v>
      </c>
      <c r="J760" s="27"/>
      <c r="K760" s="27"/>
      <c r="L760" s="27"/>
      <c r="M760" s="387">
        <v>6</v>
      </c>
      <c r="N760" s="385">
        <v>454.87</v>
      </c>
      <c r="O760" s="328">
        <f t="shared" si="78"/>
        <v>454.87</v>
      </c>
      <c r="P760" s="330"/>
      <c r="Q760" s="27"/>
      <c r="R760" s="308"/>
      <c r="S760" s="307"/>
      <c r="T760" s="27"/>
    </row>
    <row r="761" spans="1:20" ht="31.5" x14ac:dyDescent="0.25">
      <c r="A761" s="592"/>
      <c r="B761" s="589"/>
      <c r="C761" s="347" t="s">
        <v>741</v>
      </c>
      <c r="D761" s="240">
        <v>1</v>
      </c>
      <c r="E761" s="345" t="s">
        <v>290</v>
      </c>
      <c r="F761" s="30"/>
      <c r="G761" s="346">
        <f>3.4*12</f>
        <v>40.799999999999997</v>
      </c>
      <c r="H761" s="346">
        <v>12</v>
      </c>
      <c r="I761" s="346">
        <f t="shared" si="79"/>
        <v>40.799999999999997</v>
      </c>
      <c r="J761" s="27"/>
      <c r="K761" s="27"/>
      <c r="L761" s="27"/>
      <c r="M761" s="387">
        <v>6</v>
      </c>
      <c r="N761" s="385">
        <v>454.87</v>
      </c>
      <c r="O761" s="328">
        <f t="shared" si="78"/>
        <v>18558.696</v>
      </c>
      <c r="P761" s="330"/>
      <c r="Q761" s="27"/>
      <c r="R761" s="308"/>
      <c r="S761" s="307"/>
      <c r="T761" s="27"/>
    </row>
    <row r="762" spans="1:20" ht="47.25" x14ac:dyDescent="0.25">
      <c r="A762" s="593"/>
      <c r="B762" s="589"/>
      <c r="C762" s="347" t="s">
        <v>736</v>
      </c>
      <c r="D762" s="240">
        <v>1</v>
      </c>
      <c r="E762" s="345" t="s">
        <v>290</v>
      </c>
      <c r="F762" s="30"/>
      <c r="G762" s="346">
        <f>0.1*H762</f>
        <v>1.2000000000000002</v>
      </c>
      <c r="H762" s="346">
        <v>12</v>
      </c>
      <c r="I762" s="346">
        <f t="shared" si="79"/>
        <v>1.2000000000000002</v>
      </c>
      <c r="J762" s="27"/>
      <c r="K762" s="27"/>
      <c r="L762" s="27"/>
      <c r="M762" s="387">
        <v>6</v>
      </c>
      <c r="N762" s="385">
        <v>454.87</v>
      </c>
      <c r="O762" s="328">
        <f t="shared" si="78"/>
        <v>545.84400000000005</v>
      </c>
      <c r="P762" s="330"/>
      <c r="Q762" s="27"/>
      <c r="R762" s="308"/>
      <c r="S762" s="307"/>
      <c r="T762" s="27"/>
    </row>
    <row r="763" spans="1:20" x14ac:dyDescent="0.25">
      <c r="A763" s="591">
        <v>9</v>
      </c>
      <c r="B763" s="589" t="s">
        <v>845</v>
      </c>
      <c r="C763" s="590" t="s">
        <v>738</v>
      </c>
      <c r="D763" s="240">
        <v>1</v>
      </c>
      <c r="E763" s="345" t="s">
        <v>737</v>
      </c>
      <c r="F763" s="30"/>
      <c r="G763" s="346">
        <f>0.5*H763</f>
        <v>4</v>
      </c>
      <c r="H763" s="346">
        <v>8</v>
      </c>
      <c r="I763" s="346">
        <f t="shared" si="79"/>
        <v>4</v>
      </c>
      <c r="J763" s="27"/>
      <c r="K763" s="27"/>
      <c r="L763" s="27"/>
      <c r="M763" s="387">
        <v>6</v>
      </c>
      <c r="N763" s="385">
        <v>454.87</v>
      </c>
      <c r="O763" s="328">
        <f t="shared" si="78"/>
        <v>1819.48</v>
      </c>
      <c r="P763" s="330"/>
      <c r="Q763" s="27"/>
      <c r="R763" s="308"/>
      <c r="S763" s="307"/>
      <c r="T763" s="27"/>
    </row>
    <row r="764" spans="1:20" x14ac:dyDescent="0.25">
      <c r="A764" s="592"/>
      <c r="B764" s="589"/>
      <c r="C764" s="590"/>
      <c r="D764" s="240">
        <v>1</v>
      </c>
      <c r="E764" s="345" t="s">
        <v>290</v>
      </c>
      <c r="F764" s="30"/>
      <c r="G764" s="346">
        <v>3</v>
      </c>
      <c r="H764" s="346">
        <v>3</v>
      </c>
      <c r="I764" s="346">
        <f t="shared" si="79"/>
        <v>3</v>
      </c>
      <c r="J764" s="27"/>
      <c r="K764" s="27"/>
      <c r="L764" s="27"/>
      <c r="M764" s="387">
        <v>6</v>
      </c>
      <c r="N764" s="385">
        <v>454.87</v>
      </c>
      <c r="O764" s="328">
        <f t="shared" si="78"/>
        <v>1364.6100000000001</v>
      </c>
      <c r="P764" s="330"/>
      <c r="Q764" s="27"/>
      <c r="R764" s="308"/>
      <c r="S764" s="307"/>
      <c r="T764" s="27"/>
    </row>
    <row r="765" spans="1:20" x14ac:dyDescent="0.25">
      <c r="A765" s="592"/>
      <c r="B765" s="589"/>
      <c r="C765" s="590"/>
      <c r="D765" s="240">
        <v>1</v>
      </c>
      <c r="E765" s="345" t="s">
        <v>292</v>
      </c>
      <c r="F765" s="30"/>
      <c r="G765" s="346">
        <v>6.5</v>
      </c>
      <c r="H765" s="346">
        <v>1</v>
      </c>
      <c r="I765" s="346">
        <f t="shared" si="79"/>
        <v>6.5</v>
      </c>
      <c r="J765" s="27"/>
      <c r="K765" s="27"/>
      <c r="L765" s="27"/>
      <c r="M765" s="387">
        <v>6</v>
      </c>
      <c r="N765" s="385">
        <v>454.87</v>
      </c>
      <c r="O765" s="328">
        <f t="shared" si="78"/>
        <v>2956.6550000000002</v>
      </c>
      <c r="P765" s="330"/>
      <c r="Q765" s="27"/>
      <c r="R765" s="308"/>
      <c r="S765" s="307"/>
      <c r="T765" s="27"/>
    </row>
    <row r="766" spans="1:20" x14ac:dyDescent="0.25">
      <c r="A766" s="592"/>
      <c r="B766" s="589"/>
      <c r="C766" s="590" t="s">
        <v>733</v>
      </c>
      <c r="D766" s="240">
        <v>1</v>
      </c>
      <c r="E766" s="345" t="s">
        <v>737</v>
      </c>
      <c r="F766" s="30"/>
      <c r="G766" s="346">
        <f>0.5*H766</f>
        <v>4</v>
      </c>
      <c r="H766" s="346">
        <v>8</v>
      </c>
      <c r="I766" s="346">
        <f t="shared" si="79"/>
        <v>4</v>
      </c>
      <c r="J766" s="27"/>
      <c r="K766" s="27"/>
      <c r="L766" s="27"/>
      <c r="M766" s="387">
        <v>6</v>
      </c>
      <c r="N766" s="385">
        <v>454.87</v>
      </c>
      <c r="O766" s="328">
        <f t="shared" si="78"/>
        <v>1819.48</v>
      </c>
      <c r="P766" s="330"/>
      <c r="Q766" s="27"/>
      <c r="R766" s="308"/>
      <c r="S766" s="307"/>
      <c r="T766" s="27"/>
    </row>
    <row r="767" spans="1:20" x14ac:dyDescent="0.25">
      <c r="A767" s="592"/>
      <c r="B767" s="589"/>
      <c r="C767" s="590"/>
      <c r="D767" s="240">
        <v>1</v>
      </c>
      <c r="E767" s="345" t="s">
        <v>290</v>
      </c>
      <c r="F767" s="30"/>
      <c r="G767" s="346">
        <v>3</v>
      </c>
      <c r="H767" s="346">
        <v>3</v>
      </c>
      <c r="I767" s="346">
        <f t="shared" si="79"/>
        <v>3</v>
      </c>
      <c r="J767" s="27"/>
      <c r="K767" s="27"/>
      <c r="L767" s="27"/>
      <c r="M767" s="387">
        <v>6</v>
      </c>
      <c r="N767" s="385">
        <v>454.87</v>
      </c>
      <c r="O767" s="328">
        <f t="shared" si="78"/>
        <v>1364.6100000000001</v>
      </c>
      <c r="P767" s="330"/>
      <c r="Q767" s="27"/>
      <c r="R767" s="308"/>
      <c r="S767" s="307"/>
      <c r="T767" s="27"/>
    </row>
    <row r="768" spans="1:20" x14ac:dyDescent="0.25">
      <c r="A768" s="592"/>
      <c r="B768" s="589"/>
      <c r="C768" s="590"/>
      <c r="D768" s="240">
        <v>1</v>
      </c>
      <c r="E768" s="345" t="s">
        <v>292</v>
      </c>
      <c r="F768" s="30"/>
      <c r="G768" s="346">
        <v>2.5</v>
      </c>
      <c r="H768" s="346">
        <v>1</v>
      </c>
      <c r="I768" s="346">
        <f t="shared" si="79"/>
        <v>2.5</v>
      </c>
      <c r="J768" s="27"/>
      <c r="K768" s="27"/>
      <c r="L768" s="27"/>
      <c r="M768" s="387">
        <v>6</v>
      </c>
      <c r="N768" s="385">
        <v>454.87</v>
      </c>
      <c r="O768" s="328">
        <f t="shared" si="78"/>
        <v>1137.175</v>
      </c>
      <c r="P768" s="330"/>
      <c r="Q768" s="27"/>
      <c r="R768" s="308"/>
      <c r="S768" s="307"/>
      <c r="T768" s="27"/>
    </row>
    <row r="769" spans="1:20" x14ac:dyDescent="0.25">
      <c r="A769" s="592"/>
      <c r="B769" s="589"/>
      <c r="C769" s="590" t="s">
        <v>734</v>
      </c>
      <c r="D769" s="240">
        <v>1</v>
      </c>
      <c r="E769" s="345" t="s">
        <v>737</v>
      </c>
      <c r="F769" s="30"/>
      <c r="G769" s="346">
        <f>0.5*H769</f>
        <v>4</v>
      </c>
      <c r="H769" s="346">
        <v>8</v>
      </c>
      <c r="I769" s="346">
        <f t="shared" si="79"/>
        <v>4</v>
      </c>
      <c r="J769" s="27"/>
      <c r="K769" s="27"/>
      <c r="L769" s="27"/>
      <c r="M769" s="387">
        <v>6</v>
      </c>
      <c r="N769" s="385">
        <v>454.87</v>
      </c>
      <c r="O769" s="328">
        <f t="shared" si="78"/>
        <v>1819.48</v>
      </c>
      <c r="P769" s="330"/>
      <c r="Q769" s="27"/>
      <c r="R769" s="308"/>
      <c r="S769" s="307"/>
      <c r="T769" s="27"/>
    </row>
    <row r="770" spans="1:20" x14ac:dyDescent="0.25">
      <c r="A770" s="592"/>
      <c r="B770" s="589"/>
      <c r="C770" s="590"/>
      <c r="D770" s="240">
        <v>1</v>
      </c>
      <c r="E770" s="345" t="s">
        <v>290</v>
      </c>
      <c r="F770" s="30"/>
      <c r="G770" s="346">
        <f>0.75*H770</f>
        <v>2.25</v>
      </c>
      <c r="H770" s="346">
        <v>3</v>
      </c>
      <c r="I770" s="346">
        <f t="shared" si="79"/>
        <v>2.25</v>
      </c>
      <c r="J770" s="27"/>
      <c r="K770" s="27"/>
      <c r="L770" s="27"/>
      <c r="M770" s="387">
        <v>6</v>
      </c>
      <c r="N770" s="385">
        <v>454.87</v>
      </c>
      <c r="O770" s="328">
        <f t="shared" si="78"/>
        <v>1023.4575</v>
      </c>
      <c r="P770" s="330"/>
      <c r="Q770" s="27"/>
      <c r="R770" s="308"/>
      <c r="S770" s="307"/>
      <c r="T770" s="27"/>
    </row>
    <row r="771" spans="1:20" x14ac:dyDescent="0.25">
      <c r="A771" s="592"/>
      <c r="B771" s="589"/>
      <c r="C771" s="590"/>
      <c r="D771" s="240">
        <v>1</v>
      </c>
      <c r="E771" s="345" t="s">
        <v>292</v>
      </c>
      <c r="F771" s="30"/>
      <c r="G771" s="346">
        <f>2.5*H771</f>
        <v>2.5</v>
      </c>
      <c r="H771" s="346">
        <v>1</v>
      </c>
      <c r="I771" s="346">
        <f t="shared" si="79"/>
        <v>2.5</v>
      </c>
      <c r="J771" s="27"/>
      <c r="K771" s="27"/>
      <c r="L771" s="27"/>
      <c r="M771" s="387">
        <v>6</v>
      </c>
      <c r="N771" s="385">
        <v>454.87</v>
      </c>
      <c r="O771" s="328">
        <f t="shared" si="78"/>
        <v>1137.175</v>
      </c>
      <c r="P771" s="330"/>
      <c r="Q771" s="27"/>
      <c r="R771" s="308"/>
      <c r="S771" s="307"/>
      <c r="T771" s="27"/>
    </row>
    <row r="772" spans="1:20" x14ac:dyDescent="0.25">
      <c r="A772" s="592"/>
      <c r="B772" s="589"/>
      <c r="C772" s="590" t="s">
        <v>739</v>
      </c>
      <c r="D772" s="240">
        <v>1</v>
      </c>
      <c r="E772" s="345" t="s">
        <v>737</v>
      </c>
      <c r="F772" s="30"/>
      <c r="G772" s="346">
        <f>5*H772</f>
        <v>40</v>
      </c>
      <c r="H772" s="346">
        <v>8</v>
      </c>
      <c r="I772" s="346">
        <f t="shared" si="79"/>
        <v>40</v>
      </c>
      <c r="J772" s="27"/>
      <c r="K772" s="27"/>
      <c r="L772" s="27"/>
      <c r="M772" s="387">
        <v>6</v>
      </c>
      <c r="N772" s="385">
        <v>454.87</v>
      </c>
      <c r="O772" s="328">
        <f t="shared" si="78"/>
        <v>18194.8</v>
      </c>
      <c r="P772" s="330"/>
      <c r="Q772" s="27"/>
      <c r="R772" s="308"/>
      <c r="S772" s="307"/>
      <c r="T772" s="27"/>
    </row>
    <row r="773" spans="1:20" x14ac:dyDescent="0.25">
      <c r="A773" s="592"/>
      <c r="B773" s="589"/>
      <c r="C773" s="590"/>
      <c r="D773" s="240">
        <v>1</v>
      </c>
      <c r="E773" s="345" t="s">
        <v>290</v>
      </c>
      <c r="F773" s="30"/>
      <c r="G773" s="346">
        <f>5.1*H773</f>
        <v>15.299999999999999</v>
      </c>
      <c r="H773" s="346">
        <v>3</v>
      </c>
      <c r="I773" s="346">
        <f t="shared" si="79"/>
        <v>15.299999999999999</v>
      </c>
      <c r="J773" s="27"/>
      <c r="K773" s="27"/>
      <c r="L773" s="27"/>
      <c r="M773" s="387">
        <v>6</v>
      </c>
      <c r="N773" s="385">
        <v>454.87</v>
      </c>
      <c r="O773" s="328">
        <f t="shared" si="78"/>
        <v>6959.5109999999995</v>
      </c>
      <c r="P773" s="330"/>
      <c r="Q773" s="27"/>
      <c r="R773" s="308"/>
      <c r="S773" s="307"/>
      <c r="T773" s="27"/>
    </row>
    <row r="774" spans="1:20" x14ac:dyDescent="0.25">
      <c r="A774" s="592"/>
      <c r="B774" s="589"/>
      <c r="C774" s="590"/>
      <c r="D774" s="240">
        <v>1</v>
      </c>
      <c r="E774" s="345" t="s">
        <v>292</v>
      </c>
      <c r="F774" s="30"/>
      <c r="G774" s="346">
        <f>14.6*H774</f>
        <v>14.6</v>
      </c>
      <c r="H774" s="346">
        <v>1</v>
      </c>
      <c r="I774" s="346">
        <f t="shared" si="79"/>
        <v>14.6</v>
      </c>
      <c r="J774" s="27"/>
      <c r="K774" s="27"/>
      <c r="L774" s="27"/>
      <c r="M774" s="387">
        <v>6</v>
      </c>
      <c r="N774" s="385">
        <v>454.87</v>
      </c>
      <c r="O774" s="328">
        <f t="shared" si="78"/>
        <v>6641.1019999999999</v>
      </c>
      <c r="P774" s="330"/>
      <c r="Q774" s="27"/>
      <c r="R774" s="308"/>
      <c r="S774" s="307"/>
      <c r="T774" s="27"/>
    </row>
    <row r="775" spans="1:20" x14ac:dyDescent="0.25">
      <c r="A775" s="592"/>
      <c r="B775" s="589"/>
      <c r="C775" s="590" t="s">
        <v>740</v>
      </c>
      <c r="D775" s="240">
        <v>1</v>
      </c>
      <c r="E775" s="345" t="s">
        <v>737</v>
      </c>
      <c r="F775" s="30"/>
      <c r="G775" s="346">
        <f>0.25*8</f>
        <v>2</v>
      </c>
      <c r="H775" s="346">
        <v>8</v>
      </c>
      <c r="I775" s="346">
        <f t="shared" si="79"/>
        <v>2</v>
      </c>
      <c r="J775" s="27"/>
      <c r="K775" s="27"/>
      <c r="L775" s="27"/>
      <c r="M775" s="387">
        <v>6</v>
      </c>
      <c r="N775" s="385">
        <v>454.87</v>
      </c>
      <c r="O775" s="328">
        <f t="shared" ref="O775:O792" si="80">I775*N775</f>
        <v>909.74</v>
      </c>
      <c r="P775" s="330"/>
      <c r="Q775" s="27"/>
      <c r="R775" s="308"/>
      <c r="S775" s="307"/>
      <c r="T775" s="27"/>
    </row>
    <row r="776" spans="1:20" x14ac:dyDescent="0.25">
      <c r="A776" s="592"/>
      <c r="B776" s="589"/>
      <c r="C776" s="590"/>
      <c r="D776" s="240">
        <v>1</v>
      </c>
      <c r="E776" s="345" t="s">
        <v>290</v>
      </c>
      <c r="F776" s="30"/>
      <c r="G776" s="346">
        <f>0.5*H776</f>
        <v>1.5</v>
      </c>
      <c r="H776" s="346">
        <v>3</v>
      </c>
      <c r="I776" s="346">
        <f t="shared" si="79"/>
        <v>1.5</v>
      </c>
      <c r="J776" s="27"/>
      <c r="K776" s="27"/>
      <c r="L776" s="27"/>
      <c r="M776" s="387">
        <v>6</v>
      </c>
      <c r="N776" s="385">
        <v>454.87</v>
      </c>
      <c r="O776" s="328">
        <f t="shared" si="80"/>
        <v>682.30500000000006</v>
      </c>
      <c r="P776" s="330"/>
      <c r="Q776" s="27"/>
      <c r="R776" s="308"/>
      <c r="S776" s="307"/>
      <c r="T776" s="27"/>
    </row>
    <row r="777" spans="1:20" x14ac:dyDescent="0.25">
      <c r="A777" s="592"/>
      <c r="B777" s="589"/>
      <c r="C777" s="590"/>
      <c r="D777" s="240">
        <v>1</v>
      </c>
      <c r="E777" s="345" t="s">
        <v>292</v>
      </c>
      <c r="F777" s="30"/>
      <c r="G777" s="346">
        <v>1</v>
      </c>
      <c r="H777" s="346">
        <v>1</v>
      </c>
      <c r="I777" s="346">
        <f t="shared" si="79"/>
        <v>1</v>
      </c>
      <c r="J777" s="27"/>
      <c r="K777" s="27"/>
      <c r="L777" s="27"/>
      <c r="M777" s="387">
        <v>6</v>
      </c>
      <c r="N777" s="385">
        <v>454.87</v>
      </c>
      <c r="O777" s="328">
        <f t="shared" si="80"/>
        <v>454.87</v>
      </c>
      <c r="P777" s="330"/>
      <c r="Q777" s="27"/>
      <c r="R777" s="308"/>
      <c r="S777" s="307"/>
      <c r="T777" s="27"/>
    </row>
    <row r="778" spans="1:20" ht="31.5" x14ac:dyDescent="0.25">
      <c r="A778" s="592"/>
      <c r="B778" s="589"/>
      <c r="C778" s="347" t="s">
        <v>741</v>
      </c>
      <c r="D778" s="240">
        <v>1</v>
      </c>
      <c r="E778" s="345" t="s">
        <v>290</v>
      </c>
      <c r="F778" s="30"/>
      <c r="G778" s="346">
        <f>3.4*12</f>
        <v>40.799999999999997</v>
      </c>
      <c r="H778" s="346">
        <v>12</v>
      </c>
      <c r="I778" s="346">
        <f t="shared" si="79"/>
        <v>40.799999999999997</v>
      </c>
      <c r="J778" s="27"/>
      <c r="K778" s="27"/>
      <c r="L778" s="27"/>
      <c r="M778" s="387">
        <v>6</v>
      </c>
      <c r="N778" s="385">
        <v>454.87</v>
      </c>
      <c r="O778" s="328">
        <f t="shared" si="80"/>
        <v>18558.696</v>
      </c>
      <c r="P778" s="330"/>
      <c r="Q778" s="27"/>
      <c r="R778" s="308"/>
      <c r="S778" s="307"/>
      <c r="T778" s="27"/>
    </row>
    <row r="779" spans="1:20" ht="47.25" x14ac:dyDescent="0.25">
      <c r="A779" s="593"/>
      <c r="B779" s="589"/>
      <c r="C779" s="347" t="s">
        <v>736</v>
      </c>
      <c r="D779" s="240">
        <v>1</v>
      </c>
      <c r="E779" s="345" t="s">
        <v>290</v>
      </c>
      <c r="F779" s="30"/>
      <c r="G779" s="346">
        <f>0.1*H779</f>
        <v>1.2000000000000002</v>
      </c>
      <c r="H779" s="346">
        <v>12</v>
      </c>
      <c r="I779" s="346">
        <f t="shared" si="79"/>
        <v>1.2000000000000002</v>
      </c>
      <c r="J779" s="27"/>
      <c r="K779" s="27"/>
      <c r="L779" s="27"/>
      <c r="M779" s="387">
        <v>6</v>
      </c>
      <c r="N779" s="385">
        <v>454.87</v>
      </c>
      <c r="O779" s="328">
        <f t="shared" si="80"/>
        <v>545.84400000000005</v>
      </c>
      <c r="P779" s="330"/>
      <c r="Q779" s="27"/>
      <c r="R779" s="308"/>
      <c r="S779" s="307"/>
      <c r="T779" s="27"/>
    </row>
    <row r="780" spans="1:20" x14ac:dyDescent="0.25">
      <c r="A780" s="591">
        <v>10</v>
      </c>
      <c r="B780" s="589" t="s">
        <v>1035</v>
      </c>
      <c r="C780" s="590" t="s">
        <v>742</v>
      </c>
      <c r="D780" s="240">
        <v>1</v>
      </c>
      <c r="E780" s="345" t="s">
        <v>737</v>
      </c>
      <c r="F780" s="30"/>
      <c r="G780" s="346">
        <f>0.5*H780</f>
        <v>4</v>
      </c>
      <c r="H780" s="346">
        <v>8</v>
      </c>
      <c r="I780" s="346">
        <f t="shared" si="79"/>
        <v>4</v>
      </c>
      <c r="J780" s="27"/>
      <c r="K780" s="27"/>
      <c r="L780" s="27"/>
      <c r="M780" s="387">
        <v>6</v>
      </c>
      <c r="N780" s="385">
        <v>454.87</v>
      </c>
      <c r="O780" s="328">
        <f t="shared" si="80"/>
        <v>1819.48</v>
      </c>
      <c r="P780" s="330"/>
      <c r="Q780" s="27"/>
      <c r="R780" s="308"/>
      <c r="S780" s="307"/>
      <c r="T780" s="27"/>
    </row>
    <row r="781" spans="1:20" x14ac:dyDescent="0.25">
      <c r="A781" s="592"/>
      <c r="B781" s="589"/>
      <c r="C781" s="590"/>
      <c r="D781" s="240">
        <v>1</v>
      </c>
      <c r="E781" s="345" t="s">
        <v>290</v>
      </c>
      <c r="F781" s="30"/>
      <c r="G781" s="346">
        <v>3</v>
      </c>
      <c r="H781" s="346">
        <v>3</v>
      </c>
      <c r="I781" s="346">
        <f t="shared" si="79"/>
        <v>3</v>
      </c>
      <c r="J781" s="27"/>
      <c r="K781" s="27"/>
      <c r="L781" s="27"/>
      <c r="M781" s="387">
        <v>6</v>
      </c>
      <c r="N781" s="385">
        <v>454.87</v>
      </c>
      <c r="O781" s="328">
        <f t="shared" si="80"/>
        <v>1364.6100000000001</v>
      </c>
      <c r="P781" s="330"/>
      <c r="Q781" s="27"/>
      <c r="R781" s="308"/>
      <c r="S781" s="307"/>
      <c r="T781" s="27"/>
    </row>
    <row r="782" spans="1:20" x14ac:dyDescent="0.25">
      <c r="A782" s="592"/>
      <c r="B782" s="589"/>
      <c r="C782" s="590"/>
      <c r="D782" s="240">
        <v>1</v>
      </c>
      <c r="E782" s="345" t="s">
        <v>292</v>
      </c>
      <c r="F782" s="30"/>
      <c r="G782" s="346">
        <v>6.5</v>
      </c>
      <c r="H782" s="346">
        <v>1</v>
      </c>
      <c r="I782" s="346">
        <f t="shared" si="79"/>
        <v>6.5</v>
      </c>
      <c r="J782" s="27"/>
      <c r="K782" s="27"/>
      <c r="L782" s="27"/>
      <c r="M782" s="387">
        <v>6</v>
      </c>
      <c r="N782" s="385">
        <v>454.87</v>
      </c>
      <c r="O782" s="328">
        <f t="shared" si="80"/>
        <v>2956.6550000000002</v>
      </c>
      <c r="P782" s="330"/>
      <c r="Q782" s="27"/>
      <c r="R782" s="308"/>
      <c r="S782" s="307"/>
      <c r="T782" s="27"/>
    </row>
    <row r="783" spans="1:20" x14ac:dyDescent="0.25">
      <c r="A783" s="592"/>
      <c r="B783" s="589"/>
      <c r="C783" s="590" t="s">
        <v>733</v>
      </c>
      <c r="D783" s="240">
        <v>1</v>
      </c>
      <c r="E783" s="345" t="s">
        <v>737</v>
      </c>
      <c r="F783" s="30"/>
      <c r="G783" s="346">
        <f>0.5*H783</f>
        <v>4</v>
      </c>
      <c r="H783" s="346">
        <v>8</v>
      </c>
      <c r="I783" s="346">
        <f t="shared" si="79"/>
        <v>4</v>
      </c>
      <c r="J783" s="27"/>
      <c r="K783" s="27"/>
      <c r="L783" s="27"/>
      <c r="M783" s="387">
        <v>6</v>
      </c>
      <c r="N783" s="385">
        <v>454.87</v>
      </c>
      <c r="O783" s="328">
        <f t="shared" si="80"/>
        <v>1819.48</v>
      </c>
      <c r="P783" s="330"/>
      <c r="Q783" s="27"/>
      <c r="R783" s="308"/>
      <c r="S783" s="307"/>
      <c r="T783" s="27"/>
    </row>
    <row r="784" spans="1:20" x14ac:dyDescent="0.25">
      <c r="A784" s="592"/>
      <c r="B784" s="589"/>
      <c r="C784" s="590"/>
      <c r="D784" s="240">
        <v>1</v>
      </c>
      <c r="E784" s="345" t="s">
        <v>290</v>
      </c>
      <c r="F784" s="30"/>
      <c r="G784" s="346">
        <v>3</v>
      </c>
      <c r="H784" s="346">
        <v>3</v>
      </c>
      <c r="I784" s="346">
        <f t="shared" si="79"/>
        <v>3</v>
      </c>
      <c r="J784" s="27"/>
      <c r="K784" s="27"/>
      <c r="L784" s="27"/>
      <c r="M784" s="387">
        <v>6</v>
      </c>
      <c r="N784" s="385">
        <v>454.87</v>
      </c>
      <c r="O784" s="328">
        <f t="shared" si="80"/>
        <v>1364.6100000000001</v>
      </c>
      <c r="P784" s="330"/>
      <c r="Q784" s="27"/>
      <c r="R784" s="308"/>
      <c r="S784" s="307"/>
      <c r="T784" s="27"/>
    </row>
    <row r="785" spans="1:20" x14ac:dyDescent="0.25">
      <c r="A785" s="592"/>
      <c r="B785" s="589"/>
      <c r="C785" s="590"/>
      <c r="D785" s="240">
        <v>1</v>
      </c>
      <c r="E785" s="345" t="s">
        <v>292</v>
      </c>
      <c r="F785" s="30"/>
      <c r="G785" s="346">
        <v>2.5</v>
      </c>
      <c r="H785" s="346">
        <v>1</v>
      </c>
      <c r="I785" s="346">
        <f t="shared" si="79"/>
        <v>2.5</v>
      </c>
      <c r="J785" s="27"/>
      <c r="K785" s="27"/>
      <c r="L785" s="27"/>
      <c r="M785" s="387">
        <v>6</v>
      </c>
      <c r="N785" s="385">
        <v>454.87</v>
      </c>
      <c r="O785" s="328">
        <f t="shared" si="80"/>
        <v>1137.175</v>
      </c>
      <c r="P785" s="330"/>
      <c r="Q785" s="27"/>
      <c r="R785" s="308"/>
      <c r="S785" s="307"/>
      <c r="T785" s="27"/>
    </row>
    <row r="786" spans="1:20" x14ac:dyDescent="0.25">
      <c r="A786" s="592"/>
      <c r="B786" s="589"/>
      <c r="C786" s="590" t="s">
        <v>734</v>
      </c>
      <c r="D786" s="240">
        <v>1</v>
      </c>
      <c r="E786" s="345" t="s">
        <v>737</v>
      </c>
      <c r="F786" s="30"/>
      <c r="G786" s="346">
        <f>0.5*H786</f>
        <v>4</v>
      </c>
      <c r="H786" s="346">
        <v>8</v>
      </c>
      <c r="I786" s="346">
        <f t="shared" si="79"/>
        <v>4</v>
      </c>
      <c r="J786" s="27"/>
      <c r="K786" s="27"/>
      <c r="L786" s="27"/>
      <c r="M786" s="387">
        <v>6</v>
      </c>
      <c r="N786" s="385">
        <v>454.87</v>
      </c>
      <c r="O786" s="328">
        <f t="shared" si="80"/>
        <v>1819.48</v>
      </c>
      <c r="P786" s="330"/>
      <c r="Q786" s="27"/>
      <c r="R786" s="308"/>
      <c r="S786" s="307"/>
      <c r="T786" s="27"/>
    </row>
    <row r="787" spans="1:20" x14ac:dyDescent="0.25">
      <c r="A787" s="592"/>
      <c r="B787" s="589"/>
      <c r="C787" s="590"/>
      <c r="D787" s="240">
        <v>1</v>
      </c>
      <c r="E787" s="345" t="s">
        <v>290</v>
      </c>
      <c r="F787" s="30"/>
      <c r="G787" s="346">
        <f>0.75*H787</f>
        <v>2.25</v>
      </c>
      <c r="H787" s="346">
        <v>3</v>
      </c>
      <c r="I787" s="346">
        <f t="shared" si="79"/>
        <v>2.25</v>
      </c>
      <c r="J787" s="27"/>
      <c r="K787" s="27"/>
      <c r="L787" s="27"/>
      <c r="M787" s="387">
        <v>6</v>
      </c>
      <c r="N787" s="385">
        <v>454.87</v>
      </c>
      <c r="O787" s="328">
        <f t="shared" si="80"/>
        <v>1023.4575</v>
      </c>
      <c r="P787" s="330"/>
      <c r="Q787" s="27"/>
      <c r="R787" s="308"/>
      <c r="S787" s="307"/>
      <c r="T787" s="27"/>
    </row>
    <row r="788" spans="1:20" x14ac:dyDescent="0.25">
      <c r="A788" s="592"/>
      <c r="B788" s="589"/>
      <c r="C788" s="590"/>
      <c r="D788" s="240">
        <v>1</v>
      </c>
      <c r="E788" s="345" t="s">
        <v>292</v>
      </c>
      <c r="F788" s="30"/>
      <c r="G788" s="346">
        <f>2.5*H788</f>
        <v>2.5</v>
      </c>
      <c r="H788" s="346">
        <v>1</v>
      </c>
      <c r="I788" s="346">
        <f t="shared" si="79"/>
        <v>2.5</v>
      </c>
      <c r="J788" s="27"/>
      <c r="K788" s="27"/>
      <c r="L788" s="27"/>
      <c r="M788" s="387">
        <v>6</v>
      </c>
      <c r="N788" s="385">
        <v>454.87</v>
      </c>
      <c r="O788" s="328">
        <f t="shared" si="80"/>
        <v>1137.175</v>
      </c>
      <c r="P788" s="330"/>
      <c r="Q788" s="27"/>
      <c r="R788" s="308"/>
      <c r="S788" s="307"/>
      <c r="T788" s="27"/>
    </row>
    <row r="789" spans="1:20" x14ac:dyDescent="0.25">
      <c r="A789" s="592"/>
      <c r="B789" s="589"/>
      <c r="C789" s="590" t="s">
        <v>735</v>
      </c>
      <c r="D789" s="240">
        <v>1</v>
      </c>
      <c r="E789" s="345" t="s">
        <v>737</v>
      </c>
      <c r="F789" s="30"/>
      <c r="G789" s="346">
        <f>5*H789</f>
        <v>40</v>
      </c>
      <c r="H789" s="346">
        <v>8</v>
      </c>
      <c r="I789" s="346">
        <f t="shared" si="79"/>
        <v>40</v>
      </c>
      <c r="J789" s="27"/>
      <c r="K789" s="27"/>
      <c r="L789" s="27"/>
      <c r="M789" s="387">
        <v>6</v>
      </c>
      <c r="N789" s="385">
        <v>454.87</v>
      </c>
      <c r="O789" s="328">
        <f t="shared" si="80"/>
        <v>18194.8</v>
      </c>
      <c r="P789" s="330"/>
      <c r="Q789" s="27"/>
      <c r="R789" s="308"/>
      <c r="S789" s="307"/>
      <c r="T789" s="27"/>
    </row>
    <row r="790" spans="1:20" x14ac:dyDescent="0.25">
      <c r="A790" s="592"/>
      <c r="B790" s="589"/>
      <c r="C790" s="590"/>
      <c r="D790" s="240">
        <v>1</v>
      </c>
      <c r="E790" s="345" t="s">
        <v>290</v>
      </c>
      <c r="F790" s="30"/>
      <c r="G790" s="346">
        <f>5.1*H790</f>
        <v>15.299999999999999</v>
      </c>
      <c r="H790" s="346">
        <v>3</v>
      </c>
      <c r="I790" s="346">
        <f t="shared" si="79"/>
        <v>15.299999999999999</v>
      </c>
      <c r="J790" s="27"/>
      <c r="K790" s="27"/>
      <c r="L790" s="27"/>
      <c r="M790" s="387">
        <v>6</v>
      </c>
      <c r="N790" s="385">
        <v>454.87</v>
      </c>
      <c r="O790" s="328">
        <f t="shared" si="80"/>
        <v>6959.5109999999995</v>
      </c>
      <c r="P790" s="330"/>
      <c r="Q790" s="27"/>
      <c r="R790" s="308"/>
      <c r="S790" s="307"/>
      <c r="T790" s="27"/>
    </row>
    <row r="791" spans="1:20" x14ac:dyDescent="0.25">
      <c r="A791" s="592"/>
      <c r="B791" s="589"/>
      <c r="C791" s="590"/>
      <c r="D791" s="240">
        <v>1</v>
      </c>
      <c r="E791" s="345" t="s">
        <v>292</v>
      </c>
      <c r="F791" s="30"/>
      <c r="G791" s="346">
        <f>14.6*H791</f>
        <v>14.6</v>
      </c>
      <c r="H791" s="346">
        <v>1</v>
      </c>
      <c r="I791" s="346">
        <f t="shared" si="79"/>
        <v>14.6</v>
      </c>
      <c r="J791" s="27"/>
      <c r="K791" s="27"/>
      <c r="L791" s="27"/>
      <c r="M791" s="387">
        <v>6</v>
      </c>
      <c r="N791" s="385">
        <v>454.87</v>
      </c>
      <c r="O791" s="328">
        <f t="shared" si="80"/>
        <v>6641.1019999999999</v>
      </c>
      <c r="P791" s="330"/>
      <c r="Q791" s="27"/>
      <c r="R791" s="308"/>
      <c r="S791" s="307"/>
      <c r="T791" s="27"/>
    </row>
    <row r="792" spans="1:20" ht="31.5" x14ac:dyDescent="0.25">
      <c r="A792" s="592"/>
      <c r="B792" s="589"/>
      <c r="C792" s="347" t="s">
        <v>741</v>
      </c>
      <c r="D792" s="240">
        <v>1</v>
      </c>
      <c r="E792" s="345" t="s">
        <v>290</v>
      </c>
      <c r="F792" s="30"/>
      <c r="G792" s="346">
        <f>3.4*12</f>
        <v>40.799999999999997</v>
      </c>
      <c r="H792" s="346">
        <v>12</v>
      </c>
      <c r="I792" s="346">
        <f t="shared" si="79"/>
        <v>40.799999999999997</v>
      </c>
      <c r="J792" s="27"/>
      <c r="K792" s="27"/>
      <c r="L792" s="27"/>
      <c r="M792" s="387">
        <v>6</v>
      </c>
      <c r="N792" s="385">
        <v>454.87</v>
      </c>
      <c r="O792" s="328">
        <f t="shared" si="80"/>
        <v>18558.696</v>
      </c>
      <c r="P792" s="330"/>
      <c r="Q792" s="27"/>
      <c r="R792" s="308"/>
      <c r="S792" s="307"/>
      <c r="T792" s="27"/>
    </row>
    <row r="793" spans="1:20" ht="47.25" x14ac:dyDescent="0.25">
      <c r="A793" s="592"/>
      <c r="B793" s="655"/>
      <c r="C793" s="348" t="s">
        <v>736</v>
      </c>
      <c r="D793" s="349">
        <v>1</v>
      </c>
      <c r="E793" s="350" t="s">
        <v>290</v>
      </c>
      <c r="F793" s="227"/>
      <c r="G793" s="351">
        <f>0.1*H793</f>
        <v>1.2000000000000002</v>
      </c>
      <c r="H793" s="351">
        <v>12</v>
      </c>
      <c r="I793" s="351">
        <f t="shared" si="79"/>
        <v>1.2000000000000002</v>
      </c>
      <c r="J793" s="244"/>
      <c r="K793" s="244"/>
      <c r="L793" s="244"/>
      <c r="M793" s="400">
        <v>6</v>
      </c>
      <c r="N793" s="385">
        <v>454.87</v>
      </c>
      <c r="O793" s="352">
        <f>I793*N793</f>
        <v>545.84400000000005</v>
      </c>
      <c r="P793" s="353"/>
      <c r="Q793" s="244"/>
      <c r="R793" s="354"/>
      <c r="S793" s="355"/>
      <c r="T793" s="27"/>
    </row>
    <row r="794" spans="1:20" ht="24" customHeight="1" x14ac:dyDescent="0.3">
      <c r="A794" s="649" t="s">
        <v>277</v>
      </c>
      <c r="B794" s="650"/>
      <c r="C794" s="650"/>
      <c r="D794" s="650"/>
      <c r="E794" s="650"/>
      <c r="F794" s="650"/>
      <c r="G794" s="650"/>
      <c r="H794" s="650"/>
      <c r="I794" s="650"/>
      <c r="J794" s="650"/>
      <c r="K794" s="650"/>
      <c r="L794" s="650"/>
      <c r="M794" s="650"/>
      <c r="N794" s="651"/>
      <c r="O794" s="357">
        <f>SUM(O5:O793)</f>
        <v>459556.85766509979</v>
      </c>
      <c r="P794" s="652"/>
      <c r="Q794" s="653"/>
      <c r="R794" s="654"/>
      <c r="S794" s="357">
        <f>SUM(S4:S793)</f>
        <v>176202.30240000016</v>
      </c>
      <c r="T794" s="27"/>
    </row>
    <row r="795" spans="1:20" ht="24" customHeight="1" x14ac:dyDescent="0.3">
      <c r="A795" s="646"/>
      <c r="B795" s="647"/>
      <c r="C795" s="647"/>
      <c r="D795" s="647"/>
      <c r="E795" s="647"/>
      <c r="F795" s="647"/>
      <c r="G795" s="647"/>
      <c r="H795" s="647"/>
      <c r="I795" s="647"/>
      <c r="J795" s="647"/>
      <c r="K795" s="647"/>
      <c r="L795" s="647"/>
      <c r="M795" s="647"/>
      <c r="N795" s="647"/>
      <c r="O795" s="647"/>
      <c r="P795" s="647"/>
      <c r="Q795" s="647"/>
      <c r="R795" s="648"/>
      <c r="S795" s="358">
        <f>O794+S794</f>
        <v>635759.16006509995</v>
      </c>
    </row>
    <row r="796" spans="1:20" s="38" customFormat="1" ht="24" customHeight="1" x14ac:dyDescent="0.3">
      <c r="A796" s="359"/>
      <c r="B796" s="359"/>
      <c r="C796" s="359"/>
      <c r="D796" s="359"/>
      <c r="E796" s="359"/>
      <c r="F796" s="359"/>
      <c r="G796" s="359"/>
      <c r="H796" s="359"/>
      <c r="I796" s="359"/>
      <c r="J796" s="359"/>
      <c r="K796" s="359"/>
      <c r="L796" s="359"/>
      <c r="M796" s="359"/>
      <c r="N796" s="359"/>
      <c r="O796" s="359"/>
      <c r="P796" s="359"/>
      <c r="Q796" s="359"/>
      <c r="R796" s="359"/>
      <c r="S796" s="360"/>
    </row>
    <row r="797" spans="1:20" s="38" customFormat="1" ht="24" customHeight="1" x14ac:dyDescent="0.3">
      <c r="A797" s="359"/>
      <c r="B797" s="359"/>
      <c r="C797" s="359"/>
      <c r="D797" s="359"/>
      <c r="E797" s="359"/>
      <c r="F797" s="359"/>
      <c r="G797" s="359"/>
      <c r="H797" s="359"/>
      <c r="I797" s="359"/>
      <c r="J797" s="359"/>
      <c r="K797" s="359"/>
      <c r="L797" s="359"/>
      <c r="M797" s="359"/>
      <c r="N797" s="359"/>
      <c r="O797" s="359"/>
      <c r="P797" s="359"/>
      <c r="Q797" s="359"/>
      <c r="R797" s="359"/>
      <c r="S797" s="360"/>
    </row>
    <row r="798" spans="1:20" s="38" customFormat="1" ht="35.25" customHeight="1" x14ac:dyDescent="0.3">
      <c r="A798" s="250" t="s">
        <v>278</v>
      </c>
      <c r="B798" s="473" t="s">
        <v>920</v>
      </c>
      <c r="C798" s="473"/>
      <c r="D798" s="473"/>
      <c r="E798" s="473"/>
      <c r="F798" s="473"/>
      <c r="G798" s="473"/>
      <c r="H798" s="473"/>
      <c r="I798" s="473"/>
      <c r="J798" s="359"/>
      <c r="K798" s="359"/>
      <c r="L798" s="359"/>
      <c r="M798" s="359"/>
      <c r="N798" s="359"/>
      <c r="O798" s="359"/>
      <c r="P798" s="359"/>
      <c r="Q798" s="359"/>
      <c r="R798" s="359"/>
      <c r="S798" s="360"/>
    </row>
    <row r="799" spans="1:20" x14ac:dyDescent="0.25">
      <c r="A799" s="15" t="s">
        <v>278</v>
      </c>
      <c r="B799" s="20" t="s">
        <v>279</v>
      </c>
      <c r="C799" s="210"/>
      <c r="D799" s="21"/>
      <c r="E799" s="22"/>
      <c r="F799" s="22"/>
      <c r="G799" s="19"/>
      <c r="H799" s="21"/>
      <c r="I799" s="207"/>
      <c r="P799" s="23"/>
    </row>
    <row r="800" spans="1:20" ht="13.9" customHeight="1" x14ac:dyDescent="0.25">
      <c r="N800" s="356"/>
      <c r="O800" s="356"/>
    </row>
    <row r="801" spans="14:15" x14ac:dyDescent="0.25">
      <c r="N801" s="356"/>
      <c r="O801" s="356"/>
    </row>
    <row r="802" spans="14:15" x14ac:dyDescent="0.25">
      <c r="N802" s="356"/>
      <c r="O802" s="356"/>
    </row>
  </sheetData>
  <autoFilter ref="A3:T799" xr:uid="{00000000-0009-0000-0000-000007000000}">
    <filterColumn colId="9" showButton="0"/>
    <filterColumn colId="10" showButton="0"/>
    <filterColumn colId="12" showButton="0"/>
    <filterColumn colId="13" showButton="0"/>
    <filterColumn colId="15" showButton="0"/>
    <filterColumn colId="16" showButton="0"/>
    <filterColumn colId="17" showButton="0"/>
  </autoFilter>
  <mergeCells count="973">
    <mergeCell ref="A795:R795"/>
    <mergeCell ref="A794:N794"/>
    <mergeCell ref="P794:R794"/>
    <mergeCell ref="B798:I798"/>
    <mergeCell ref="O636:O644"/>
    <mergeCell ref="O645:O656"/>
    <mergeCell ref="O657:O662"/>
    <mergeCell ref="O663:O670"/>
    <mergeCell ref="O681:O687"/>
    <mergeCell ref="O688:O694"/>
    <mergeCell ref="O696:O700"/>
    <mergeCell ref="O701:O709"/>
    <mergeCell ref="O710:O723"/>
    <mergeCell ref="C769:C771"/>
    <mergeCell ref="C772:C774"/>
    <mergeCell ref="C775:C777"/>
    <mergeCell ref="B780:B793"/>
    <mergeCell ref="C780:C782"/>
    <mergeCell ref="C783:C785"/>
    <mergeCell ref="C786:C788"/>
    <mergeCell ref="C789:C791"/>
    <mergeCell ref="K645:K656"/>
    <mergeCell ref="L645:L656"/>
    <mergeCell ref="M645:M656"/>
    <mergeCell ref="O551:O559"/>
    <mergeCell ref="O560:O571"/>
    <mergeCell ref="O581:O585"/>
    <mergeCell ref="O586:O594"/>
    <mergeCell ref="O595:O608"/>
    <mergeCell ref="O609:O611"/>
    <mergeCell ref="O612:O620"/>
    <mergeCell ref="O621:O632"/>
    <mergeCell ref="O633:O635"/>
    <mergeCell ref="O481:O485"/>
    <mergeCell ref="O486:O494"/>
    <mergeCell ref="O495:O508"/>
    <mergeCell ref="O509:O511"/>
    <mergeCell ref="O512:O520"/>
    <mergeCell ref="O521:O532"/>
    <mergeCell ref="O533:O538"/>
    <mergeCell ref="O539:O546"/>
    <mergeCell ref="O548:O550"/>
    <mergeCell ref="O401:O414"/>
    <mergeCell ref="O415:O417"/>
    <mergeCell ref="O418:O426"/>
    <mergeCell ref="O427:O438"/>
    <mergeCell ref="O439:O444"/>
    <mergeCell ref="O445:O452"/>
    <mergeCell ref="O454:O456"/>
    <mergeCell ref="O457:O465"/>
    <mergeCell ref="O466:O477"/>
    <mergeCell ref="O320:O328"/>
    <mergeCell ref="O329:O340"/>
    <mergeCell ref="O341:O343"/>
    <mergeCell ref="O344:O352"/>
    <mergeCell ref="O353:O364"/>
    <mergeCell ref="O365:O370"/>
    <mergeCell ref="O371:O378"/>
    <mergeCell ref="O387:O391"/>
    <mergeCell ref="O392:O400"/>
    <mergeCell ref="O262:O267"/>
    <mergeCell ref="O268:O275"/>
    <mergeCell ref="F289:F293"/>
    <mergeCell ref="O289:O293"/>
    <mergeCell ref="O294:O302"/>
    <mergeCell ref="O303:O316"/>
    <mergeCell ref="F294:F302"/>
    <mergeCell ref="F303:F316"/>
    <mergeCell ref="O317:O319"/>
    <mergeCell ref="K268:K275"/>
    <mergeCell ref="J262:J267"/>
    <mergeCell ref="J289:J293"/>
    <mergeCell ref="K289:K293"/>
    <mergeCell ref="L289:L293"/>
    <mergeCell ref="M289:M293"/>
    <mergeCell ref="L294:L302"/>
    <mergeCell ref="M294:M302"/>
    <mergeCell ref="M268:M275"/>
    <mergeCell ref="N268:N275"/>
    <mergeCell ref="M262:M267"/>
    <mergeCell ref="N262:N267"/>
    <mergeCell ref="N289:N293"/>
    <mergeCell ref="N294:N302"/>
    <mergeCell ref="O217:O225"/>
    <mergeCell ref="O226:O237"/>
    <mergeCell ref="F226:F237"/>
    <mergeCell ref="F238:F240"/>
    <mergeCell ref="O238:O240"/>
    <mergeCell ref="F241:F249"/>
    <mergeCell ref="O241:O249"/>
    <mergeCell ref="F250:F261"/>
    <mergeCell ref="O250:O261"/>
    <mergeCell ref="M217:M225"/>
    <mergeCell ref="N217:N225"/>
    <mergeCell ref="M250:M261"/>
    <mergeCell ref="N250:N261"/>
    <mergeCell ref="M226:M237"/>
    <mergeCell ref="N226:N237"/>
    <mergeCell ref="J238:J240"/>
    <mergeCell ref="K238:K240"/>
    <mergeCell ref="L238:L240"/>
    <mergeCell ref="M238:M240"/>
    <mergeCell ref="N238:N240"/>
    <mergeCell ref="J241:J249"/>
    <mergeCell ref="K241:K249"/>
    <mergeCell ref="L241:L249"/>
    <mergeCell ref="M241:M249"/>
    <mergeCell ref="O156:O169"/>
    <mergeCell ref="O186:O190"/>
    <mergeCell ref="F186:F190"/>
    <mergeCell ref="F191:F199"/>
    <mergeCell ref="O191:O199"/>
    <mergeCell ref="F200:F213"/>
    <mergeCell ref="O200:O213"/>
    <mergeCell ref="F214:F216"/>
    <mergeCell ref="O214:O216"/>
    <mergeCell ref="M214:M216"/>
    <mergeCell ref="N214:N216"/>
    <mergeCell ref="O84:O89"/>
    <mergeCell ref="O90:O97"/>
    <mergeCell ref="O99:O103"/>
    <mergeCell ref="O104:O112"/>
    <mergeCell ref="O113:O126"/>
    <mergeCell ref="O127:O133"/>
    <mergeCell ref="O134:O140"/>
    <mergeCell ref="O142:O146"/>
    <mergeCell ref="O147:O155"/>
    <mergeCell ref="O8:O12"/>
    <mergeCell ref="O13:O21"/>
    <mergeCell ref="O22:O35"/>
    <mergeCell ref="O36:O38"/>
    <mergeCell ref="O39:O47"/>
    <mergeCell ref="O48:O59"/>
    <mergeCell ref="O60:O62"/>
    <mergeCell ref="O63:O71"/>
    <mergeCell ref="O72:O83"/>
    <mergeCell ref="A3:A4"/>
    <mergeCell ref="B3:B4"/>
    <mergeCell ref="C3:C4"/>
    <mergeCell ref="C36:C59"/>
    <mergeCell ref="C180:C181"/>
    <mergeCell ref="C214:C237"/>
    <mergeCell ref="C238:C261"/>
    <mergeCell ref="C283:C284"/>
    <mergeCell ref="C289:C316"/>
    <mergeCell ref="C281:C282"/>
    <mergeCell ref="A5:A182"/>
    <mergeCell ref="A183:A285"/>
    <mergeCell ref="C317:C340"/>
    <mergeCell ref="C341:C364"/>
    <mergeCell ref="C384:C385"/>
    <mergeCell ref="C439:C453"/>
    <mergeCell ref="C478:C480"/>
    <mergeCell ref="C581:C608"/>
    <mergeCell ref="C657:C671"/>
    <mergeCell ref="D3:D4"/>
    <mergeCell ref="E3:E4"/>
    <mergeCell ref="D36:D59"/>
    <mergeCell ref="E36:E38"/>
    <mergeCell ref="E134:E140"/>
    <mergeCell ref="C170:C171"/>
    <mergeCell ref="D170:D171"/>
    <mergeCell ref="C172:C173"/>
    <mergeCell ref="D172:D173"/>
    <mergeCell ref="D180:D181"/>
    <mergeCell ref="C183:C185"/>
    <mergeCell ref="D183:D185"/>
    <mergeCell ref="C186:C213"/>
    <mergeCell ref="D186:D213"/>
    <mergeCell ref="C174:C175"/>
    <mergeCell ref="D174:D175"/>
    <mergeCell ref="C176:C177"/>
    <mergeCell ref="F3:F4"/>
    <mergeCell ref="T3:T4"/>
    <mergeCell ref="B5:B182"/>
    <mergeCell ref="C5:C7"/>
    <mergeCell ref="D5:D7"/>
    <mergeCell ref="C8:C35"/>
    <mergeCell ref="D8:D35"/>
    <mergeCell ref="E8:E12"/>
    <mergeCell ref="G8:G12"/>
    <mergeCell ref="H8:H12"/>
    <mergeCell ref="I8:I12"/>
    <mergeCell ref="G3:G4"/>
    <mergeCell ref="H3:H4"/>
    <mergeCell ref="I3:I4"/>
    <mergeCell ref="J3:L3"/>
    <mergeCell ref="M3:O3"/>
    <mergeCell ref="P3:S3"/>
    <mergeCell ref="J8:J12"/>
    <mergeCell ref="K8:K12"/>
    <mergeCell ref="L8:L12"/>
    <mergeCell ref="M8:M12"/>
    <mergeCell ref="N8:N12"/>
    <mergeCell ref="E13:E21"/>
    <mergeCell ref="G13:G21"/>
    <mergeCell ref="M13:M21"/>
    <mergeCell ref="N13:N21"/>
    <mergeCell ref="E22:E35"/>
    <mergeCell ref="G22:G35"/>
    <mergeCell ref="H22:H35"/>
    <mergeCell ref="I22:I35"/>
    <mergeCell ref="J22:J35"/>
    <mergeCell ref="K22:K35"/>
    <mergeCell ref="L22:L35"/>
    <mergeCell ref="M22:M35"/>
    <mergeCell ref="N22:N35"/>
    <mergeCell ref="E48:E59"/>
    <mergeCell ref="G48:G59"/>
    <mergeCell ref="H48:H59"/>
    <mergeCell ref="I48:I59"/>
    <mergeCell ref="J48:J59"/>
    <mergeCell ref="K48:K59"/>
    <mergeCell ref="L48:L59"/>
    <mergeCell ref="H13:H21"/>
    <mergeCell ref="I13:I21"/>
    <mergeCell ref="J13:J21"/>
    <mergeCell ref="K13:K21"/>
    <mergeCell ref="L13:L21"/>
    <mergeCell ref="M36:M38"/>
    <mergeCell ref="N36:N38"/>
    <mergeCell ref="E39:E47"/>
    <mergeCell ref="G39:G47"/>
    <mergeCell ref="H39:H47"/>
    <mergeCell ref="I39:I47"/>
    <mergeCell ref="J39:J47"/>
    <mergeCell ref="K39:K47"/>
    <mergeCell ref="L39:L47"/>
    <mergeCell ref="M39:M47"/>
    <mergeCell ref="N39:N47"/>
    <mergeCell ref="G36:G38"/>
    <mergeCell ref="H36:H38"/>
    <mergeCell ref="I36:I38"/>
    <mergeCell ref="J36:J38"/>
    <mergeCell ref="K36:K38"/>
    <mergeCell ref="L36:L38"/>
    <mergeCell ref="M48:M59"/>
    <mergeCell ref="N48:N59"/>
    <mergeCell ref="C60:C83"/>
    <mergeCell ref="D60:D83"/>
    <mergeCell ref="E60:E62"/>
    <mergeCell ref="G60:G62"/>
    <mergeCell ref="H60:H62"/>
    <mergeCell ref="I60:I62"/>
    <mergeCell ref="J60:J62"/>
    <mergeCell ref="K60:K62"/>
    <mergeCell ref="L60:L62"/>
    <mergeCell ref="M60:M62"/>
    <mergeCell ref="N60:N62"/>
    <mergeCell ref="E63:E71"/>
    <mergeCell ref="G63:G71"/>
    <mergeCell ref="H63:H71"/>
    <mergeCell ref="I63:I71"/>
    <mergeCell ref="J63:J71"/>
    <mergeCell ref="K63:K71"/>
    <mergeCell ref="L63:L71"/>
    <mergeCell ref="M63:M71"/>
    <mergeCell ref="N63:N71"/>
    <mergeCell ref="E72:E83"/>
    <mergeCell ref="G72:G83"/>
    <mergeCell ref="H72:H83"/>
    <mergeCell ref="I72:I83"/>
    <mergeCell ref="J72:J83"/>
    <mergeCell ref="K72:K83"/>
    <mergeCell ref="L72:L83"/>
    <mergeCell ref="M72:M83"/>
    <mergeCell ref="N72:N83"/>
    <mergeCell ref="C84:C98"/>
    <mergeCell ref="D84:D98"/>
    <mergeCell ref="E84:E89"/>
    <mergeCell ref="G84:G89"/>
    <mergeCell ref="H84:H89"/>
    <mergeCell ref="I84:I89"/>
    <mergeCell ref="J84:J89"/>
    <mergeCell ref="K84:K89"/>
    <mergeCell ref="L84:L89"/>
    <mergeCell ref="M84:M89"/>
    <mergeCell ref="N84:N89"/>
    <mergeCell ref="E90:E97"/>
    <mergeCell ref="G90:G97"/>
    <mergeCell ref="H90:H97"/>
    <mergeCell ref="I90:I97"/>
    <mergeCell ref="J90:J97"/>
    <mergeCell ref="K90:K97"/>
    <mergeCell ref="L90:L97"/>
    <mergeCell ref="M90:M97"/>
    <mergeCell ref="N90:N97"/>
    <mergeCell ref="C99:C126"/>
    <mergeCell ref="D99:D126"/>
    <mergeCell ref="E99:E103"/>
    <mergeCell ref="G99:G103"/>
    <mergeCell ref="H99:H103"/>
    <mergeCell ref="I99:I103"/>
    <mergeCell ref="J99:J103"/>
    <mergeCell ref="K99:K103"/>
    <mergeCell ref="L99:L103"/>
    <mergeCell ref="M99:M103"/>
    <mergeCell ref="N99:N103"/>
    <mergeCell ref="E104:E112"/>
    <mergeCell ref="G104:G112"/>
    <mergeCell ref="H104:H112"/>
    <mergeCell ref="I104:I112"/>
    <mergeCell ref="J104:J112"/>
    <mergeCell ref="K104:K112"/>
    <mergeCell ref="L104:L112"/>
    <mergeCell ref="M104:M112"/>
    <mergeCell ref="N104:N112"/>
    <mergeCell ref="E113:E126"/>
    <mergeCell ref="G113:G126"/>
    <mergeCell ref="H113:H126"/>
    <mergeCell ref="I113:I126"/>
    <mergeCell ref="J113:J126"/>
    <mergeCell ref="K113:K126"/>
    <mergeCell ref="L113:L126"/>
    <mergeCell ref="M113:M126"/>
    <mergeCell ref="N113:N126"/>
    <mergeCell ref="J127:J133"/>
    <mergeCell ref="K127:K133"/>
    <mergeCell ref="L127:L133"/>
    <mergeCell ref="M127:M133"/>
    <mergeCell ref="N127:N133"/>
    <mergeCell ref="G134:G140"/>
    <mergeCell ref="H134:H140"/>
    <mergeCell ref="I134:I140"/>
    <mergeCell ref="J134:J140"/>
    <mergeCell ref="E127:E133"/>
    <mergeCell ref="G127:G133"/>
    <mergeCell ref="H127:H133"/>
    <mergeCell ref="I127:I133"/>
    <mergeCell ref="K134:K140"/>
    <mergeCell ref="L134:L140"/>
    <mergeCell ref="M134:M140"/>
    <mergeCell ref="N134:N140"/>
    <mergeCell ref="C142:C169"/>
    <mergeCell ref="D142:D169"/>
    <mergeCell ref="E142:E146"/>
    <mergeCell ref="G142:G146"/>
    <mergeCell ref="H142:H146"/>
    <mergeCell ref="I142:I146"/>
    <mergeCell ref="C127:C141"/>
    <mergeCell ref="D127:D141"/>
    <mergeCell ref="J142:J146"/>
    <mergeCell ref="K142:K146"/>
    <mergeCell ref="L142:L146"/>
    <mergeCell ref="M142:M146"/>
    <mergeCell ref="N142:N146"/>
    <mergeCell ref="E147:E155"/>
    <mergeCell ref="G147:G155"/>
    <mergeCell ref="H147:H155"/>
    <mergeCell ref="I147:I155"/>
    <mergeCell ref="J147:J155"/>
    <mergeCell ref="L156:L169"/>
    <mergeCell ref="M156:M169"/>
    <mergeCell ref="N156:N169"/>
    <mergeCell ref="K147:K155"/>
    <mergeCell ref="L147:L155"/>
    <mergeCell ref="M147:M155"/>
    <mergeCell ref="N147:N155"/>
    <mergeCell ref="E156:E169"/>
    <mergeCell ref="G156:G169"/>
    <mergeCell ref="H156:H169"/>
    <mergeCell ref="I156:I169"/>
    <mergeCell ref="J156:J169"/>
    <mergeCell ref="K156:K169"/>
    <mergeCell ref="D176:D177"/>
    <mergeCell ref="C178:C179"/>
    <mergeCell ref="D178:D179"/>
    <mergeCell ref="L186:L190"/>
    <mergeCell ref="M186:M190"/>
    <mergeCell ref="N186:N190"/>
    <mergeCell ref="E191:E199"/>
    <mergeCell ref="G191:G199"/>
    <mergeCell ref="H191:H199"/>
    <mergeCell ref="I191:I199"/>
    <mergeCell ref="J191:J199"/>
    <mergeCell ref="K191:K199"/>
    <mergeCell ref="L191:L199"/>
    <mergeCell ref="E186:E190"/>
    <mergeCell ref="G186:G190"/>
    <mergeCell ref="H186:H190"/>
    <mergeCell ref="I186:I190"/>
    <mergeCell ref="J186:J190"/>
    <mergeCell ref="K186:K190"/>
    <mergeCell ref="M191:M199"/>
    <mergeCell ref="N191:N199"/>
    <mergeCell ref="E200:E213"/>
    <mergeCell ref="G200:G213"/>
    <mergeCell ref="H200:H213"/>
    <mergeCell ref="I200:I213"/>
    <mergeCell ref="J200:J213"/>
    <mergeCell ref="K200:K213"/>
    <mergeCell ref="L200:L213"/>
    <mergeCell ref="M200:M213"/>
    <mergeCell ref="N200:N213"/>
    <mergeCell ref="D214:D237"/>
    <mergeCell ref="E214:E216"/>
    <mergeCell ref="G214:G216"/>
    <mergeCell ref="H214:H216"/>
    <mergeCell ref="I214:I216"/>
    <mergeCell ref="J214:J216"/>
    <mergeCell ref="K214:K216"/>
    <mergeCell ref="L214:L216"/>
    <mergeCell ref="E226:E237"/>
    <mergeCell ref="G226:G237"/>
    <mergeCell ref="H226:H237"/>
    <mergeCell ref="I226:I237"/>
    <mergeCell ref="J226:J237"/>
    <mergeCell ref="K226:K237"/>
    <mergeCell ref="L226:L237"/>
    <mergeCell ref="F217:F225"/>
    <mergeCell ref="E217:E225"/>
    <mergeCell ref="G217:G225"/>
    <mergeCell ref="H217:H225"/>
    <mergeCell ref="I217:I225"/>
    <mergeCell ref="J217:J225"/>
    <mergeCell ref="K217:K225"/>
    <mergeCell ref="L217:L225"/>
    <mergeCell ref="N241:N249"/>
    <mergeCell ref="L250:L261"/>
    <mergeCell ref="D238:D261"/>
    <mergeCell ref="E250:E261"/>
    <mergeCell ref="G250:G261"/>
    <mergeCell ref="H250:H261"/>
    <mergeCell ref="I250:I261"/>
    <mergeCell ref="J250:J261"/>
    <mergeCell ref="K250:K261"/>
    <mergeCell ref="E241:E249"/>
    <mergeCell ref="G241:G249"/>
    <mergeCell ref="H241:H249"/>
    <mergeCell ref="I241:I249"/>
    <mergeCell ref="E238:E240"/>
    <mergeCell ref="G238:G240"/>
    <mergeCell ref="H238:H240"/>
    <mergeCell ref="I238:I240"/>
    <mergeCell ref="E262:E267"/>
    <mergeCell ref="G262:G267"/>
    <mergeCell ref="H262:H267"/>
    <mergeCell ref="I262:I267"/>
    <mergeCell ref="F262:F267"/>
    <mergeCell ref="D283:D284"/>
    <mergeCell ref="C286:C288"/>
    <mergeCell ref="D286:D288"/>
    <mergeCell ref="L268:L275"/>
    <mergeCell ref="C277:C278"/>
    <mergeCell ref="D277:D278"/>
    <mergeCell ref="C279:C280"/>
    <mergeCell ref="D279:D280"/>
    <mergeCell ref="C262:C276"/>
    <mergeCell ref="D262:D276"/>
    <mergeCell ref="K262:K267"/>
    <mergeCell ref="L262:L267"/>
    <mergeCell ref="E268:E275"/>
    <mergeCell ref="G268:G275"/>
    <mergeCell ref="H268:H275"/>
    <mergeCell ref="I268:I275"/>
    <mergeCell ref="J268:J275"/>
    <mergeCell ref="F268:F275"/>
    <mergeCell ref="D281:D282"/>
    <mergeCell ref="E294:E302"/>
    <mergeCell ref="G294:G302"/>
    <mergeCell ref="H294:H302"/>
    <mergeCell ref="I294:I302"/>
    <mergeCell ref="J294:J302"/>
    <mergeCell ref="K294:K302"/>
    <mergeCell ref="E289:E293"/>
    <mergeCell ref="G289:G293"/>
    <mergeCell ref="H289:H293"/>
    <mergeCell ref="I289:I293"/>
    <mergeCell ref="E303:E316"/>
    <mergeCell ref="G303:G316"/>
    <mergeCell ref="H303:H316"/>
    <mergeCell ref="I303:I316"/>
    <mergeCell ref="J303:J316"/>
    <mergeCell ref="K303:K316"/>
    <mergeCell ref="L303:L316"/>
    <mergeCell ref="M303:M316"/>
    <mergeCell ref="N303:N316"/>
    <mergeCell ref="D289:D316"/>
    <mergeCell ref="M317:M319"/>
    <mergeCell ref="N317:N319"/>
    <mergeCell ref="E320:E328"/>
    <mergeCell ref="G320:G328"/>
    <mergeCell ref="H320:H328"/>
    <mergeCell ref="I320:I328"/>
    <mergeCell ref="J320:J328"/>
    <mergeCell ref="K320:K328"/>
    <mergeCell ref="L320:L328"/>
    <mergeCell ref="M320:M328"/>
    <mergeCell ref="N320:N328"/>
    <mergeCell ref="D317:D340"/>
    <mergeCell ref="E317:E319"/>
    <mergeCell ref="G317:G319"/>
    <mergeCell ref="H317:H319"/>
    <mergeCell ref="I317:I319"/>
    <mergeCell ref="J317:J319"/>
    <mergeCell ref="K317:K319"/>
    <mergeCell ref="L317:L319"/>
    <mergeCell ref="E329:E340"/>
    <mergeCell ref="G329:G340"/>
    <mergeCell ref="H329:H340"/>
    <mergeCell ref="I329:I340"/>
    <mergeCell ref="M353:M364"/>
    <mergeCell ref="N353:N364"/>
    <mergeCell ref="M329:M340"/>
    <mergeCell ref="N329:N340"/>
    <mergeCell ref="J341:J343"/>
    <mergeCell ref="K341:K343"/>
    <mergeCell ref="L341:L343"/>
    <mergeCell ref="M341:M343"/>
    <mergeCell ref="N341:N343"/>
    <mergeCell ref="J344:J352"/>
    <mergeCell ref="K344:K352"/>
    <mergeCell ref="L344:L352"/>
    <mergeCell ref="M344:M352"/>
    <mergeCell ref="N344:N352"/>
    <mergeCell ref="J329:J340"/>
    <mergeCell ref="K329:K340"/>
    <mergeCell ref="L329:L340"/>
    <mergeCell ref="D341:D364"/>
    <mergeCell ref="E353:E364"/>
    <mergeCell ref="G353:G364"/>
    <mergeCell ref="H353:H364"/>
    <mergeCell ref="I353:I364"/>
    <mergeCell ref="J353:J364"/>
    <mergeCell ref="K353:K364"/>
    <mergeCell ref="L353:L364"/>
    <mergeCell ref="E344:E352"/>
    <mergeCell ref="G344:G352"/>
    <mergeCell ref="H344:H352"/>
    <mergeCell ref="I344:I352"/>
    <mergeCell ref="E341:E343"/>
    <mergeCell ref="G341:G343"/>
    <mergeCell ref="H341:H343"/>
    <mergeCell ref="I341:I343"/>
    <mergeCell ref="M371:M378"/>
    <mergeCell ref="N371:N378"/>
    <mergeCell ref="C380:C381"/>
    <mergeCell ref="D380:D381"/>
    <mergeCell ref="C382:C383"/>
    <mergeCell ref="D382:D383"/>
    <mergeCell ref="K365:K370"/>
    <mergeCell ref="L365:L370"/>
    <mergeCell ref="M365:M370"/>
    <mergeCell ref="N365:N370"/>
    <mergeCell ref="E371:E378"/>
    <mergeCell ref="G371:G378"/>
    <mergeCell ref="H371:H378"/>
    <mergeCell ref="I371:I378"/>
    <mergeCell ref="J371:J378"/>
    <mergeCell ref="K371:K378"/>
    <mergeCell ref="C365:C379"/>
    <mergeCell ref="D365:D379"/>
    <mergeCell ref="E365:E370"/>
    <mergeCell ref="G365:G370"/>
    <mergeCell ref="H365:H370"/>
    <mergeCell ref="I365:I370"/>
    <mergeCell ref="J365:J370"/>
    <mergeCell ref="D384:D385"/>
    <mergeCell ref="C387:C414"/>
    <mergeCell ref="D387:D414"/>
    <mergeCell ref="E387:E391"/>
    <mergeCell ref="G387:G391"/>
    <mergeCell ref="E401:E414"/>
    <mergeCell ref="G401:G414"/>
    <mergeCell ref="L371:L378"/>
    <mergeCell ref="N387:N391"/>
    <mergeCell ref="E392:E400"/>
    <mergeCell ref="G392:G400"/>
    <mergeCell ref="H392:H400"/>
    <mergeCell ref="I392:I400"/>
    <mergeCell ref="J392:J400"/>
    <mergeCell ref="K392:K400"/>
    <mergeCell ref="L392:L400"/>
    <mergeCell ref="M392:M400"/>
    <mergeCell ref="N392:N400"/>
    <mergeCell ref="H387:H391"/>
    <mergeCell ref="I387:I391"/>
    <mergeCell ref="J387:J391"/>
    <mergeCell ref="K387:K391"/>
    <mergeCell ref="L387:L391"/>
    <mergeCell ref="M387:M391"/>
    <mergeCell ref="N401:N414"/>
    <mergeCell ref="C415:C438"/>
    <mergeCell ref="D415:D438"/>
    <mergeCell ref="E415:E417"/>
    <mergeCell ref="G415:G417"/>
    <mergeCell ref="H415:H417"/>
    <mergeCell ref="I415:I417"/>
    <mergeCell ref="J415:J417"/>
    <mergeCell ref="K415:K417"/>
    <mergeCell ref="L415:L417"/>
    <mergeCell ref="H401:H414"/>
    <mergeCell ref="I401:I414"/>
    <mergeCell ref="J401:J414"/>
    <mergeCell ref="K401:K414"/>
    <mergeCell ref="L401:L414"/>
    <mergeCell ref="M401:M414"/>
    <mergeCell ref="M415:M417"/>
    <mergeCell ref="N415:N417"/>
    <mergeCell ref="E418:E426"/>
    <mergeCell ref="G418:G426"/>
    <mergeCell ref="H418:H426"/>
    <mergeCell ref="I418:I426"/>
    <mergeCell ref="J418:J426"/>
    <mergeCell ref="K418:K426"/>
    <mergeCell ref="E427:E438"/>
    <mergeCell ref="G427:G438"/>
    <mergeCell ref="H427:H438"/>
    <mergeCell ref="I427:I438"/>
    <mergeCell ref="J427:J438"/>
    <mergeCell ref="K427:K438"/>
    <mergeCell ref="L427:L438"/>
    <mergeCell ref="M427:M438"/>
    <mergeCell ref="N427:N438"/>
    <mergeCell ref="N445:N452"/>
    <mergeCell ref="I457:I465"/>
    <mergeCell ref="J457:J465"/>
    <mergeCell ref="N457:N465"/>
    <mergeCell ref="M454:M456"/>
    <mergeCell ref="N454:N456"/>
    <mergeCell ref="L454:L456"/>
    <mergeCell ref="G457:G465"/>
    <mergeCell ref="L418:L426"/>
    <mergeCell ref="M418:M426"/>
    <mergeCell ref="N418:N426"/>
    <mergeCell ref="N439:N444"/>
    <mergeCell ref="G445:G452"/>
    <mergeCell ref="H445:H452"/>
    <mergeCell ref="I445:I452"/>
    <mergeCell ref="J445:J452"/>
    <mergeCell ref="E454:E456"/>
    <mergeCell ref="G454:G456"/>
    <mergeCell ref="H454:H456"/>
    <mergeCell ref="I454:I456"/>
    <mergeCell ref="D439:D453"/>
    <mergeCell ref="D478:D480"/>
    <mergeCell ref="M457:M465"/>
    <mergeCell ref="J439:J444"/>
    <mergeCell ref="K439:K444"/>
    <mergeCell ref="L439:L444"/>
    <mergeCell ref="M439:M444"/>
    <mergeCell ref="M466:M477"/>
    <mergeCell ref="G439:G444"/>
    <mergeCell ref="H439:H444"/>
    <mergeCell ref="I439:I444"/>
    <mergeCell ref="K445:K452"/>
    <mergeCell ref="L445:L452"/>
    <mergeCell ref="M445:M452"/>
    <mergeCell ref="E445:E452"/>
    <mergeCell ref="E439:E444"/>
    <mergeCell ref="C481:C508"/>
    <mergeCell ref="D481:D508"/>
    <mergeCell ref="E481:E485"/>
    <mergeCell ref="G481:G485"/>
    <mergeCell ref="H481:H485"/>
    <mergeCell ref="K457:K465"/>
    <mergeCell ref="L457:L465"/>
    <mergeCell ref="I481:I485"/>
    <mergeCell ref="J481:J485"/>
    <mergeCell ref="K481:K485"/>
    <mergeCell ref="L481:L485"/>
    <mergeCell ref="C454:C477"/>
    <mergeCell ref="D454:D477"/>
    <mergeCell ref="L466:L477"/>
    <mergeCell ref="E466:E477"/>
    <mergeCell ref="G466:G477"/>
    <mergeCell ref="H466:H477"/>
    <mergeCell ref="I466:I477"/>
    <mergeCell ref="J466:J477"/>
    <mergeCell ref="K466:K477"/>
    <mergeCell ref="J454:J456"/>
    <mergeCell ref="K454:K456"/>
    <mergeCell ref="E457:E465"/>
    <mergeCell ref="H457:H465"/>
    <mergeCell ref="N466:N477"/>
    <mergeCell ref="L486:L494"/>
    <mergeCell ref="M486:M494"/>
    <mergeCell ref="N486:N494"/>
    <mergeCell ref="E495:E508"/>
    <mergeCell ref="G495:G508"/>
    <mergeCell ref="H495:H508"/>
    <mergeCell ref="I495:I508"/>
    <mergeCell ref="J495:J508"/>
    <mergeCell ref="K495:K508"/>
    <mergeCell ref="L495:L508"/>
    <mergeCell ref="E486:E494"/>
    <mergeCell ref="G486:G494"/>
    <mergeCell ref="H486:H494"/>
    <mergeCell ref="I486:I494"/>
    <mergeCell ref="J486:J494"/>
    <mergeCell ref="K486:K494"/>
    <mergeCell ref="M495:M508"/>
    <mergeCell ref="N495:N508"/>
    <mergeCell ref="E521:E532"/>
    <mergeCell ref="G521:G532"/>
    <mergeCell ref="H521:H532"/>
    <mergeCell ref="I521:I532"/>
    <mergeCell ref="J521:J532"/>
    <mergeCell ref="K521:K532"/>
    <mergeCell ref="L521:L532"/>
    <mergeCell ref="M481:M485"/>
    <mergeCell ref="N481:N485"/>
    <mergeCell ref="M509:M511"/>
    <mergeCell ref="N509:N511"/>
    <mergeCell ref="E512:E520"/>
    <mergeCell ref="G512:G520"/>
    <mergeCell ref="H512:H520"/>
    <mergeCell ref="I512:I520"/>
    <mergeCell ref="J512:J520"/>
    <mergeCell ref="K512:K520"/>
    <mergeCell ref="L512:L520"/>
    <mergeCell ref="M512:M520"/>
    <mergeCell ref="N512:N520"/>
    <mergeCell ref="E509:E511"/>
    <mergeCell ref="G509:G511"/>
    <mergeCell ref="H509:H511"/>
    <mergeCell ref="I509:I511"/>
    <mergeCell ref="J509:J511"/>
    <mergeCell ref="K509:K511"/>
    <mergeCell ref="L509:L511"/>
    <mergeCell ref="M521:M532"/>
    <mergeCell ref="N521:N532"/>
    <mergeCell ref="C533:C547"/>
    <mergeCell ref="D533:D547"/>
    <mergeCell ref="E533:E538"/>
    <mergeCell ref="G533:G538"/>
    <mergeCell ref="H533:H538"/>
    <mergeCell ref="I533:I538"/>
    <mergeCell ref="J533:J538"/>
    <mergeCell ref="K533:K538"/>
    <mergeCell ref="L533:L538"/>
    <mergeCell ref="M533:M538"/>
    <mergeCell ref="N533:N538"/>
    <mergeCell ref="E539:E546"/>
    <mergeCell ref="G539:G546"/>
    <mergeCell ref="H539:H546"/>
    <mergeCell ref="I539:I546"/>
    <mergeCell ref="J539:J546"/>
    <mergeCell ref="K539:K546"/>
    <mergeCell ref="L539:L546"/>
    <mergeCell ref="M539:M546"/>
    <mergeCell ref="N539:N546"/>
    <mergeCell ref="C509:C532"/>
    <mergeCell ref="D509:D532"/>
    <mergeCell ref="C548:C571"/>
    <mergeCell ref="D548:D571"/>
    <mergeCell ref="E548:E550"/>
    <mergeCell ref="G548:G550"/>
    <mergeCell ref="H548:H550"/>
    <mergeCell ref="I548:I550"/>
    <mergeCell ref="J548:J550"/>
    <mergeCell ref="K548:K550"/>
    <mergeCell ref="L548:L550"/>
    <mergeCell ref="E560:E571"/>
    <mergeCell ref="G560:G571"/>
    <mergeCell ref="H560:H571"/>
    <mergeCell ref="I560:I571"/>
    <mergeCell ref="J560:J571"/>
    <mergeCell ref="K560:K571"/>
    <mergeCell ref="L560:L571"/>
    <mergeCell ref="M548:M550"/>
    <mergeCell ref="N548:N550"/>
    <mergeCell ref="E551:E559"/>
    <mergeCell ref="G551:G559"/>
    <mergeCell ref="H551:H559"/>
    <mergeCell ref="I551:I559"/>
    <mergeCell ref="J551:J559"/>
    <mergeCell ref="K551:K559"/>
    <mergeCell ref="L551:L559"/>
    <mergeCell ref="M551:M559"/>
    <mergeCell ref="N551:N559"/>
    <mergeCell ref="M560:M571"/>
    <mergeCell ref="N560:N571"/>
    <mergeCell ref="C578:C580"/>
    <mergeCell ref="D578:D580"/>
    <mergeCell ref="D581:D608"/>
    <mergeCell ref="E581:E585"/>
    <mergeCell ref="G581:G585"/>
    <mergeCell ref="E595:E608"/>
    <mergeCell ref="G595:G608"/>
    <mergeCell ref="C572:C573"/>
    <mergeCell ref="D572:D573"/>
    <mergeCell ref="C574:C575"/>
    <mergeCell ref="D574:D575"/>
    <mergeCell ref="C576:C577"/>
    <mergeCell ref="D576:D577"/>
    <mergeCell ref="N581:N585"/>
    <mergeCell ref="E586:E594"/>
    <mergeCell ref="G586:G594"/>
    <mergeCell ref="H586:H594"/>
    <mergeCell ref="I586:I594"/>
    <mergeCell ref="J586:J594"/>
    <mergeCell ref="K586:K594"/>
    <mergeCell ref="L586:L594"/>
    <mergeCell ref="M586:M594"/>
    <mergeCell ref="N586:N594"/>
    <mergeCell ref="H581:H585"/>
    <mergeCell ref="I581:I585"/>
    <mergeCell ref="J581:J585"/>
    <mergeCell ref="K581:K585"/>
    <mergeCell ref="L581:L585"/>
    <mergeCell ref="M581:M585"/>
    <mergeCell ref="N595:N608"/>
    <mergeCell ref="H595:H608"/>
    <mergeCell ref="I595:I608"/>
    <mergeCell ref="J595:J608"/>
    <mergeCell ref="K595:K608"/>
    <mergeCell ref="L595:L608"/>
    <mergeCell ref="M595:M608"/>
    <mergeCell ref="C609:C632"/>
    <mergeCell ref="D609:D632"/>
    <mergeCell ref="E609:E611"/>
    <mergeCell ref="G609:G611"/>
    <mergeCell ref="H609:H611"/>
    <mergeCell ref="I609:I611"/>
    <mergeCell ref="J609:J611"/>
    <mergeCell ref="K609:K611"/>
    <mergeCell ref="L609:L611"/>
    <mergeCell ref="E621:E632"/>
    <mergeCell ref="G621:G632"/>
    <mergeCell ref="H621:H632"/>
    <mergeCell ref="I621:I632"/>
    <mergeCell ref="J621:J632"/>
    <mergeCell ref="K621:K632"/>
    <mergeCell ref="L621:L632"/>
    <mergeCell ref="M609:M611"/>
    <mergeCell ref="N609:N611"/>
    <mergeCell ref="E612:E620"/>
    <mergeCell ref="G612:G620"/>
    <mergeCell ref="H612:H620"/>
    <mergeCell ref="I612:I620"/>
    <mergeCell ref="J612:J620"/>
    <mergeCell ref="K612:K620"/>
    <mergeCell ref="L612:L620"/>
    <mergeCell ref="M612:M620"/>
    <mergeCell ref="N612:N620"/>
    <mergeCell ref="N645:N656"/>
    <mergeCell ref="M621:M632"/>
    <mergeCell ref="N621:N632"/>
    <mergeCell ref="J633:J635"/>
    <mergeCell ref="K633:K635"/>
    <mergeCell ref="L633:L635"/>
    <mergeCell ref="M633:M635"/>
    <mergeCell ref="N633:N635"/>
    <mergeCell ref="J636:J644"/>
    <mergeCell ref="K636:K644"/>
    <mergeCell ref="L636:L644"/>
    <mergeCell ref="M636:M644"/>
    <mergeCell ref="N636:N644"/>
    <mergeCell ref="D657:D671"/>
    <mergeCell ref="E657:E662"/>
    <mergeCell ref="G657:G662"/>
    <mergeCell ref="H657:H662"/>
    <mergeCell ref="I657:I662"/>
    <mergeCell ref="J657:J662"/>
    <mergeCell ref="C633:C656"/>
    <mergeCell ref="D633:D656"/>
    <mergeCell ref="E645:E656"/>
    <mergeCell ref="G645:G656"/>
    <mergeCell ref="H645:H656"/>
    <mergeCell ref="I645:I656"/>
    <mergeCell ref="J645:J656"/>
    <mergeCell ref="E636:E644"/>
    <mergeCell ref="G636:G644"/>
    <mergeCell ref="H636:H644"/>
    <mergeCell ref="I636:I644"/>
    <mergeCell ref="E633:E635"/>
    <mergeCell ref="G633:G635"/>
    <mergeCell ref="H633:H635"/>
    <mergeCell ref="I633:I635"/>
    <mergeCell ref="K657:K662"/>
    <mergeCell ref="L657:L662"/>
    <mergeCell ref="M657:M662"/>
    <mergeCell ref="N657:N662"/>
    <mergeCell ref="E663:E670"/>
    <mergeCell ref="G663:G670"/>
    <mergeCell ref="H663:H670"/>
    <mergeCell ref="I663:I670"/>
    <mergeCell ref="J663:J670"/>
    <mergeCell ref="K663:K670"/>
    <mergeCell ref="C676:C677"/>
    <mergeCell ref="D676:D677"/>
    <mergeCell ref="C678:C679"/>
    <mergeCell ref="D678:D679"/>
    <mergeCell ref="C681:C695"/>
    <mergeCell ref="D681:D695"/>
    <mergeCell ref="L663:L670"/>
    <mergeCell ref="M663:M670"/>
    <mergeCell ref="N663:N670"/>
    <mergeCell ref="C672:C673"/>
    <mergeCell ref="D672:D673"/>
    <mergeCell ref="C674:C675"/>
    <mergeCell ref="D674:D675"/>
    <mergeCell ref="L681:L687"/>
    <mergeCell ref="M681:M687"/>
    <mergeCell ref="N681:N687"/>
    <mergeCell ref="E688:E694"/>
    <mergeCell ref="G688:G694"/>
    <mergeCell ref="H688:H694"/>
    <mergeCell ref="I688:I694"/>
    <mergeCell ref="J688:J694"/>
    <mergeCell ref="K688:K694"/>
    <mergeCell ref="L688:L694"/>
    <mergeCell ref="E681:E687"/>
    <mergeCell ref="G681:G687"/>
    <mergeCell ref="H681:H687"/>
    <mergeCell ref="I681:I687"/>
    <mergeCell ref="J681:J687"/>
    <mergeCell ref="K681:K687"/>
    <mergeCell ref="M688:M694"/>
    <mergeCell ref="N688:N694"/>
    <mergeCell ref="C696:C723"/>
    <mergeCell ref="D696:D723"/>
    <mergeCell ref="E696:E700"/>
    <mergeCell ref="G696:G700"/>
    <mergeCell ref="H696:H700"/>
    <mergeCell ref="I696:I700"/>
    <mergeCell ref="J696:J700"/>
    <mergeCell ref="K696:K700"/>
    <mergeCell ref="L696:L700"/>
    <mergeCell ref="M696:M700"/>
    <mergeCell ref="N696:N700"/>
    <mergeCell ref="E701:E709"/>
    <mergeCell ref="G701:G709"/>
    <mergeCell ref="H701:H709"/>
    <mergeCell ref="I701:I709"/>
    <mergeCell ref="J701:J709"/>
    <mergeCell ref="K701:K709"/>
    <mergeCell ref="L701:L709"/>
    <mergeCell ref="M701:M709"/>
    <mergeCell ref="N701:N709"/>
    <mergeCell ref="E710:E723"/>
    <mergeCell ref="G710:G723"/>
    <mergeCell ref="H710:H723"/>
    <mergeCell ref="I710:I723"/>
    <mergeCell ref="J710:J723"/>
    <mergeCell ref="K710:K723"/>
    <mergeCell ref="L710:L723"/>
    <mergeCell ref="M710:M723"/>
    <mergeCell ref="C758:C760"/>
    <mergeCell ref="C730:C731"/>
    <mergeCell ref="D730:D731"/>
    <mergeCell ref="N710:N723"/>
    <mergeCell ref="C724:C725"/>
    <mergeCell ref="D724:D725"/>
    <mergeCell ref="C726:C727"/>
    <mergeCell ref="D726:D727"/>
    <mergeCell ref="C728:C729"/>
    <mergeCell ref="D728:D729"/>
    <mergeCell ref="B763:B779"/>
    <mergeCell ref="C763:C765"/>
    <mergeCell ref="C766:C768"/>
    <mergeCell ref="A733:A745"/>
    <mergeCell ref="A746:A762"/>
    <mergeCell ref="A763:A779"/>
    <mergeCell ref="A780:A793"/>
    <mergeCell ref="B286:B386"/>
    <mergeCell ref="B578:B680"/>
    <mergeCell ref="B681:B732"/>
    <mergeCell ref="A286:A386"/>
    <mergeCell ref="A387:A577"/>
    <mergeCell ref="A578:A680"/>
    <mergeCell ref="A681:A732"/>
    <mergeCell ref="B733:B745"/>
    <mergeCell ref="C733:C735"/>
    <mergeCell ref="C736:C738"/>
    <mergeCell ref="C739:C741"/>
    <mergeCell ref="C742:C744"/>
    <mergeCell ref="B746:B762"/>
    <mergeCell ref="C746:C748"/>
    <mergeCell ref="C749:C751"/>
    <mergeCell ref="C752:C754"/>
    <mergeCell ref="C755:C757"/>
  </mergeCells>
  <pageMargins left="0.39370078740157483" right="0.19685039370078741" top="0.78740157480314965" bottom="0.78740157480314965" header="0" footer="0"/>
  <pageSetup paperSize="8" scale="82" orientation="landscape" r:id="rId1"/>
  <rowBreaks count="20" manualBreakCount="20">
    <brk id="21" max="19" man="1"/>
    <brk id="47" max="19" man="1"/>
    <brk id="83" max="19" man="1"/>
    <brk id="112" max="19" man="1"/>
    <brk id="146" max="19" man="1"/>
    <brk id="155" max="19" man="1"/>
    <brk id="185" max="19" man="1"/>
    <brk id="216" max="19" man="1"/>
    <brk id="249" max="19" man="1"/>
    <brk id="285" max="19" man="1"/>
    <brk id="316" max="19" man="1"/>
    <brk id="352" max="19" man="1"/>
    <brk id="391" max="19" man="1"/>
    <brk id="426" max="19" man="1"/>
    <brk id="465" max="19" man="1"/>
    <brk id="494" max="19" man="1"/>
    <brk id="520" max="19" man="1"/>
    <brk id="559" max="19" man="1"/>
    <brk id="695" max="19" man="1"/>
    <brk id="732" max="1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B90C6-464C-48E3-86A8-41A15F6EF9DD}">
  <dimension ref="A1:F18"/>
  <sheetViews>
    <sheetView view="pageBreakPreview" zoomScale="140" zoomScaleNormal="100" zoomScaleSheetLayoutView="140" workbookViewId="0">
      <selection activeCell="H4" sqref="H4"/>
    </sheetView>
  </sheetViews>
  <sheetFormatPr defaultRowHeight="15" x14ac:dyDescent="0.25"/>
  <cols>
    <col min="1" max="1" width="45.5703125" customWidth="1"/>
    <col min="2" max="3" width="17.140625" customWidth="1"/>
  </cols>
  <sheetData>
    <row r="1" spans="1:6" ht="49.5" customHeight="1" x14ac:dyDescent="0.25">
      <c r="A1" s="656" t="s">
        <v>921</v>
      </c>
      <c r="B1" s="656"/>
      <c r="C1" s="656"/>
      <c r="D1" s="1"/>
      <c r="E1" s="1"/>
      <c r="F1" s="1"/>
    </row>
    <row r="2" spans="1:6" x14ac:dyDescent="0.25">
      <c r="A2" s="405" t="s">
        <v>922</v>
      </c>
      <c r="B2" s="406" t="s">
        <v>1022</v>
      </c>
      <c r="C2" s="406" t="s">
        <v>1023</v>
      </c>
      <c r="D2" s="1"/>
      <c r="E2" s="1"/>
      <c r="F2" s="1"/>
    </row>
    <row r="3" spans="1:6" x14ac:dyDescent="0.25">
      <c r="A3" s="403" t="s">
        <v>1020</v>
      </c>
      <c r="B3" s="404">
        <f>Газ!K159+Электрика!M567+КИПиА!L856+Метрология!O794</f>
        <v>3233949.1316192998</v>
      </c>
      <c r="C3" s="409"/>
      <c r="D3" s="1"/>
      <c r="E3" s="1"/>
      <c r="F3" s="1"/>
    </row>
    <row r="4" spans="1:6" ht="26.25" x14ac:dyDescent="0.25">
      <c r="A4" s="403" t="s">
        <v>1021</v>
      </c>
      <c r="B4" s="404">
        <f>B3*0.07</f>
        <v>226376.439213351</v>
      </c>
      <c r="C4" s="409"/>
      <c r="D4" s="1"/>
      <c r="E4" s="1"/>
      <c r="F4" s="1"/>
    </row>
    <row r="5" spans="1:6" x14ac:dyDescent="0.25">
      <c r="A5" s="403" t="s">
        <v>932</v>
      </c>
      <c r="B5" s="404">
        <f>(B3+B4)*0.28</f>
        <v>968891.1598331423</v>
      </c>
      <c r="C5" s="409"/>
      <c r="D5" s="1"/>
      <c r="E5" s="1"/>
      <c r="F5" s="1"/>
    </row>
    <row r="6" spans="1:6" x14ac:dyDescent="0.25">
      <c r="A6" s="403" t="s">
        <v>931</v>
      </c>
      <c r="B6" s="404">
        <f>(B3+B4+B5)*0.302</f>
        <v>1337623.4526610693</v>
      </c>
      <c r="C6" s="409"/>
      <c r="D6" s="1"/>
      <c r="E6" s="1"/>
      <c r="F6" s="1"/>
    </row>
    <row r="7" spans="1:6" x14ac:dyDescent="0.25">
      <c r="A7" s="403" t="s">
        <v>33</v>
      </c>
      <c r="B7" s="404">
        <f>Газ!P159+Электрика!Q567+КИПиА!P856+Метрология!S794</f>
        <v>1689201.0223999997</v>
      </c>
      <c r="C7" s="409"/>
      <c r="D7" s="1"/>
      <c r="E7" s="1"/>
      <c r="F7" s="1"/>
    </row>
    <row r="8" spans="1:6" ht="26.25" hidden="1" x14ac:dyDescent="0.25">
      <c r="A8" s="403" t="s">
        <v>923</v>
      </c>
      <c r="B8" s="404"/>
      <c r="C8" s="409"/>
      <c r="D8" s="1"/>
      <c r="E8" s="1"/>
      <c r="F8" s="1"/>
    </row>
    <row r="9" spans="1:6" x14ac:dyDescent="0.25">
      <c r="A9" s="403" t="s">
        <v>924</v>
      </c>
      <c r="B9" s="404">
        <f>B3+B4+B5+B6+B7</f>
        <v>7456041.205726862</v>
      </c>
      <c r="C9" s="409"/>
      <c r="D9" s="1"/>
      <c r="E9" s="1"/>
      <c r="F9" s="1"/>
    </row>
    <row r="10" spans="1:6" ht="26.25" hidden="1" x14ac:dyDescent="0.25">
      <c r="A10" s="403" t="s">
        <v>925</v>
      </c>
      <c r="B10" s="404"/>
      <c r="C10" s="409"/>
      <c r="D10" s="1"/>
      <c r="E10" s="1"/>
      <c r="F10" s="1"/>
    </row>
    <row r="11" spans="1:6" x14ac:dyDescent="0.25">
      <c r="A11" s="403" t="s">
        <v>926</v>
      </c>
      <c r="B11" s="404">
        <f>B9+B10</f>
        <v>7456041.205726862</v>
      </c>
      <c r="C11" s="409"/>
      <c r="D11" s="1"/>
      <c r="E11" s="1"/>
      <c r="F11" s="1"/>
    </row>
    <row r="12" spans="1:6" x14ac:dyDescent="0.25">
      <c r="A12" s="403" t="s">
        <v>927</v>
      </c>
      <c r="B12" s="404">
        <f>B11*1.2</f>
        <v>8947249.4468722343</v>
      </c>
      <c r="C12" s="409"/>
      <c r="D12" s="1"/>
      <c r="E12" s="1"/>
      <c r="F12" s="1"/>
    </row>
    <row r="13" spans="1:6" x14ac:dyDescent="0.25">
      <c r="A13" s="403" t="s">
        <v>928</v>
      </c>
      <c r="B13" s="404">
        <f>B12*0.2</f>
        <v>1789449.8893744471</v>
      </c>
      <c r="C13" s="409"/>
      <c r="D13" s="1"/>
      <c r="E13" s="1"/>
      <c r="F13" s="1"/>
    </row>
    <row r="14" spans="1:6" x14ac:dyDescent="0.25">
      <c r="A14" s="407" t="s">
        <v>1025</v>
      </c>
      <c r="B14" s="410">
        <f>B12+B13</f>
        <v>10736699.33624668</v>
      </c>
      <c r="C14" s="410">
        <f>B14/12</f>
        <v>894724.94468722341</v>
      </c>
      <c r="D14" s="1"/>
      <c r="E14" s="1"/>
      <c r="F14" s="1"/>
    </row>
    <row r="15" spans="1:6" x14ac:dyDescent="0.25">
      <c r="A15" s="407" t="s">
        <v>1024</v>
      </c>
      <c r="B15" s="410">
        <f>B14/5</f>
        <v>2147339.8672493361</v>
      </c>
      <c r="C15" s="410">
        <f>C14/5</f>
        <v>178944.98893744469</v>
      </c>
      <c r="D15" s="1"/>
      <c r="E15" s="1"/>
      <c r="F15" s="1"/>
    </row>
    <row r="16" spans="1:6" x14ac:dyDescent="0.25">
      <c r="A16" s="408" t="s">
        <v>1026</v>
      </c>
      <c r="B16" s="411">
        <f>B14+B15</f>
        <v>12884039.203496017</v>
      </c>
      <c r="C16" s="411">
        <f>C14+C15</f>
        <v>1073669.933624668</v>
      </c>
      <c r="D16" s="1"/>
      <c r="E16" s="1"/>
      <c r="F16" s="1"/>
    </row>
    <row r="17" spans="1:6" x14ac:dyDescent="0.25">
      <c r="A17" s="209"/>
      <c r="B17" s="362"/>
      <c r="C17" s="1"/>
      <c r="D17" s="1"/>
      <c r="E17" s="1"/>
      <c r="F17" s="1"/>
    </row>
    <row r="18" spans="1:6" x14ac:dyDescent="0.25">
      <c r="A18" s="209" t="s">
        <v>929</v>
      </c>
      <c r="B18" s="361"/>
      <c r="C18" s="1" t="s">
        <v>930</v>
      </c>
      <c r="D18" s="1"/>
      <c r="E18" s="1"/>
      <c r="F18" s="1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7DF93-8A49-4F29-A620-3662BD3ACE85}">
  <dimension ref="B1:C43"/>
  <sheetViews>
    <sheetView topLeftCell="A16" workbookViewId="0">
      <selection activeCell="B35" sqref="B35:C35"/>
    </sheetView>
  </sheetViews>
  <sheetFormatPr defaultRowHeight="15" x14ac:dyDescent="0.25"/>
  <cols>
    <col min="2" max="2" width="64.85546875" customWidth="1"/>
    <col min="3" max="3" width="19.140625" customWidth="1"/>
  </cols>
  <sheetData>
    <row r="1" spans="2:3" ht="15.75" thickBot="1" x14ac:dyDescent="0.3"/>
    <row r="2" spans="2:3" ht="24" customHeight="1" thickBot="1" x14ac:dyDescent="0.3">
      <c r="B2" s="367" t="s">
        <v>933</v>
      </c>
      <c r="C2" s="368" t="s">
        <v>934</v>
      </c>
    </row>
    <row r="3" spans="2:3" x14ac:dyDescent="0.25">
      <c r="B3" s="657" t="s">
        <v>935</v>
      </c>
      <c r="C3" s="659" t="s">
        <v>936</v>
      </c>
    </row>
    <row r="4" spans="2:3" ht="3.75" customHeight="1" thickBot="1" x14ac:dyDescent="0.3">
      <c r="B4" s="658"/>
      <c r="C4" s="660"/>
    </row>
    <row r="5" spans="2:3" ht="15.75" thickBot="1" x14ac:dyDescent="0.3">
      <c r="B5" s="369">
        <v>20</v>
      </c>
      <c r="C5" s="370" t="s">
        <v>937</v>
      </c>
    </row>
    <row r="6" spans="2:3" ht="15.75" thickBot="1" x14ac:dyDescent="0.3">
      <c r="B6" s="371" t="s">
        <v>938</v>
      </c>
      <c r="C6" s="373" t="s">
        <v>939</v>
      </c>
    </row>
    <row r="7" spans="2:3" ht="15" customHeight="1" thickBot="1" x14ac:dyDescent="0.3">
      <c r="B7" s="371" t="s">
        <v>940</v>
      </c>
      <c r="C7" s="372" t="s">
        <v>941</v>
      </c>
    </row>
    <row r="8" spans="2:3" ht="15" customHeight="1" thickBot="1" x14ac:dyDescent="0.3">
      <c r="B8" s="371" t="s">
        <v>942</v>
      </c>
      <c r="C8" s="372" t="s">
        <v>943</v>
      </c>
    </row>
    <row r="9" spans="2:3" ht="15" customHeight="1" thickBot="1" x14ac:dyDescent="0.3">
      <c r="B9" s="371" t="s">
        <v>944</v>
      </c>
      <c r="C9" s="372" t="s">
        <v>945</v>
      </c>
    </row>
    <row r="10" spans="2:3" ht="15" customHeight="1" thickBot="1" x14ac:dyDescent="0.3">
      <c r="B10" s="371" t="s">
        <v>946</v>
      </c>
      <c r="C10" s="372" t="s">
        <v>947</v>
      </c>
    </row>
    <row r="11" spans="2:3" ht="15" customHeight="1" thickBot="1" x14ac:dyDescent="0.3">
      <c r="B11" s="371" t="s">
        <v>948</v>
      </c>
      <c r="C11" s="372" t="s">
        <v>949</v>
      </c>
    </row>
    <row r="12" spans="2:3" ht="15" customHeight="1" thickBot="1" x14ac:dyDescent="0.3">
      <c r="B12" s="371" t="s">
        <v>950</v>
      </c>
      <c r="C12" s="372" t="s">
        <v>951</v>
      </c>
    </row>
    <row r="13" spans="2:3" ht="15" customHeight="1" thickBot="1" x14ac:dyDescent="0.3">
      <c r="B13" s="371" t="s">
        <v>952</v>
      </c>
      <c r="C13" s="372" t="s">
        <v>953</v>
      </c>
    </row>
    <row r="14" spans="2:3" ht="15" customHeight="1" thickBot="1" x14ac:dyDescent="0.3">
      <c r="B14" s="371" t="s">
        <v>954</v>
      </c>
      <c r="C14" s="372" t="s">
        <v>955</v>
      </c>
    </row>
    <row r="15" spans="2:3" ht="15" customHeight="1" thickBot="1" x14ac:dyDescent="0.3">
      <c r="B15" s="371" t="s">
        <v>956</v>
      </c>
      <c r="C15" s="372" t="s">
        <v>957</v>
      </c>
    </row>
    <row r="16" spans="2:3" ht="15" customHeight="1" thickBot="1" x14ac:dyDescent="0.3">
      <c r="B16" s="371" t="s">
        <v>958</v>
      </c>
      <c r="C16" s="372" t="s">
        <v>959</v>
      </c>
    </row>
    <row r="17" spans="2:3" ht="15" customHeight="1" thickBot="1" x14ac:dyDescent="0.3">
      <c r="B17" s="371" t="s">
        <v>960</v>
      </c>
      <c r="C17" s="372" t="s">
        <v>961</v>
      </c>
    </row>
    <row r="18" spans="2:3" ht="15" customHeight="1" thickBot="1" x14ac:dyDescent="0.3">
      <c r="B18" s="371" t="s">
        <v>962</v>
      </c>
      <c r="C18" s="372" t="s">
        <v>963</v>
      </c>
    </row>
    <row r="19" spans="2:3" ht="15" customHeight="1" thickBot="1" x14ac:dyDescent="0.3">
      <c r="B19" s="371" t="s">
        <v>964</v>
      </c>
      <c r="C19" s="372" t="s">
        <v>965</v>
      </c>
    </row>
    <row r="20" spans="2:3" ht="15" customHeight="1" thickBot="1" x14ac:dyDescent="0.3">
      <c r="B20" s="371" t="s">
        <v>966</v>
      </c>
      <c r="C20" s="372" t="s">
        <v>967</v>
      </c>
    </row>
    <row r="21" spans="2:3" ht="15" customHeight="1" thickBot="1" x14ac:dyDescent="0.3">
      <c r="B21" s="371" t="s">
        <v>968</v>
      </c>
      <c r="C21" s="372" t="s">
        <v>969</v>
      </c>
    </row>
    <row r="22" spans="2:3" ht="15" customHeight="1" thickBot="1" x14ac:dyDescent="0.3">
      <c r="B22" s="371" t="s">
        <v>970</v>
      </c>
      <c r="C22" s="372" t="s">
        <v>971</v>
      </c>
    </row>
    <row r="23" spans="2:3" ht="15" customHeight="1" thickBot="1" x14ac:dyDescent="0.3">
      <c r="B23" s="371" t="s">
        <v>972</v>
      </c>
      <c r="C23" s="372" t="s">
        <v>973</v>
      </c>
    </row>
    <row r="24" spans="2:3" ht="15" customHeight="1" thickBot="1" x14ac:dyDescent="0.3">
      <c r="B24" s="371" t="s">
        <v>974</v>
      </c>
      <c r="C24" s="372" t="s">
        <v>975</v>
      </c>
    </row>
    <row r="25" spans="2:3" ht="15" customHeight="1" thickBot="1" x14ac:dyDescent="0.3">
      <c r="B25" s="371" t="s">
        <v>976</v>
      </c>
      <c r="C25" s="372" t="s">
        <v>977</v>
      </c>
    </row>
    <row r="26" spans="2:3" ht="15" customHeight="1" thickBot="1" x14ac:dyDescent="0.3">
      <c r="B26" s="371" t="s">
        <v>978</v>
      </c>
      <c r="C26" s="372" t="s">
        <v>979</v>
      </c>
    </row>
    <row r="27" spans="2:3" ht="15" customHeight="1" thickBot="1" x14ac:dyDescent="0.3">
      <c r="B27" s="371" t="s">
        <v>980</v>
      </c>
      <c r="C27" s="372" t="s">
        <v>981</v>
      </c>
    </row>
    <row r="28" spans="2:3" ht="15" customHeight="1" thickBot="1" x14ac:dyDescent="0.3">
      <c r="B28" s="371" t="s">
        <v>982</v>
      </c>
      <c r="C28" s="372" t="s">
        <v>983</v>
      </c>
    </row>
    <row r="29" spans="2:3" ht="15" customHeight="1" thickBot="1" x14ac:dyDescent="0.3">
      <c r="B29" s="371" t="s">
        <v>32</v>
      </c>
      <c r="C29" s="372" t="s">
        <v>984</v>
      </c>
    </row>
    <row r="30" spans="2:3" ht="15" customHeight="1" thickBot="1" x14ac:dyDescent="0.3">
      <c r="B30" s="371" t="s">
        <v>985</v>
      </c>
      <c r="C30" s="372" t="s">
        <v>986</v>
      </c>
    </row>
    <row r="31" spans="2:3" ht="15" customHeight="1" thickBot="1" x14ac:dyDescent="0.3">
      <c r="B31" s="371" t="s">
        <v>987</v>
      </c>
      <c r="C31" s="372" t="s">
        <v>988</v>
      </c>
    </row>
    <row r="32" spans="2:3" ht="15" customHeight="1" thickBot="1" x14ac:dyDescent="0.3">
      <c r="B32" s="371" t="s">
        <v>989</v>
      </c>
      <c r="C32" s="372" t="s">
        <v>990</v>
      </c>
    </row>
    <row r="33" spans="2:3" ht="15" customHeight="1" thickBot="1" x14ac:dyDescent="0.3">
      <c r="B33" s="371" t="s">
        <v>991</v>
      </c>
      <c r="C33" s="372" t="s">
        <v>992</v>
      </c>
    </row>
    <row r="34" spans="2:3" ht="15" customHeight="1" thickBot="1" x14ac:dyDescent="0.3">
      <c r="B34" s="371" t="s">
        <v>993</v>
      </c>
      <c r="C34" s="372" t="s">
        <v>994</v>
      </c>
    </row>
    <row r="35" spans="2:3" ht="15" customHeight="1" thickBot="1" x14ac:dyDescent="0.3">
      <c r="B35" s="376" t="s">
        <v>995</v>
      </c>
      <c r="C35" s="377" t="s">
        <v>996</v>
      </c>
    </row>
    <row r="36" spans="2:3" ht="15" customHeight="1" thickBot="1" x14ac:dyDescent="0.3">
      <c r="B36" s="371" t="s">
        <v>997</v>
      </c>
      <c r="C36" s="372" t="s">
        <v>998</v>
      </c>
    </row>
    <row r="37" spans="2:3" ht="15" customHeight="1" thickBot="1" x14ac:dyDescent="0.3">
      <c r="B37" s="371" t="s">
        <v>999</v>
      </c>
      <c r="C37" s="372" t="s">
        <v>1000</v>
      </c>
    </row>
    <row r="38" spans="2:3" ht="15" customHeight="1" thickBot="1" x14ac:dyDescent="0.3">
      <c r="B38" s="371" t="s">
        <v>1001</v>
      </c>
      <c r="C38" s="372" t="s">
        <v>1002</v>
      </c>
    </row>
    <row r="39" spans="2:3" ht="15" customHeight="1" thickBot="1" x14ac:dyDescent="0.3">
      <c r="B39" s="371" t="s">
        <v>1003</v>
      </c>
      <c r="C39" s="372" t="s">
        <v>1004</v>
      </c>
    </row>
    <row r="40" spans="2:3" ht="15" customHeight="1" thickBot="1" x14ac:dyDescent="0.3">
      <c r="B40" s="371" t="s">
        <v>1005</v>
      </c>
      <c r="C40" s="372" t="s">
        <v>1006</v>
      </c>
    </row>
    <row r="41" spans="2:3" ht="15" customHeight="1" thickBot="1" x14ac:dyDescent="0.3">
      <c r="B41" s="371" t="s">
        <v>1007</v>
      </c>
      <c r="C41" s="372" t="s">
        <v>1008</v>
      </c>
    </row>
    <row r="42" spans="2:3" ht="15" customHeight="1" thickBot="1" x14ac:dyDescent="0.3">
      <c r="B42" s="371" t="s">
        <v>1009</v>
      </c>
      <c r="C42" s="372" t="s">
        <v>1010</v>
      </c>
    </row>
    <row r="43" spans="2:3" ht="15.75" thickBot="1" x14ac:dyDescent="0.3">
      <c r="B43" s="374" t="s">
        <v>1011</v>
      </c>
      <c r="C43" s="375" t="s">
        <v>937</v>
      </c>
    </row>
  </sheetData>
  <mergeCells count="2">
    <mergeCell ref="B3:B4"/>
    <mergeCell ref="C3:C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zoomScaleNormal="100" workbookViewId="0">
      <selection activeCell="F5" sqref="F5"/>
    </sheetView>
  </sheetViews>
  <sheetFormatPr defaultRowHeight="15" x14ac:dyDescent="0.25"/>
  <cols>
    <col min="2" max="2" width="20" customWidth="1"/>
  </cols>
  <sheetData>
    <row r="1" spans="1:6" x14ac:dyDescent="0.25">
      <c r="A1" t="s">
        <v>366</v>
      </c>
    </row>
    <row r="2" spans="1:6" x14ac:dyDescent="0.25">
      <c r="B2" t="s">
        <v>586</v>
      </c>
      <c r="C2">
        <v>74750</v>
      </c>
      <c r="D2">
        <f>C2*0.302</f>
        <v>22574.5</v>
      </c>
      <c r="E2">
        <f>C2+D2</f>
        <v>97324.5</v>
      </c>
      <c r="F2">
        <f>E2/164</f>
        <v>593.44207317073176</v>
      </c>
    </row>
    <row r="4" spans="1:6" x14ac:dyDescent="0.25">
      <c r="A4" t="s">
        <v>731</v>
      </c>
      <c r="F4">
        <f>F2*1.3</f>
        <v>771.4746951219513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6</vt:i4>
      </vt:variant>
    </vt:vector>
  </HeadingPairs>
  <TitlesOfParts>
    <vt:vector size="17" baseType="lpstr">
      <vt:lpstr>Приложение №1 (2.7) ОБЩАЯ</vt:lpstr>
      <vt:lpstr>прейскурант</vt:lpstr>
      <vt:lpstr>Газ</vt:lpstr>
      <vt:lpstr>газ ФОТ</vt:lpstr>
      <vt:lpstr>Электрика</vt:lpstr>
      <vt:lpstr>Электрика ФОТ</vt:lpstr>
      <vt:lpstr>КИПиА</vt:lpstr>
      <vt:lpstr>Метрология</vt:lpstr>
      <vt:lpstr>калькуляция</vt:lpstr>
      <vt:lpstr>сч 20</vt:lpstr>
      <vt:lpstr>ФОТ (кип+метро) (2)</vt:lpstr>
      <vt:lpstr>'Приложение №1 (2.7) ОБЩАЯ'!Заголовки_для_печати</vt:lpstr>
      <vt:lpstr>Газ!Область_печати</vt:lpstr>
      <vt:lpstr>Метрология!Область_печати</vt:lpstr>
      <vt:lpstr>прейскурант!Область_печати</vt:lpstr>
      <vt:lpstr>'Приложение №1 (2.7) ОБЩАЯ'!Область_печати</vt:lpstr>
      <vt:lpstr>Электрика!Область_печати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cp:lastPrinted>2024-10-22T10:02:36Z</cp:lastPrinted>
  <dcterms:created xsi:type="dcterms:W3CDTF">2021-08-04T10:03:08Z</dcterms:created>
  <dcterms:modified xsi:type="dcterms:W3CDTF">2024-10-25T08:42:32Z</dcterms:modified>
</cp:coreProperties>
</file>