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ta\Desktop\Новая папка\282\2025\охрана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1" l="1"/>
  <c r="C21" i="1" s="1"/>
  <c r="C40" i="1" l="1"/>
  <c r="C62" i="1" l="1"/>
  <c r="C30" i="1" l="1"/>
  <c r="C29" i="1" s="1"/>
  <c r="C46" i="1" s="1"/>
  <c r="C42" i="1" l="1"/>
  <c r="C41" i="1"/>
  <c r="C43" i="1" l="1"/>
  <c r="C44" i="1" s="1"/>
  <c r="C45" i="1" s="1"/>
  <c r="C47" i="1" s="1"/>
  <c r="C51" i="1" s="1"/>
  <c r="C52" i="1" l="1"/>
  <c r="C53" i="1" s="1"/>
  <c r="C54" i="1" l="1"/>
  <c r="C55" i="1" s="1"/>
  <c r="C56" i="1" s="1"/>
</calcChain>
</file>

<file path=xl/sharedStrings.xml><?xml version="1.0" encoding="utf-8"?>
<sst xmlns="http://schemas.openxmlformats.org/spreadsheetml/2006/main" count="84" uniqueCount="82">
  <si>
    <t>Дата подготовки обоснования начальной (максимальной) цены контракта, начальной суммы цен единиц товара, работы, услуги</t>
  </si>
  <si>
    <t>Заказчик</t>
  </si>
  <si>
    <t>Используемый метод определения начальной (максимальной) цены контракта, начальной суммы цен единиц товара, работы, услуги: В соответствии с ч.22 ст.22 Закона №44-ФЗ "О контрактной системе в сфере закупок товаров, работ, услуг для обеспечения государственных и муниципальных нужд"</t>
  </si>
  <si>
    <t>Обоснование выбранного метода обоснования начальной (максимальной) цены контракта, начальной суммы цен единиц товара, работы, услуги: ПРИКАЗ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</t>
  </si>
  <si>
    <t>1. Определение общих используемых параметров</t>
  </si>
  <si>
    <t>Константа</t>
  </si>
  <si>
    <t>Наименование</t>
  </si>
  <si>
    <t>Значение</t>
  </si>
  <si>
    <t>n</t>
  </si>
  <si>
    <t>Количество требуемых постов охраны по контракту, пост (человек)</t>
  </si>
  <si>
    <t>Количество нерабочих праздничных дней по контракту, дней</t>
  </si>
  <si>
    <t>Ku</t>
  </si>
  <si>
    <t>Количество часов работы постов охраны по контракту                                (колич_часов_в_сутки * колич_дней), часов</t>
  </si>
  <si>
    <t>Общее количество человеко-часов (по всем постам)</t>
  </si>
  <si>
    <t>МРОТ</t>
  </si>
  <si>
    <t>СНР</t>
  </si>
  <si>
    <t>Iинфл</t>
  </si>
  <si>
    <t>Индекс потребительских цен</t>
  </si>
  <si>
    <t>НДС</t>
  </si>
  <si>
    <t>Налог на добавленную стоимость, %</t>
  </si>
  <si>
    <t>Y</t>
  </si>
  <si>
    <t>Ставка страховых взносов, %</t>
  </si>
  <si>
    <t>2. Расчет корректирующего коэффициента</t>
  </si>
  <si>
    <t>U</t>
  </si>
  <si>
    <t>Корректирующий коэффициент. U=Uб+Uд1+Uд2+Uд3+Uд3+Uд4+Uд5 (сумма Uд не может превышать 0,35)</t>
  </si>
  <si>
    <t>Uб</t>
  </si>
  <si>
    <t>Uд1</t>
  </si>
  <si>
    <t>Дополнительный коэффициент (наличие спецсредств у работника) да=0,05; нет=0</t>
  </si>
  <si>
    <t>Uд2</t>
  </si>
  <si>
    <t>Дополнительный коэффициент (наличие служебного оружия у работника) да=0,2; нет=0</t>
  </si>
  <si>
    <t>Uд3</t>
  </si>
  <si>
    <t>Дополнительный коэффициент (обеспечение порядка в местах проведения массовых мероприятий) да=0,3; нет=0</t>
  </si>
  <si>
    <t>Uд4</t>
  </si>
  <si>
    <t>Дополнительный коэффициент (объект с требованиями по антитеррористической защищенности) да=0,1; нет=0</t>
  </si>
  <si>
    <t>Uд5</t>
  </si>
  <si>
    <t>Дополнительный коэффициент (наличие допуска к государственной тайне работника и режимно-секретного подразделения) да=0,05; нет=0</t>
  </si>
  <si>
    <t>3. Расчет прямых затрат Cu:</t>
  </si>
  <si>
    <t>Переменная</t>
  </si>
  <si>
    <t>Результат</t>
  </si>
  <si>
    <t>БЗП</t>
  </si>
  <si>
    <t>Базовая заработная плата (МРОТ/СНР), руб/час</t>
  </si>
  <si>
    <t>Дн</t>
  </si>
  <si>
    <r>
      <t>Доплата за ночные часы (</t>
    </r>
    <r>
      <rPr>
        <b/>
        <i/>
        <sz val="12"/>
        <color theme="1"/>
        <rFont val="Times New Roman"/>
        <family val="1"/>
        <charset val="204"/>
      </rPr>
      <t>только для 24 часовых постов)</t>
    </r>
    <r>
      <rPr>
        <sz val="12"/>
        <color theme="1"/>
        <rFont val="Times New Roman"/>
        <family val="1"/>
        <charset val="204"/>
      </rPr>
      <t>, руб/час          Расчет: (БЗП*20%)*колич_ночных часов / Ku</t>
    </r>
  </si>
  <si>
    <t>Двп</t>
  </si>
  <si>
    <t>Дрк</t>
  </si>
  <si>
    <t>Районный коэффициент. Размер коэффициента и порядок его применения устанавливаются Правительством РФ, руб/час</t>
  </si>
  <si>
    <t>РО</t>
  </si>
  <si>
    <t>Резерв на отпуск (БЗП + Дн + Двп + Дрк) / 12, руб/час</t>
  </si>
  <si>
    <t>СВ</t>
  </si>
  <si>
    <t>Страховые взносы (БЗП + Дн + Двп + Дрк + РО) * 30,2%, руб/час</t>
  </si>
  <si>
    <t>Корректирующий коэффициент</t>
  </si>
  <si>
    <t>Cu</t>
  </si>
  <si>
    <t>Прямые затраты на часовую работу u-го поста охраны в составе одного работника в смене, руб/час</t>
  </si>
  <si>
    <t>4. Расчет НМЦК:</t>
  </si>
  <si>
    <t>Cu*Ku</t>
  </si>
  <si>
    <t>Прямые затраты охраны в смене, руб</t>
  </si>
  <si>
    <t>КР</t>
  </si>
  <si>
    <t>Косвенные расходы (20% от суммы прямых затрат), руб</t>
  </si>
  <si>
    <t>П</t>
  </si>
  <si>
    <t>Прибыль (5% от суммы прямых и косвенных затрат), руб</t>
  </si>
  <si>
    <t>Полный расчет с НДС и инфляцией (Н(М)ЦК (согласно Приказа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услуг", рублей</t>
  </si>
  <si>
    <t>Стоимость охранных услуг расчетная, человеко-час</t>
  </si>
  <si>
    <t>Понижающий коэффициент</t>
  </si>
  <si>
    <t>Стоимость охранных услуг, человеко-час</t>
  </si>
  <si>
    <t>В соответствии с коэффициентом Заказчика, Н(М)ЦК составляет (руб)</t>
  </si>
  <si>
    <t>Базовый коэффициент (Uб=2-0,0417*колич_часов_раб_поста;              12ч = 1,5; 24ч = 1)</t>
  </si>
  <si>
    <t>Количество дневных часов работы поста в день, часов</t>
  </si>
  <si>
    <t>Количество ночных часов работы поста в день, часов</t>
  </si>
  <si>
    <t>Количество дней работы поста по контракту, дней</t>
  </si>
  <si>
    <t>Предмет контракта - оказание услуг по физической охране</t>
  </si>
  <si>
    <t>1) в формулу расчета НМЦК не включены показатели Стсо  (принятие соответствующих мер реагирования на сигнальную информацию) в связи с отсутствием потребности Заказчика в указанных дополнительных услугах.
2) в формулу расчета НМЦК не включены показатели Сзж (услуги по защите жизни и здоровья граждан) в связи с отсутствием потребности Заказчика в указанных дополнительных услугах.</t>
  </si>
  <si>
    <t xml:space="preserve">                              ОБОСНОВАНИЕ НАЧАЛЬНОЙ (МАКСИМАЛЬНОЙ) ЦЕНЫ КОНТРАКТА</t>
  </si>
  <si>
    <t>Минимальный размер оплаты труда на 2024 год (№522-ФЗ от 19.12.2022г.), руб.</t>
  </si>
  <si>
    <t>Для приведения Н(М)ЦК в соответствие с утвержденными лимитами Плана финансово-хозяйственной деятельности на 2024 год и плановый период 2025 и 2026 годов, Заказчиком применен понижающий коэффициент, руководствуясь частью 2 статьи 72 Бюджетного кодекса Российской Федерации.</t>
  </si>
  <si>
    <t>Доплата за нерабочие праздничные дни (расчет осуществляется по производственному календарю на 2024г.), руб/час</t>
  </si>
  <si>
    <t>Приложение №2 к извещению об осуществлении закупки</t>
  </si>
  <si>
    <t xml:space="preserve">                                                                               оказание услуг охраны</t>
  </si>
  <si>
    <t>Планом финансово-хозяйственной деятельности учреждения на 2024 год и плановый период 2025 и 2026 годов установлена сумма финансирования на услуги частной охранной деятельности на 2024 год менее рассчитанной в соответствии с Приказом ФЕДЕРАЛЬНОЙ СЛУЖБЫ ВОЙСК НАЦИОНАЛЬНОЙ ГВАРДИИ РОССИЙСКОЙ ФЕДЕРАЦИИ от 15 февраля 2021г. №45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начальная цена единицы товара, работы, услуги при осуществлении закупок охранных услуг".</t>
  </si>
  <si>
    <t>Среднемесячная норма рабочего времени, часов                                         СНР=1972 часа / 12 мес. = 164,33 часа (из производственного календаря на 2025 г.)</t>
  </si>
  <si>
    <t>Условия расчета: 12 часов/сутки, 2025 год</t>
  </si>
  <si>
    <t>Пост охраны № 1</t>
  </si>
  <si>
    <t>Муниципальное автономное дошкольное образовательное учреждение                               «Детский сад № 282 г. Челябинска»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</si>
</sst>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 wrapText="1"/>
    </xf>
    <xf numFmtId="165" fontId="1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</xdr:colOff>
      <xdr:row>37</xdr:row>
      <xdr:rowOff>33337</xdr:rowOff>
    </xdr:from>
    <xdr:ext cx="3952875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4774" y="11063287"/>
              <a:ext cx="3952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𝐶𝑢</m:t>
                  </m:r>
                  <m:r>
                    <a:rPr lang="en-US" sz="1100" b="0" i="1">
                      <a:latin typeface="Cambria Math"/>
                    </a:rPr>
                    <m:t>=(БЗП+Дн+Двп+Дрк+РО+СВ)</m:t>
                  </m:r>
                </m:oMath>
              </a14:m>
              <a:r>
                <a:rPr lang="ru-RU" sz="1100"/>
                <a:t> * </a:t>
              </a:r>
              <a:r>
                <a:rPr lang="en-US" sz="1100"/>
                <a:t>U</a:t>
              </a:r>
              <a:endParaRPr lang="ru-RU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4774" y="11063287"/>
              <a:ext cx="3952875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0" i="0">
                  <a:latin typeface="Cambria Math"/>
                </a:rPr>
                <a:t>𝐶𝑢=(</a:t>
              </a:r>
              <a:r>
                <a:rPr lang="ru-RU" sz="1100" b="0" i="0">
                  <a:latin typeface="Cambria Math"/>
                </a:rPr>
                <a:t>БЗП+Дн+Двп+Дрк+РО+СВ)</a:t>
              </a:r>
              <a:r>
                <a:rPr lang="ru-RU" sz="1100"/>
                <a:t> * </a:t>
              </a:r>
              <a:r>
                <a:rPr lang="en-US" sz="1100"/>
                <a:t>U</a:t>
              </a:r>
              <a:endParaRPr lang="ru-RU" sz="1100"/>
            </a:p>
          </xdr:txBody>
        </xdr:sp>
      </mc:Fallback>
    </mc:AlternateContent>
    <xdr:clientData/>
  </xdr:oneCellAnchor>
  <xdr:oneCellAnchor>
    <xdr:from>
      <xdr:col>0</xdr:col>
      <xdr:colOff>76200</xdr:colOff>
      <xdr:row>48</xdr:row>
      <xdr:rowOff>195261</xdr:rowOff>
    </xdr:from>
    <xdr:ext cx="4972049" cy="3000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76200" y="14387511"/>
              <a:ext cx="4972049" cy="300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a:rPr lang="ru-RU" sz="1200" b="0" i="1">
                      <a:latin typeface="Cambria Math"/>
                    </a:rPr>
                    <m:t>Н</m:t>
                  </m:r>
                  <m:d>
                    <m:dPr>
                      <m:ctrlPr>
                        <a:rPr lang="ru-RU" sz="1200" b="0" i="1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ru-RU" sz="1200" b="0" i="1">
                          <a:latin typeface="Cambria Math"/>
                        </a:rPr>
                        <m:t>М</m:t>
                      </m:r>
                    </m:e>
                  </m:d>
                  <m:r>
                    <a:rPr lang="ru-RU" sz="1200" b="0" i="1">
                      <a:latin typeface="Cambria Math"/>
                    </a:rPr>
                    <m:t>ЦК</m:t>
                  </m:r>
                </m:oMath>
              </a14:m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 = (</a:t>
              </a:r>
              <a14:m>
                <m:oMath xmlns:m="http://schemas.openxmlformats.org/officeDocument/2006/math">
                  <m:nary>
                    <m:naryPr>
                      <m:chr m:val="∑"/>
                      <m:ctrlPr>
                        <a:rPr lang="en-US" sz="1200" i="1">
                          <a:latin typeface="Cambria Math" panose="02040503050406030204" pitchFamily="18" charset="0"/>
                          <a:cs typeface="Times New Roman" pitchFamily="18" charset="0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𝑢</m:t>
                      </m:r>
                      <m:r>
                        <a:rPr lang="en-US" sz="1200" i="1">
                          <a:latin typeface="Cambria Math"/>
                          <a:cs typeface="Times New Roman" pitchFamily="18" charset="0"/>
                        </a:rPr>
                        <m:t>=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1</m:t>
                      </m:r>
                    </m:sub>
                    <m:sup>
                      <m:r>
                        <a:rPr lang="en-US" sz="1200" i="1">
                          <a:latin typeface="Cambria Math"/>
                          <a:cs typeface="Times New Roman" pitchFamily="18" charset="0"/>
                        </a:rPr>
                        <m:t>𝑛</m:t>
                      </m:r>
                    </m:sup>
                    <m:e>
                      <m:d>
                        <m:dPr>
                          <m:ctrlPr>
                            <a:rPr lang="en-US" sz="1200" b="0" i="1">
                              <a:latin typeface="Cambria Math" panose="02040503050406030204" pitchFamily="18" charset="0"/>
                              <a:cs typeface="Times New Roman" pitchFamily="18" charset="0"/>
                            </a:rPr>
                          </m:ctrlPr>
                        </m:dPr>
                        <m:e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𝐶𝑢</m:t>
                          </m:r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 ∗</m:t>
                          </m:r>
                          <m:r>
                            <a:rPr lang="en-US" sz="1200" b="0" i="1">
                              <a:latin typeface="Cambria Math"/>
                              <a:cs typeface="Times New Roman" pitchFamily="18" charset="0"/>
                            </a:rPr>
                            <m:t>𝐾𝑢</m:t>
                          </m:r>
                        </m:e>
                      </m:d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+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𝐾𝑃</m:t>
                      </m:r>
                      <m:r>
                        <a:rPr lang="en-US" sz="1200" b="0" i="1">
                          <a:latin typeface="Cambria Math"/>
                          <a:cs typeface="Times New Roman" pitchFamily="18" charset="0"/>
                        </a:rPr>
                        <m:t>+НП+Стсо+Сзж</m:t>
                      </m:r>
                    </m:e>
                  </m:nary>
                </m:oMath>
              </a14:m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) * </a:t>
              </a:r>
              <a:r>
                <a:rPr lang="en-US" sz="1200">
                  <a:latin typeface="Times New Roman" pitchFamily="18" charset="0"/>
                  <a:cs typeface="Times New Roman" pitchFamily="18" charset="0"/>
                </a:rPr>
                <a:t>I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инфл + НДС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76200" y="14387511"/>
              <a:ext cx="4972049" cy="30003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ru-RU" sz="1200" b="0" i="0">
                  <a:latin typeface="Cambria Math"/>
                </a:rPr>
                <a:t>Н(М)ЦК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 = (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∑24_(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𝑢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=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1)^</a:t>
              </a:r>
              <a:r>
                <a:rPr lang="en-US" sz="1200" i="0">
                  <a:latin typeface="Cambria Math"/>
                  <a:cs typeface="Times New Roman" pitchFamily="18" charset="0"/>
                </a:rPr>
                <a:t>𝑛▒〖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(𝐶𝑢 ∗𝐾𝑢)+𝐾𝑃+</a:t>
              </a:r>
              <a:r>
                <a:rPr lang="ru-RU" sz="1200" b="0" i="0">
                  <a:latin typeface="Cambria Math"/>
                  <a:cs typeface="Times New Roman" pitchFamily="18" charset="0"/>
                </a:rPr>
                <a:t>НП+Стсо+Сзж</a:t>
              </a:r>
              <a:r>
                <a:rPr lang="en-US" sz="1200" b="0" i="0">
                  <a:latin typeface="Cambria Math"/>
                  <a:cs typeface="Times New Roman" pitchFamily="18" charset="0"/>
                </a:rPr>
                <a:t>〗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) * </a:t>
              </a:r>
              <a:r>
                <a:rPr lang="en-US" sz="1200">
                  <a:latin typeface="Times New Roman" pitchFamily="18" charset="0"/>
                  <a:cs typeface="Times New Roman" pitchFamily="18" charset="0"/>
                </a:rPr>
                <a:t>I</a:t>
              </a:r>
              <a:r>
                <a:rPr lang="ru-RU" sz="1200">
                  <a:latin typeface="Times New Roman" pitchFamily="18" charset="0"/>
                  <a:cs typeface="Times New Roman" pitchFamily="18" charset="0"/>
                </a:rPr>
                <a:t>инфл + НДС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abSelected="1" topLeftCell="A49" zoomScale="70" zoomScaleNormal="70" workbookViewId="0">
      <selection activeCell="F18" sqref="F18"/>
    </sheetView>
  </sheetViews>
  <sheetFormatPr defaultColWidth="9.109375" defaultRowHeight="15.6" x14ac:dyDescent="0.3"/>
  <cols>
    <col min="1" max="1" width="23.6640625" style="1" customWidth="1"/>
    <col min="2" max="2" width="64.5546875" style="1" customWidth="1"/>
    <col min="3" max="3" width="23.6640625" style="12" customWidth="1"/>
    <col min="4" max="16384" width="9.109375" style="1"/>
  </cols>
  <sheetData>
    <row r="1" spans="1:5" ht="30.6" customHeight="1" x14ac:dyDescent="0.35">
      <c r="A1" s="25" t="s">
        <v>75</v>
      </c>
      <c r="B1" s="25"/>
      <c r="C1" s="25"/>
      <c r="D1" s="22"/>
    </row>
    <row r="2" spans="1:5" ht="15.75" customHeight="1" x14ac:dyDescent="0.3">
      <c r="A2" s="26" t="s">
        <v>71</v>
      </c>
      <c r="B2" s="26"/>
      <c r="C2" s="26"/>
      <c r="D2" s="26"/>
      <c r="E2" s="26"/>
    </row>
    <row r="3" spans="1:5" ht="15.75" customHeight="1" x14ac:dyDescent="0.3">
      <c r="A3" s="26" t="s">
        <v>76</v>
      </c>
      <c r="B3" s="26"/>
      <c r="C3" s="26"/>
      <c r="D3" s="26"/>
      <c r="E3" s="26"/>
    </row>
    <row r="5" spans="1:5" ht="15.75" customHeight="1" x14ac:dyDescent="0.3">
      <c r="A5" s="30" t="s">
        <v>79</v>
      </c>
      <c r="B5" s="30"/>
      <c r="C5" s="30"/>
      <c r="E5" s="18"/>
    </row>
    <row r="6" spans="1:5" ht="27" customHeight="1" x14ac:dyDescent="0.3">
      <c r="A6" s="1" t="s">
        <v>80</v>
      </c>
      <c r="C6" s="23"/>
      <c r="E6" s="18"/>
    </row>
    <row r="7" spans="1:5" ht="31.5" customHeight="1" x14ac:dyDescent="0.3">
      <c r="A7" s="29" t="s">
        <v>0</v>
      </c>
      <c r="B7" s="29"/>
      <c r="C7" s="10">
        <v>45639</v>
      </c>
      <c r="E7" s="18"/>
    </row>
    <row r="8" spans="1:5" ht="31.2" customHeight="1" x14ac:dyDescent="0.3">
      <c r="A8" s="2" t="s">
        <v>1</v>
      </c>
      <c r="B8" s="31" t="s">
        <v>81</v>
      </c>
      <c r="C8" s="32"/>
      <c r="E8" s="18"/>
    </row>
    <row r="9" spans="1:5" ht="15.75" customHeight="1" x14ac:dyDescent="0.3">
      <c r="A9" s="29" t="s">
        <v>69</v>
      </c>
      <c r="B9" s="29"/>
      <c r="C9" s="29"/>
      <c r="E9" s="18"/>
    </row>
    <row r="10" spans="1:5" ht="51.75" customHeight="1" x14ac:dyDescent="0.3">
      <c r="A10" s="29" t="s">
        <v>2</v>
      </c>
      <c r="B10" s="29"/>
      <c r="C10" s="29"/>
      <c r="E10" s="18"/>
    </row>
    <row r="11" spans="1:5" ht="80.25" customHeight="1" x14ac:dyDescent="0.3">
      <c r="A11" s="29" t="s">
        <v>3</v>
      </c>
      <c r="B11" s="29"/>
      <c r="C11" s="29"/>
      <c r="E11" s="18"/>
    </row>
    <row r="12" spans="1:5" x14ac:dyDescent="0.3">
      <c r="E12" s="18"/>
    </row>
    <row r="13" spans="1:5" ht="15.75" customHeight="1" x14ac:dyDescent="0.3">
      <c r="A13" s="26" t="s">
        <v>4</v>
      </c>
      <c r="B13" s="26"/>
      <c r="C13" s="26"/>
      <c r="E13" s="18"/>
    </row>
    <row r="14" spans="1:5" s="3" customFormat="1" x14ac:dyDescent="0.3">
      <c r="A14" s="4" t="s">
        <v>5</v>
      </c>
      <c r="B14" s="4" t="s">
        <v>6</v>
      </c>
      <c r="C14" s="4" t="s">
        <v>7</v>
      </c>
      <c r="E14" s="19"/>
    </row>
    <row r="15" spans="1:5" ht="42.6" customHeight="1" x14ac:dyDescent="0.3">
      <c r="A15" s="2" t="s">
        <v>8</v>
      </c>
      <c r="B15" s="2" t="s">
        <v>9</v>
      </c>
      <c r="C15" s="11">
        <v>2</v>
      </c>
      <c r="E15" s="18"/>
    </row>
    <row r="16" spans="1:5" ht="15.75" customHeight="1" x14ac:dyDescent="0.3">
      <c r="A16" s="29" t="s">
        <v>66</v>
      </c>
      <c r="B16" s="29"/>
      <c r="C16" s="11">
        <v>12</v>
      </c>
      <c r="E16" s="18"/>
    </row>
    <row r="17" spans="1:5" ht="15.75" customHeight="1" x14ac:dyDescent="0.3">
      <c r="A17" s="29" t="s">
        <v>67</v>
      </c>
      <c r="B17" s="29"/>
      <c r="C17" s="11">
        <v>0</v>
      </c>
      <c r="E17" s="18"/>
    </row>
    <row r="18" spans="1:5" ht="15.75" customHeight="1" x14ac:dyDescent="0.3">
      <c r="A18" s="29" t="s">
        <v>68</v>
      </c>
      <c r="B18" s="29"/>
      <c r="C18" s="11">
        <v>117</v>
      </c>
      <c r="E18" s="18"/>
    </row>
    <row r="19" spans="1:5" ht="15.75" customHeight="1" x14ac:dyDescent="0.3">
      <c r="A19" s="29" t="s">
        <v>10</v>
      </c>
      <c r="B19" s="29"/>
      <c r="C19" s="11">
        <v>0</v>
      </c>
      <c r="E19" s="18"/>
    </row>
    <row r="20" spans="1:5" ht="30" customHeight="1" x14ac:dyDescent="0.3">
      <c r="A20" s="2" t="s">
        <v>11</v>
      </c>
      <c r="B20" s="2" t="s">
        <v>12</v>
      </c>
      <c r="C20" s="11">
        <f>C18*C16</f>
        <v>1404</v>
      </c>
      <c r="E20" s="18"/>
    </row>
    <row r="21" spans="1:5" ht="15.75" customHeight="1" x14ac:dyDescent="0.3">
      <c r="A21" s="27" t="s">
        <v>13</v>
      </c>
      <c r="B21" s="28"/>
      <c r="C21" s="11">
        <f>C20*C15</f>
        <v>2808</v>
      </c>
      <c r="E21" s="18"/>
    </row>
    <row r="22" spans="1:5" ht="38.4" customHeight="1" x14ac:dyDescent="0.3">
      <c r="A22" s="2" t="s">
        <v>14</v>
      </c>
      <c r="B22" s="2" t="s">
        <v>72</v>
      </c>
      <c r="C22" s="11">
        <v>19242</v>
      </c>
      <c r="E22" s="18"/>
    </row>
    <row r="23" spans="1:5" ht="55.95" customHeight="1" x14ac:dyDescent="0.3">
      <c r="A23" s="2" t="s">
        <v>15</v>
      </c>
      <c r="B23" s="2" t="s">
        <v>78</v>
      </c>
      <c r="C23" s="24">
        <v>164.33</v>
      </c>
      <c r="E23" s="18"/>
    </row>
    <row r="24" spans="1:5" ht="22.2" customHeight="1" x14ac:dyDescent="0.3">
      <c r="A24" s="2" t="s">
        <v>16</v>
      </c>
      <c r="B24" s="2" t="s">
        <v>17</v>
      </c>
      <c r="C24" s="11">
        <v>1</v>
      </c>
      <c r="E24" s="18"/>
    </row>
    <row r="25" spans="1:5" ht="25.2" customHeight="1" x14ac:dyDescent="0.3">
      <c r="A25" s="2" t="s">
        <v>18</v>
      </c>
      <c r="B25" s="2" t="s">
        <v>19</v>
      </c>
      <c r="C25" s="11">
        <v>20</v>
      </c>
      <c r="E25" s="18"/>
    </row>
    <row r="26" spans="1:5" ht="19.2" customHeight="1" x14ac:dyDescent="0.3">
      <c r="A26" s="2" t="s">
        <v>20</v>
      </c>
      <c r="B26" s="2" t="s">
        <v>21</v>
      </c>
      <c r="C26" s="11">
        <v>30.2</v>
      </c>
      <c r="E26" s="18"/>
    </row>
    <row r="27" spans="1:5" x14ac:dyDescent="0.3">
      <c r="E27" s="18"/>
    </row>
    <row r="28" spans="1:5" ht="15.75" customHeight="1" x14ac:dyDescent="0.3">
      <c r="A28" s="26" t="s">
        <v>22</v>
      </c>
      <c r="B28" s="26"/>
      <c r="E28" s="18"/>
    </row>
    <row r="29" spans="1:5" ht="47.4" customHeight="1" x14ac:dyDescent="0.3">
      <c r="A29" s="2" t="s">
        <v>23</v>
      </c>
      <c r="B29" s="2" t="s">
        <v>24</v>
      </c>
      <c r="C29" s="9">
        <f>SUM(C30:C35)</f>
        <v>1.6496000000000002</v>
      </c>
      <c r="E29" s="18"/>
    </row>
    <row r="30" spans="1:5" s="5" customFormat="1" ht="40.950000000000003" customHeight="1" x14ac:dyDescent="0.3">
      <c r="A30" s="6" t="s">
        <v>25</v>
      </c>
      <c r="B30" s="6" t="s">
        <v>65</v>
      </c>
      <c r="C30" s="13">
        <f>2-0.0417*(C16+C17)</f>
        <v>1.4996</v>
      </c>
      <c r="E30" s="20"/>
    </row>
    <row r="31" spans="1:5" s="5" customFormat="1" ht="41.4" customHeight="1" x14ac:dyDescent="0.3">
      <c r="A31" s="6" t="s">
        <v>26</v>
      </c>
      <c r="B31" s="6" t="s">
        <v>27</v>
      </c>
      <c r="C31" s="13">
        <v>0.05</v>
      </c>
      <c r="E31" s="20"/>
    </row>
    <row r="32" spans="1:5" s="5" customFormat="1" ht="40.200000000000003" customHeight="1" x14ac:dyDescent="0.3">
      <c r="A32" s="6" t="s">
        <v>28</v>
      </c>
      <c r="B32" s="6" t="s">
        <v>29</v>
      </c>
      <c r="C32" s="13">
        <v>0</v>
      </c>
      <c r="E32" s="20"/>
    </row>
    <row r="33" spans="1:5" ht="37.950000000000003" customHeight="1" x14ac:dyDescent="0.3">
      <c r="A33" s="6" t="s">
        <v>30</v>
      </c>
      <c r="B33" s="6" t="s">
        <v>31</v>
      </c>
      <c r="C33" s="13">
        <v>0</v>
      </c>
      <c r="E33" s="18"/>
    </row>
    <row r="34" spans="1:5" ht="37.950000000000003" customHeight="1" x14ac:dyDescent="0.3">
      <c r="A34" s="6" t="s">
        <v>32</v>
      </c>
      <c r="B34" s="6" t="s">
        <v>33</v>
      </c>
      <c r="C34" s="13">
        <v>0.1</v>
      </c>
      <c r="E34" s="18"/>
    </row>
    <row r="35" spans="1:5" ht="48" customHeight="1" x14ac:dyDescent="0.3">
      <c r="A35" s="6" t="s">
        <v>34</v>
      </c>
      <c r="B35" s="6" t="s">
        <v>35</v>
      </c>
      <c r="C35" s="13">
        <v>0</v>
      </c>
      <c r="E35" s="18"/>
    </row>
    <row r="36" spans="1:5" x14ac:dyDescent="0.3">
      <c r="E36" s="18"/>
    </row>
    <row r="37" spans="1:5" ht="15.75" customHeight="1" x14ac:dyDescent="0.3">
      <c r="A37" s="26" t="s">
        <v>36</v>
      </c>
      <c r="B37" s="26"/>
      <c r="E37" s="18"/>
    </row>
    <row r="38" spans="1:5" ht="27" customHeight="1" x14ac:dyDescent="0.3">
      <c r="A38" s="36"/>
      <c r="B38" s="36"/>
      <c r="E38" s="18"/>
    </row>
    <row r="39" spans="1:5" s="7" customFormat="1" x14ac:dyDescent="0.3">
      <c r="A39" s="8" t="s">
        <v>37</v>
      </c>
      <c r="B39" s="8" t="s">
        <v>6</v>
      </c>
      <c r="C39" s="4" t="s">
        <v>38</v>
      </c>
      <c r="E39" s="21"/>
    </row>
    <row r="40" spans="1:5" ht="30.6" customHeight="1" x14ac:dyDescent="0.3">
      <c r="A40" s="2" t="s">
        <v>39</v>
      </c>
      <c r="B40" s="2" t="s">
        <v>40</v>
      </c>
      <c r="C40" s="14">
        <f>C22/C23</f>
        <v>117.09365301527413</v>
      </c>
      <c r="E40" s="18"/>
    </row>
    <row r="41" spans="1:5" ht="44.4" customHeight="1" x14ac:dyDescent="0.3">
      <c r="A41" s="2" t="s">
        <v>41</v>
      </c>
      <c r="B41" s="2" t="s">
        <v>42</v>
      </c>
      <c r="C41" s="14">
        <f>(C40*20%)*(C17*C18)/C20</f>
        <v>0</v>
      </c>
      <c r="E41" s="18"/>
    </row>
    <row r="42" spans="1:5" ht="43.95" customHeight="1" x14ac:dyDescent="0.3">
      <c r="A42" s="2" t="s">
        <v>43</v>
      </c>
      <c r="B42" s="2" t="s">
        <v>74</v>
      </c>
      <c r="C42" s="14">
        <f>C40*C19*(C16+C17)/C20</f>
        <v>0</v>
      </c>
      <c r="E42" s="18"/>
    </row>
    <row r="43" spans="1:5" ht="42" customHeight="1" x14ac:dyDescent="0.3">
      <c r="A43" s="2" t="s">
        <v>44</v>
      </c>
      <c r="B43" s="2" t="s">
        <v>45</v>
      </c>
      <c r="C43" s="14">
        <f>(C40+C41+C42)*0.15</f>
        <v>17.564047952291119</v>
      </c>
      <c r="E43" s="18"/>
    </row>
    <row r="44" spans="1:5" ht="34.200000000000003" customHeight="1" x14ac:dyDescent="0.3">
      <c r="A44" s="2" t="s">
        <v>46</v>
      </c>
      <c r="B44" s="2" t="s">
        <v>47</v>
      </c>
      <c r="C44" s="14">
        <f>(C40+C41+C42+C43)/12</f>
        <v>11.221475080630436</v>
      </c>
      <c r="E44" s="18"/>
    </row>
    <row r="45" spans="1:5" ht="27" customHeight="1" x14ac:dyDescent="0.3">
      <c r="A45" s="2" t="s">
        <v>48</v>
      </c>
      <c r="B45" s="2" t="s">
        <v>49</v>
      </c>
      <c r="C45" s="14">
        <f>(C40+C41+C42+C43+C44)*C26/100</f>
        <v>44.055511166555085</v>
      </c>
      <c r="E45" s="18"/>
    </row>
    <row r="46" spans="1:5" ht="27.6" customHeight="1" x14ac:dyDescent="0.3">
      <c r="A46" s="2" t="s">
        <v>23</v>
      </c>
      <c r="B46" s="2" t="s">
        <v>50</v>
      </c>
      <c r="C46" s="9">
        <f>C29</f>
        <v>1.6496000000000002</v>
      </c>
      <c r="E46" s="18"/>
    </row>
    <row r="47" spans="1:5" ht="34.950000000000003" customHeight="1" x14ac:dyDescent="0.3">
      <c r="A47" s="2" t="s">
        <v>51</v>
      </c>
      <c r="B47" s="2" t="s">
        <v>52</v>
      </c>
      <c r="C47" s="14">
        <f>(C40+C41+C42+C43+C44+C45)*C46</f>
        <v>313.31626002945285</v>
      </c>
      <c r="E47" s="18"/>
    </row>
    <row r="48" spans="1:5" x14ac:dyDescent="0.3">
      <c r="E48" s="18"/>
    </row>
    <row r="49" spans="1:5" s="7" customFormat="1" ht="15.75" customHeight="1" x14ac:dyDescent="0.3">
      <c r="A49" s="26" t="s">
        <v>53</v>
      </c>
      <c r="B49" s="26"/>
      <c r="C49" s="3"/>
      <c r="E49" s="21"/>
    </row>
    <row r="50" spans="1:5" ht="97.95" customHeight="1" x14ac:dyDescent="0.3">
      <c r="A50" s="34" t="s">
        <v>70</v>
      </c>
      <c r="B50" s="34"/>
      <c r="C50" s="34"/>
      <c r="E50" s="18"/>
    </row>
    <row r="51" spans="1:5" ht="34.200000000000003" customHeight="1" x14ac:dyDescent="0.3">
      <c r="A51" s="2" t="s">
        <v>54</v>
      </c>
      <c r="B51" s="2" t="s">
        <v>55</v>
      </c>
      <c r="C51" s="9">
        <f>C47*C21</f>
        <v>879792.05816270364</v>
      </c>
      <c r="E51" s="18"/>
    </row>
    <row r="52" spans="1:5" ht="30" customHeight="1" x14ac:dyDescent="0.3">
      <c r="A52" s="2" t="s">
        <v>56</v>
      </c>
      <c r="B52" s="2" t="s">
        <v>57</v>
      </c>
      <c r="C52" s="9">
        <f>C51*0.2</f>
        <v>175958.41163254075</v>
      </c>
      <c r="E52" s="18"/>
    </row>
    <row r="53" spans="1:5" ht="27" customHeight="1" x14ac:dyDescent="0.3">
      <c r="A53" s="2" t="s">
        <v>58</v>
      </c>
      <c r="B53" s="2" t="s">
        <v>59</v>
      </c>
      <c r="C53" s="9">
        <f>(C51+C52)*0.05</f>
        <v>52787.523489762214</v>
      </c>
      <c r="E53" s="18"/>
    </row>
    <row r="54" spans="1:5" ht="95.25" customHeight="1" x14ac:dyDescent="0.3">
      <c r="A54" s="29" t="s">
        <v>60</v>
      </c>
      <c r="B54" s="29"/>
      <c r="C54" s="9">
        <f>((C51+C52+C53)*C24)*1.2</f>
        <v>1330245.5919420077</v>
      </c>
      <c r="E54" s="18"/>
    </row>
    <row r="55" spans="1:5" s="7" customFormat="1" ht="15.75" customHeight="1" x14ac:dyDescent="0.3">
      <c r="A55" s="33" t="s">
        <v>61</v>
      </c>
      <c r="B55" s="33"/>
      <c r="C55" s="15">
        <f>C54/C21</f>
        <v>473.73418516453262</v>
      </c>
      <c r="E55" s="21"/>
    </row>
    <row r="56" spans="1:5" ht="15.75" customHeight="1" x14ac:dyDescent="0.3">
      <c r="A56" s="29" t="s">
        <v>62</v>
      </c>
      <c r="B56" s="29"/>
      <c r="C56" s="17">
        <f>C57/C55</f>
        <v>0.7546426059074387</v>
      </c>
      <c r="E56" s="18"/>
    </row>
    <row r="57" spans="1:5" ht="15.75" customHeight="1" x14ac:dyDescent="0.3">
      <c r="A57" s="29" t="s">
        <v>63</v>
      </c>
      <c r="B57" s="29"/>
      <c r="C57" s="9">
        <v>357.5</v>
      </c>
      <c r="E57" s="18"/>
    </row>
    <row r="59" spans="1:5" ht="33.6" customHeight="1" x14ac:dyDescent="0.3">
      <c r="A59" s="35" t="s">
        <v>77</v>
      </c>
      <c r="B59" s="35"/>
      <c r="C59" s="35"/>
      <c r="D59" s="35"/>
      <c r="E59" s="35"/>
    </row>
    <row r="60" spans="1:5" ht="30" customHeight="1" x14ac:dyDescent="0.3">
      <c r="A60" s="26" t="s">
        <v>73</v>
      </c>
      <c r="B60" s="26"/>
      <c r="C60" s="26"/>
      <c r="D60" s="26"/>
      <c r="E60" s="26"/>
    </row>
    <row r="61" spans="1:5" ht="11.4" customHeight="1" x14ac:dyDescent="0.3"/>
    <row r="62" spans="1:5" ht="25.95" customHeight="1" x14ac:dyDescent="0.3">
      <c r="A62" s="26" t="s">
        <v>64</v>
      </c>
      <c r="B62" s="26"/>
      <c r="C62" s="16">
        <f>(C21*C57)</f>
        <v>1003860</v>
      </c>
    </row>
  </sheetData>
  <mergeCells count="27">
    <mergeCell ref="A55:B55"/>
    <mergeCell ref="A56:B56"/>
    <mergeCell ref="A57:B57"/>
    <mergeCell ref="A62:B62"/>
    <mergeCell ref="A10:C10"/>
    <mergeCell ref="A50:C50"/>
    <mergeCell ref="A59:E59"/>
    <mergeCell ref="A60:E60"/>
    <mergeCell ref="A17:B17"/>
    <mergeCell ref="A28:B28"/>
    <mergeCell ref="A37:B37"/>
    <mergeCell ref="A38:B38"/>
    <mergeCell ref="A49:B49"/>
    <mergeCell ref="A54:B54"/>
    <mergeCell ref="A1:C1"/>
    <mergeCell ref="A2:E2"/>
    <mergeCell ref="A3:E3"/>
    <mergeCell ref="A21:B21"/>
    <mergeCell ref="A11:C11"/>
    <mergeCell ref="A13:C13"/>
    <mergeCell ref="A16:B16"/>
    <mergeCell ref="A18:B18"/>
    <mergeCell ref="A19:B19"/>
    <mergeCell ref="A5:C5"/>
    <mergeCell ref="A7:B7"/>
    <mergeCell ref="B8:C8"/>
    <mergeCell ref="A9:C9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Галеева Лариса Валерьевна</dc:creator>
  <cp:lastModifiedBy>Rita</cp:lastModifiedBy>
  <cp:lastPrinted>2022-10-28T06:41:17Z</cp:lastPrinted>
  <dcterms:created xsi:type="dcterms:W3CDTF">2022-05-06T05:35:52Z</dcterms:created>
  <dcterms:modified xsi:type="dcterms:W3CDTF">2024-12-16T17:35:44Z</dcterms:modified>
</cp:coreProperties>
</file>