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Внутриплощадочные сети\"/>
    </mc:Choice>
  </mc:AlternateContent>
  <xr:revisionPtr revIDLastSave="0" documentId="13_ncr:1_{D9151A39-5B14-483A-A7B0-DFF07E657E34}" xr6:coauthVersionLast="45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№1 ВОР  БЕЗ В1 и В2 (3)" sheetId="15" r:id="rId1"/>
    <sheet name="Ведомость материалов" sheetId="13" r:id="rId2"/>
    <sheet name="№1 ВОР " sheetId="8" state="hidden" r:id="rId3"/>
    <sheet name="Лист1" sheetId="11" r:id="rId4"/>
  </sheets>
  <definedNames>
    <definedName name="_xlnm._FilterDatabase" localSheetId="2" hidden="1">'№1 ВОР '!$A$10:$Q$330</definedName>
    <definedName name="_xlnm._FilterDatabase" localSheetId="0" hidden="1">'№1 ВОР  БЕЗ В1 и В2 (3)'!$B$10:$P$2532</definedName>
    <definedName name="_xlnm.Print_Area" localSheetId="2">'№1 ВОР '!$A$1:$L$309</definedName>
    <definedName name="_xlnm.Print_Area" localSheetId="0">'№1 ВОР  БЕЗ В1 и В2 (3)'!$B$1:$K$2115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3" i="15" l="1"/>
  <c r="F2103" i="15"/>
  <c r="G2060" i="15"/>
  <c r="F2060" i="15"/>
  <c r="G2012" i="15"/>
  <c r="F2012" i="15"/>
  <c r="H2012" i="15" s="1"/>
  <c r="G1962" i="15"/>
  <c r="F1962" i="15"/>
  <c r="G1949" i="15"/>
  <c r="F1949" i="15"/>
  <c r="G1936" i="15"/>
  <c r="F1936" i="15"/>
  <c r="G1923" i="15"/>
  <c r="F1923" i="15"/>
  <c r="G1911" i="15"/>
  <c r="F1911" i="15"/>
  <c r="G1867" i="15"/>
  <c r="F1867" i="15"/>
  <c r="G1854" i="15"/>
  <c r="F1854" i="15"/>
  <c r="G1841" i="15"/>
  <c r="F1841" i="15"/>
  <c r="H1841" i="15" s="1"/>
  <c r="G1793" i="15"/>
  <c r="F1793" i="15"/>
  <c r="H1793" i="15" s="1"/>
  <c r="G1745" i="15"/>
  <c r="F1745" i="15"/>
  <c r="G1732" i="15"/>
  <c r="F1732" i="15"/>
  <c r="G1688" i="15"/>
  <c r="F1688" i="15"/>
  <c r="G1675" i="15"/>
  <c r="F1675" i="15"/>
  <c r="G1662" i="15"/>
  <c r="F1662" i="15"/>
  <c r="G1614" i="15"/>
  <c r="F1614" i="15"/>
  <c r="G1601" i="15"/>
  <c r="F1601" i="15"/>
  <c r="H1601" i="15" s="1"/>
  <c r="G1557" i="15"/>
  <c r="F1557" i="15"/>
  <c r="G1544" i="15"/>
  <c r="F1544" i="15"/>
  <c r="G1497" i="15"/>
  <c r="F1497" i="15"/>
  <c r="G1484" i="15"/>
  <c r="F1484" i="15"/>
  <c r="G1441" i="15"/>
  <c r="F1441" i="15"/>
  <c r="H1441" i="15" s="1"/>
  <c r="G1394" i="15"/>
  <c r="F1394" i="15"/>
  <c r="G1346" i="15"/>
  <c r="F1346" i="15"/>
  <c r="G1303" i="15"/>
  <c r="F1303" i="15"/>
  <c r="G1258" i="15"/>
  <c r="F1258" i="15"/>
  <c r="G1223" i="15"/>
  <c r="F1223" i="15"/>
  <c r="H1223" i="15" s="1"/>
  <c r="G1183" i="15"/>
  <c r="F1183" i="15"/>
  <c r="G1140" i="15"/>
  <c r="F1140" i="15"/>
  <c r="G1127" i="15"/>
  <c r="F1127" i="15"/>
  <c r="G1114" i="15"/>
  <c r="F1114" i="15"/>
  <c r="G1067" i="15"/>
  <c r="F1067" i="15"/>
  <c r="G1054" i="15"/>
  <c r="F1054" i="15"/>
  <c r="G1007" i="15"/>
  <c r="F1007" i="15"/>
  <c r="G994" i="15"/>
  <c r="F994" i="15"/>
  <c r="G950" i="15"/>
  <c r="F950" i="15"/>
  <c r="G937" i="15"/>
  <c r="F937" i="15"/>
  <c r="G894" i="15"/>
  <c r="F894" i="15"/>
  <c r="H894" i="15" s="1"/>
  <c r="G881" i="15"/>
  <c r="F881" i="15"/>
  <c r="G832" i="15"/>
  <c r="F832" i="15"/>
  <c r="G818" i="15"/>
  <c r="F818" i="15"/>
  <c r="G770" i="15"/>
  <c r="F770" i="15"/>
  <c r="H770" i="15" s="1"/>
  <c r="G721" i="15"/>
  <c r="F721" i="15"/>
  <c r="G678" i="15"/>
  <c r="F678" i="15"/>
  <c r="G635" i="15"/>
  <c r="F635" i="15"/>
  <c r="G592" i="15"/>
  <c r="F592" i="15"/>
  <c r="H592" i="15" s="1"/>
  <c r="G548" i="15"/>
  <c r="F548" i="15"/>
  <c r="G506" i="15"/>
  <c r="F506" i="15"/>
  <c r="G463" i="15"/>
  <c r="F463" i="15"/>
  <c r="G416" i="15"/>
  <c r="F416" i="15"/>
  <c r="H416" i="15" s="1"/>
  <c r="G377" i="15"/>
  <c r="F377" i="15"/>
  <c r="G335" i="15"/>
  <c r="F335" i="15"/>
  <c r="G294" i="15"/>
  <c r="F294" i="15"/>
  <c r="G250" i="15"/>
  <c r="F250" i="15"/>
  <c r="H250" i="15" s="1"/>
  <c r="G209" i="15"/>
  <c r="F209" i="15"/>
  <c r="G163" i="15"/>
  <c r="F163" i="15"/>
  <c r="G116" i="15"/>
  <c r="F116" i="15"/>
  <c r="G70" i="15"/>
  <c r="F70" i="15"/>
  <c r="G16" i="15"/>
  <c r="F16" i="15"/>
  <c r="N2127" i="15"/>
  <c r="J2111" i="15"/>
  <c r="I2111" i="15"/>
  <c r="H2111" i="15"/>
  <c r="H2110" i="15"/>
  <c r="H2109" i="15"/>
  <c r="E2109" i="15"/>
  <c r="E2110" i="15" s="1"/>
  <c r="H2108" i="15"/>
  <c r="E2108" i="15"/>
  <c r="H2107" i="15"/>
  <c r="H2106" i="15"/>
  <c r="E2106" i="15"/>
  <c r="E2107" i="15" s="1"/>
  <c r="H2105" i="15"/>
  <c r="H2104" i="15"/>
  <c r="E2104" i="15"/>
  <c r="E2103" i="15"/>
  <c r="J2103" i="15" s="1"/>
  <c r="H2102" i="15"/>
  <c r="E2102" i="15"/>
  <c r="I2102" i="15" s="1"/>
  <c r="H2101" i="15"/>
  <c r="H2100" i="15"/>
  <c r="E2100" i="15"/>
  <c r="E2101" i="15" s="1"/>
  <c r="J2099" i="15"/>
  <c r="I2099" i="15"/>
  <c r="H2099" i="15"/>
  <c r="H2098" i="15"/>
  <c r="E2098" i="15"/>
  <c r="J2098" i="15" s="1"/>
  <c r="J2097" i="15"/>
  <c r="I2097" i="15"/>
  <c r="H2097" i="15"/>
  <c r="H2096" i="15"/>
  <c r="E2096" i="15"/>
  <c r="J2095" i="15"/>
  <c r="I2095" i="15"/>
  <c r="H2095" i="15"/>
  <c r="J2094" i="15"/>
  <c r="I2094" i="15"/>
  <c r="H2094" i="15"/>
  <c r="J2093" i="15"/>
  <c r="I2093" i="15"/>
  <c r="K2093" i="15" s="1"/>
  <c r="H2093" i="15"/>
  <c r="H2092" i="15"/>
  <c r="J2091" i="15"/>
  <c r="I2091" i="15"/>
  <c r="H2091" i="15"/>
  <c r="E2091" i="15"/>
  <c r="E2092" i="15" s="1"/>
  <c r="J2090" i="15"/>
  <c r="I2090" i="15"/>
  <c r="H2090" i="15"/>
  <c r="J2089" i="15"/>
  <c r="I2089" i="15"/>
  <c r="K2089" i="15" s="1"/>
  <c r="H2089" i="15"/>
  <c r="J2088" i="15"/>
  <c r="I2088" i="15"/>
  <c r="H2088" i="15"/>
  <c r="J2087" i="15"/>
  <c r="F2087" i="15"/>
  <c r="J2086" i="15"/>
  <c r="I2086" i="15"/>
  <c r="K2086" i="15" s="1"/>
  <c r="H2086" i="15"/>
  <c r="J2085" i="15"/>
  <c r="F2085" i="15"/>
  <c r="I2085" i="15" s="1"/>
  <c r="J2084" i="15"/>
  <c r="F2084" i="15"/>
  <c r="J2083" i="15"/>
  <c r="F2083" i="15"/>
  <c r="I2083" i="15" s="1"/>
  <c r="J2082" i="15"/>
  <c r="I2082" i="15"/>
  <c r="H2082" i="15"/>
  <c r="H2081" i="15"/>
  <c r="E2081" i="15"/>
  <c r="J2080" i="15"/>
  <c r="I2080" i="15"/>
  <c r="K2080" i="15" s="1"/>
  <c r="H2080" i="15"/>
  <c r="H2079" i="15"/>
  <c r="E2079" i="15"/>
  <c r="J2079" i="15" s="1"/>
  <c r="J2078" i="15"/>
  <c r="I2078" i="15"/>
  <c r="K2078" i="15" s="1"/>
  <c r="H2078" i="15"/>
  <c r="F2078" i="15"/>
  <c r="J2077" i="15"/>
  <c r="I2077" i="15"/>
  <c r="K2077" i="15" s="1"/>
  <c r="H2077" i="15"/>
  <c r="H2076" i="15"/>
  <c r="I2075" i="15"/>
  <c r="H2075" i="15"/>
  <c r="E2075" i="15"/>
  <c r="E2076" i="15" s="1"/>
  <c r="H2074" i="15"/>
  <c r="H2073" i="15"/>
  <c r="E2073" i="15"/>
  <c r="H2072" i="15"/>
  <c r="E2072" i="15"/>
  <c r="H2071" i="15"/>
  <c r="H2070" i="15"/>
  <c r="E2070" i="15"/>
  <c r="E2071" i="15" s="1"/>
  <c r="J2069" i="15"/>
  <c r="I2069" i="15"/>
  <c r="K2069" i="15" s="1"/>
  <c r="H2069" i="15"/>
  <c r="J2068" i="15"/>
  <c r="I2068" i="15"/>
  <c r="H2068" i="15"/>
  <c r="H2067" i="15"/>
  <c r="H2066" i="15"/>
  <c r="E2066" i="15"/>
  <c r="J2065" i="15"/>
  <c r="H2065" i="15"/>
  <c r="E2065" i="15"/>
  <c r="I2065" i="15" s="1"/>
  <c r="H2064" i="15"/>
  <c r="H2063" i="15"/>
  <c r="E2063" i="15"/>
  <c r="E2064" i="15" s="1"/>
  <c r="H2062" i="15"/>
  <c r="H2061" i="15"/>
  <c r="E2061" i="15"/>
  <c r="I2061" i="15" s="1"/>
  <c r="H2060" i="15"/>
  <c r="E2060" i="15"/>
  <c r="J2059" i="15"/>
  <c r="H2059" i="15"/>
  <c r="E2059" i="15"/>
  <c r="I2059" i="15" s="1"/>
  <c r="H2058" i="15"/>
  <c r="H2057" i="15"/>
  <c r="E2057" i="15"/>
  <c r="J2056" i="15"/>
  <c r="I2056" i="15"/>
  <c r="H2056" i="15"/>
  <c r="H2055" i="15"/>
  <c r="E2055" i="15"/>
  <c r="I2055" i="15" s="1"/>
  <c r="H2054" i="15"/>
  <c r="E2054" i="15"/>
  <c r="J2054" i="15" s="1"/>
  <c r="J2053" i="15"/>
  <c r="I2053" i="15"/>
  <c r="H2053" i="15"/>
  <c r="J2052" i="15"/>
  <c r="I2052" i="15"/>
  <c r="K2052" i="15" s="1"/>
  <c r="H2052" i="15"/>
  <c r="J2051" i="15"/>
  <c r="I2051" i="15"/>
  <c r="H2051" i="15"/>
  <c r="J2050" i="15"/>
  <c r="I2050" i="15"/>
  <c r="H2050" i="15"/>
  <c r="H2049" i="15"/>
  <c r="E2049" i="15"/>
  <c r="J2048" i="15"/>
  <c r="I2048" i="15"/>
  <c r="H2048" i="15"/>
  <c r="J2047" i="15"/>
  <c r="I2047" i="15"/>
  <c r="H2047" i="15"/>
  <c r="J2046" i="15"/>
  <c r="I2046" i="15"/>
  <c r="H2046" i="15"/>
  <c r="H2045" i="15"/>
  <c r="J2044" i="15"/>
  <c r="K2044" i="15" s="1"/>
  <c r="I2044" i="15"/>
  <c r="H2044" i="15"/>
  <c r="E2044" i="15"/>
  <c r="E2045" i="15" s="1"/>
  <c r="J2043" i="15"/>
  <c r="I2043" i="15"/>
  <c r="H2043" i="15"/>
  <c r="J2042" i="15"/>
  <c r="I2042" i="15"/>
  <c r="H2042" i="15"/>
  <c r="J2041" i="15"/>
  <c r="I2041" i="15"/>
  <c r="H2041" i="15"/>
  <c r="J2040" i="15"/>
  <c r="F2040" i="15"/>
  <c r="H2040" i="15" s="1"/>
  <c r="J2039" i="15"/>
  <c r="I2039" i="15"/>
  <c r="K2039" i="15" s="1"/>
  <c r="H2039" i="15"/>
  <c r="J2038" i="15"/>
  <c r="I2038" i="15"/>
  <c r="K2038" i="15" s="1"/>
  <c r="H2038" i="15"/>
  <c r="J2037" i="15"/>
  <c r="F2037" i="15"/>
  <c r="I2037" i="15" s="1"/>
  <c r="J2036" i="15"/>
  <c r="F2036" i="15"/>
  <c r="I2036" i="15" s="1"/>
  <c r="K2036" i="15" s="1"/>
  <c r="J2035" i="15"/>
  <c r="F2035" i="15"/>
  <c r="I2035" i="15" s="1"/>
  <c r="J2034" i="15"/>
  <c r="I2034" i="15"/>
  <c r="H2034" i="15"/>
  <c r="H2033" i="15"/>
  <c r="E2033" i="15"/>
  <c r="J2032" i="15"/>
  <c r="I2032" i="15"/>
  <c r="H2032" i="15"/>
  <c r="H2031" i="15"/>
  <c r="E2031" i="15"/>
  <c r="J2031" i="15" s="1"/>
  <c r="J2030" i="15"/>
  <c r="I2030" i="15"/>
  <c r="F2030" i="15"/>
  <c r="H2030" i="15" s="1"/>
  <c r="J2029" i="15"/>
  <c r="I2029" i="15"/>
  <c r="H2029" i="15"/>
  <c r="H2028" i="15"/>
  <c r="J2027" i="15"/>
  <c r="I2027" i="15"/>
  <c r="H2027" i="15"/>
  <c r="E2027" i="15"/>
  <c r="E2028" i="15" s="1"/>
  <c r="H2026" i="15"/>
  <c r="H2025" i="15"/>
  <c r="E2025" i="15"/>
  <c r="H2024" i="15"/>
  <c r="E2024" i="15"/>
  <c r="J2024" i="15" s="1"/>
  <c r="H2023" i="15"/>
  <c r="H2022" i="15"/>
  <c r="E2022" i="15"/>
  <c r="J2021" i="15"/>
  <c r="I2021" i="15"/>
  <c r="H2021" i="15"/>
  <c r="H2020" i="15"/>
  <c r="H2019" i="15"/>
  <c r="H2018" i="15"/>
  <c r="E2018" i="15"/>
  <c r="H2017" i="15"/>
  <c r="E2017" i="15"/>
  <c r="J2017" i="15" s="1"/>
  <c r="H2016" i="15"/>
  <c r="J2015" i="15"/>
  <c r="I2015" i="15"/>
  <c r="H2015" i="15"/>
  <c r="E2015" i="15"/>
  <c r="E2016" i="15" s="1"/>
  <c r="I2016" i="15" s="1"/>
  <c r="H2014" i="15"/>
  <c r="H2013" i="15"/>
  <c r="E2013" i="15"/>
  <c r="J2013" i="15" s="1"/>
  <c r="E2012" i="15"/>
  <c r="I2012" i="15" s="1"/>
  <c r="H2011" i="15"/>
  <c r="E2011" i="15"/>
  <c r="I2011" i="15" s="1"/>
  <c r="H2010" i="15"/>
  <c r="H2009" i="15"/>
  <c r="E2009" i="15"/>
  <c r="I2009" i="15" s="1"/>
  <c r="J2008" i="15"/>
  <c r="I2008" i="15"/>
  <c r="H2008" i="15"/>
  <c r="H2007" i="15"/>
  <c r="E2007" i="15"/>
  <c r="I2006" i="15"/>
  <c r="H2006" i="15"/>
  <c r="E2006" i="15"/>
  <c r="J2006" i="15" s="1"/>
  <c r="H2005" i="15"/>
  <c r="E2005" i="15"/>
  <c r="J2004" i="15"/>
  <c r="I2004" i="15"/>
  <c r="H2004" i="15"/>
  <c r="J2003" i="15"/>
  <c r="I2003" i="15"/>
  <c r="H2003" i="15"/>
  <c r="J2002" i="15"/>
  <c r="I2002" i="15"/>
  <c r="H2002" i="15"/>
  <c r="J2001" i="15"/>
  <c r="I2001" i="15"/>
  <c r="K2001" i="15" s="1"/>
  <c r="H2001" i="15"/>
  <c r="H2000" i="15"/>
  <c r="E2000" i="15"/>
  <c r="J1999" i="15"/>
  <c r="I1999" i="15"/>
  <c r="H1999" i="15"/>
  <c r="J1998" i="15"/>
  <c r="I1998" i="15"/>
  <c r="H1998" i="15"/>
  <c r="J1997" i="15"/>
  <c r="I1997" i="15"/>
  <c r="H1997" i="15"/>
  <c r="H1996" i="15"/>
  <c r="J1995" i="15"/>
  <c r="I1995" i="15"/>
  <c r="H1995" i="15"/>
  <c r="E1995" i="15"/>
  <c r="E1996" i="15" s="1"/>
  <c r="J1994" i="15"/>
  <c r="I1994" i="15"/>
  <c r="H1994" i="15"/>
  <c r="J1993" i="15"/>
  <c r="I1993" i="15"/>
  <c r="H1993" i="15"/>
  <c r="J1992" i="15"/>
  <c r="I1992" i="15"/>
  <c r="H1992" i="15"/>
  <c r="J1991" i="15"/>
  <c r="F1991" i="15"/>
  <c r="J1990" i="15"/>
  <c r="I1990" i="15"/>
  <c r="K1990" i="15" s="1"/>
  <c r="H1990" i="15"/>
  <c r="J1989" i="15"/>
  <c r="I1989" i="15"/>
  <c r="H1989" i="15"/>
  <c r="J1988" i="15"/>
  <c r="F1988" i="15"/>
  <c r="I1988" i="15" s="1"/>
  <c r="J1987" i="15"/>
  <c r="F1987" i="15"/>
  <c r="J1986" i="15"/>
  <c r="F1986" i="15"/>
  <c r="J1985" i="15"/>
  <c r="F1985" i="15"/>
  <c r="H1985" i="15" s="1"/>
  <c r="J1984" i="15"/>
  <c r="I1984" i="15"/>
  <c r="H1984" i="15"/>
  <c r="H1983" i="15"/>
  <c r="E1983" i="15"/>
  <c r="J1982" i="15"/>
  <c r="I1982" i="15"/>
  <c r="K1982" i="15" s="1"/>
  <c r="H1982" i="15"/>
  <c r="H1981" i="15"/>
  <c r="E1981" i="15"/>
  <c r="J1981" i="15" s="1"/>
  <c r="J1980" i="15"/>
  <c r="F1980" i="15"/>
  <c r="I1980" i="15" s="1"/>
  <c r="J1979" i="15"/>
  <c r="I1979" i="15"/>
  <c r="K1979" i="15" s="1"/>
  <c r="H1979" i="15"/>
  <c r="H1978" i="15"/>
  <c r="H1977" i="15"/>
  <c r="E1977" i="15"/>
  <c r="I1977" i="15" s="1"/>
  <c r="H1976" i="15"/>
  <c r="H1975" i="15"/>
  <c r="E1975" i="15"/>
  <c r="I1975" i="15" s="1"/>
  <c r="H1974" i="15"/>
  <c r="E1974" i="15"/>
  <c r="H1973" i="15"/>
  <c r="H1972" i="15"/>
  <c r="E1972" i="15"/>
  <c r="E1973" i="15" s="1"/>
  <c r="J1973" i="15" s="1"/>
  <c r="J1971" i="15"/>
  <c r="I1971" i="15"/>
  <c r="H1971" i="15"/>
  <c r="J1970" i="15"/>
  <c r="I1970" i="15"/>
  <c r="H1970" i="15"/>
  <c r="H1969" i="15"/>
  <c r="J1968" i="15"/>
  <c r="K1968" i="15" s="1"/>
  <c r="H1968" i="15"/>
  <c r="E1968" i="15"/>
  <c r="I1968" i="15" s="1"/>
  <c r="H1967" i="15"/>
  <c r="E1967" i="15"/>
  <c r="J1967" i="15" s="1"/>
  <c r="H1966" i="15"/>
  <c r="H1965" i="15"/>
  <c r="E1965" i="15"/>
  <c r="H1964" i="15"/>
  <c r="H1963" i="15"/>
  <c r="E1963" i="15"/>
  <c r="J1963" i="15" s="1"/>
  <c r="E1962" i="15"/>
  <c r="H1961" i="15"/>
  <c r="E1961" i="15"/>
  <c r="J1961" i="15" s="1"/>
  <c r="H1960" i="15"/>
  <c r="H1959" i="15"/>
  <c r="E1959" i="15"/>
  <c r="E1960" i="15" s="1"/>
  <c r="J1958" i="15"/>
  <c r="I1958" i="15"/>
  <c r="K1958" i="15" s="1"/>
  <c r="H1958" i="15"/>
  <c r="J1957" i="15"/>
  <c r="I1957" i="15"/>
  <c r="H1957" i="15"/>
  <c r="H1956" i="15"/>
  <c r="H1955" i="15"/>
  <c r="E1955" i="15"/>
  <c r="E1956" i="15" s="1"/>
  <c r="I1956" i="15" s="1"/>
  <c r="H1954" i="15"/>
  <c r="E1954" i="15"/>
  <c r="H1953" i="15"/>
  <c r="H1952" i="15"/>
  <c r="E1952" i="15"/>
  <c r="I1952" i="15" s="1"/>
  <c r="H1951" i="15"/>
  <c r="H1950" i="15"/>
  <c r="E1950" i="15"/>
  <c r="I1950" i="15" s="1"/>
  <c r="E1949" i="15"/>
  <c r="H1948" i="15"/>
  <c r="E1948" i="15"/>
  <c r="H1947" i="15"/>
  <c r="H1946" i="15"/>
  <c r="E1946" i="15"/>
  <c r="E1947" i="15" s="1"/>
  <c r="J1945" i="15"/>
  <c r="I1945" i="15"/>
  <c r="K1945" i="15" s="1"/>
  <c r="H1945" i="15"/>
  <c r="J1944" i="15"/>
  <c r="I1944" i="15"/>
  <c r="H1944" i="15"/>
  <c r="H1943" i="15"/>
  <c r="H1942" i="15"/>
  <c r="E1942" i="15"/>
  <c r="J1942" i="15" s="1"/>
  <c r="H1941" i="15"/>
  <c r="E1941" i="15"/>
  <c r="H1940" i="15"/>
  <c r="H1939" i="15"/>
  <c r="E1939" i="15"/>
  <c r="H1938" i="15"/>
  <c r="H1937" i="15"/>
  <c r="E1937" i="15"/>
  <c r="J1936" i="15"/>
  <c r="H1936" i="15"/>
  <c r="E1936" i="15"/>
  <c r="I1936" i="15" s="1"/>
  <c r="K1936" i="15" s="1"/>
  <c r="H1935" i="15"/>
  <c r="E1935" i="15"/>
  <c r="I1935" i="15" s="1"/>
  <c r="H1934" i="15"/>
  <c r="E1934" i="15"/>
  <c r="H1933" i="15"/>
  <c r="E1933" i="15"/>
  <c r="J1933" i="15" s="1"/>
  <c r="J1932" i="15"/>
  <c r="I1932" i="15"/>
  <c r="H1932" i="15"/>
  <c r="J1931" i="15"/>
  <c r="I1931" i="15"/>
  <c r="H1931" i="15"/>
  <c r="H1930" i="15"/>
  <c r="H1929" i="15"/>
  <c r="E1929" i="15"/>
  <c r="H1928" i="15"/>
  <c r="E1928" i="15"/>
  <c r="H1927" i="15"/>
  <c r="E1927" i="15"/>
  <c r="H1926" i="15"/>
  <c r="E1926" i="15"/>
  <c r="I1926" i="15" s="1"/>
  <c r="H1925" i="15"/>
  <c r="H1924" i="15"/>
  <c r="E1924" i="15"/>
  <c r="H1923" i="15"/>
  <c r="E1923" i="15"/>
  <c r="H1922" i="15"/>
  <c r="E1922" i="15"/>
  <c r="I1922" i="15" s="1"/>
  <c r="H1921" i="15"/>
  <c r="H1920" i="15"/>
  <c r="E1920" i="15"/>
  <c r="J1919" i="15"/>
  <c r="I1919" i="15"/>
  <c r="K1919" i="15" s="1"/>
  <c r="H1919" i="15"/>
  <c r="H1918" i="15"/>
  <c r="H1917" i="15"/>
  <c r="E1917" i="15"/>
  <c r="H1916" i="15"/>
  <c r="E1916" i="15"/>
  <c r="J1916" i="15" s="1"/>
  <c r="H1915" i="15"/>
  <c r="H1914" i="15"/>
  <c r="E1914" i="15"/>
  <c r="H1913" i="15"/>
  <c r="H1912" i="15"/>
  <c r="E1912" i="15"/>
  <c r="E1911" i="15"/>
  <c r="J1910" i="15"/>
  <c r="I1910" i="15"/>
  <c r="K1910" i="15" s="1"/>
  <c r="H1910" i="15"/>
  <c r="H1909" i="15"/>
  <c r="E1909" i="15"/>
  <c r="H1908" i="15"/>
  <c r="E1908" i="15"/>
  <c r="J1908" i="15" s="1"/>
  <c r="J1907" i="15"/>
  <c r="I1907" i="15"/>
  <c r="K1907" i="15" s="1"/>
  <c r="H1907" i="15"/>
  <c r="J1906" i="15"/>
  <c r="I1906" i="15"/>
  <c r="H1906" i="15"/>
  <c r="J1905" i="15"/>
  <c r="I1905" i="15"/>
  <c r="H1905" i="15"/>
  <c r="J1904" i="15"/>
  <c r="I1904" i="15"/>
  <c r="H1904" i="15"/>
  <c r="H1903" i="15"/>
  <c r="E1903" i="15"/>
  <c r="J1902" i="15"/>
  <c r="I1902" i="15"/>
  <c r="K1902" i="15" s="1"/>
  <c r="H1902" i="15"/>
  <c r="J1901" i="15"/>
  <c r="I1901" i="15"/>
  <c r="H1901" i="15"/>
  <c r="J1900" i="15"/>
  <c r="I1900" i="15"/>
  <c r="K1900" i="15" s="1"/>
  <c r="H1900" i="15"/>
  <c r="H1899" i="15"/>
  <c r="H1898" i="15"/>
  <c r="E1898" i="15"/>
  <c r="J1898" i="15" s="1"/>
  <c r="J1897" i="15"/>
  <c r="I1897" i="15"/>
  <c r="H1897" i="15"/>
  <c r="J1896" i="15"/>
  <c r="I1896" i="15"/>
  <c r="H1896" i="15"/>
  <c r="J1895" i="15"/>
  <c r="I1895" i="15"/>
  <c r="H1895" i="15"/>
  <c r="J1894" i="15"/>
  <c r="H1894" i="15"/>
  <c r="F1894" i="15"/>
  <c r="I1894" i="15" s="1"/>
  <c r="K1894" i="15" s="1"/>
  <c r="J1893" i="15"/>
  <c r="I1893" i="15"/>
  <c r="H1893" i="15"/>
  <c r="J1892" i="15"/>
  <c r="I1892" i="15"/>
  <c r="H1892" i="15"/>
  <c r="J1891" i="15"/>
  <c r="F1891" i="15"/>
  <c r="I1891" i="15" s="1"/>
  <c r="J1890" i="15"/>
  <c r="F1890" i="15"/>
  <c r="I1890" i="15" s="1"/>
  <c r="J1889" i="15"/>
  <c r="I1889" i="15"/>
  <c r="H1889" i="15"/>
  <c r="H1888" i="15"/>
  <c r="E1888" i="15"/>
  <c r="J1888" i="15" s="1"/>
  <c r="J1887" i="15"/>
  <c r="I1887" i="15"/>
  <c r="K1887" i="15" s="1"/>
  <c r="H1887" i="15"/>
  <c r="H1886" i="15"/>
  <c r="E1886" i="15"/>
  <c r="J1885" i="15"/>
  <c r="F1885" i="15"/>
  <c r="I1885" i="15" s="1"/>
  <c r="J1884" i="15"/>
  <c r="I1884" i="15"/>
  <c r="H1884" i="15"/>
  <c r="H1883" i="15"/>
  <c r="E1883" i="15"/>
  <c r="J1883" i="15" s="1"/>
  <c r="H1882" i="15"/>
  <c r="E1882" i="15"/>
  <c r="J1882" i="15" s="1"/>
  <c r="H1881" i="15"/>
  <c r="H1880" i="15"/>
  <c r="E1880" i="15"/>
  <c r="I1880" i="15" s="1"/>
  <c r="H1879" i="15"/>
  <c r="E1879" i="15"/>
  <c r="J1879" i="15" s="1"/>
  <c r="H1878" i="15"/>
  <c r="H1877" i="15"/>
  <c r="E1877" i="15"/>
  <c r="E1878" i="15" s="1"/>
  <c r="J1876" i="15"/>
  <c r="I1876" i="15"/>
  <c r="H1876" i="15"/>
  <c r="J1875" i="15"/>
  <c r="I1875" i="15"/>
  <c r="H1875" i="15"/>
  <c r="H1874" i="15"/>
  <c r="H1873" i="15"/>
  <c r="E1873" i="15"/>
  <c r="H1872" i="15"/>
  <c r="E1872" i="15"/>
  <c r="J1872" i="15" s="1"/>
  <c r="H1871" i="15"/>
  <c r="H1870" i="15"/>
  <c r="E1870" i="15"/>
  <c r="E1871" i="15" s="1"/>
  <c r="H1869" i="15"/>
  <c r="H1868" i="15"/>
  <c r="E1868" i="15"/>
  <c r="E1867" i="15"/>
  <c r="J1867" i="15" s="1"/>
  <c r="H1866" i="15"/>
  <c r="E1866" i="15"/>
  <c r="J1866" i="15" s="1"/>
  <c r="H1865" i="15"/>
  <c r="H1864" i="15"/>
  <c r="E1864" i="15"/>
  <c r="J1863" i="15"/>
  <c r="I1863" i="15"/>
  <c r="H1863" i="15"/>
  <c r="J1862" i="15"/>
  <c r="I1862" i="15"/>
  <c r="H1862" i="15"/>
  <c r="H1861" i="15"/>
  <c r="H1860" i="15"/>
  <c r="E1860" i="15"/>
  <c r="H1859" i="15"/>
  <c r="E1859" i="15"/>
  <c r="J1859" i="15" s="1"/>
  <c r="H1858" i="15"/>
  <c r="H1857" i="15"/>
  <c r="E1857" i="15"/>
  <c r="J1857" i="15" s="1"/>
  <c r="H1856" i="15"/>
  <c r="H1855" i="15"/>
  <c r="E1855" i="15"/>
  <c r="H1854" i="15"/>
  <c r="E1854" i="15"/>
  <c r="I1854" i="15" s="1"/>
  <c r="H1853" i="15"/>
  <c r="E1853" i="15"/>
  <c r="H1852" i="15"/>
  <c r="H1851" i="15"/>
  <c r="E1851" i="15"/>
  <c r="J1851" i="15" s="1"/>
  <c r="J1850" i="15"/>
  <c r="I1850" i="15"/>
  <c r="K1850" i="15" s="1"/>
  <c r="H1850" i="15"/>
  <c r="J1849" i="15"/>
  <c r="I1849" i="15"/>
  <c r="H1849" i="15"/>
  <c r="H1848" i="15"/>
  <c r="H1847" i="15"/>
  <c r="E1847" i="15"/>
  <c r="H1846" i="15"/>
  <c r="E1846" i="15"/>
  <c r="H1845" i="15"/>
  <c r="H1844" i="15"/>
  <c r="E1844" i="15"/>
  <c r="J1844" i="15" s="1"/>
  <c r="H1843" i="15"/>
  <c r="H1842" i="15"/>
  <c r="E1842" i="15"/>
  <c r="E1843" i="15" s="1"/>
  <c r="E1841" i="15"/>
  <c r="H1840" i="15"/>
  <c r="E1840" i="15"/>
  <c r="H1839" i="15"/>
  <c r="H1838" i="15"/>
  <c r="E1838" i="15"/>
  <c r="E1839" i="15" s="1"/>
  <c r="J1837" i="15"/>
  <c r="I1837" i="15"/>
  <c r="K1837" i="15" s="1"/>
  <c r="H1837" i="15"/>
  <c r="H1836" i="15"/>
  <c r="E1836" i="15"/>
  <c r="J1836" i="15" s="1"/>
  <c r="H1835" i="15"/>
  <c r="E1835" i="15"/>
  <c r="J1834" i="15"/>
  <c r="I1834" i="15"/>
  <c r="H1834" i="15"/>
  <c r="J1833" i="15"/>
  <c r="I1833" i="15"/>
  <c r="H1833" i="15"/>
  <c r="J1832" i="15"/>
  <c r="I1832" i="15"/>
  <c r="H1832" i="15"/>
  <c r="J1831" i="15"/>
  <c r="I1831" i="15"/>
  <c r="H1831" i="15"/>
  <c r="H1830" i="15"/>
  <c r="E1830" i="15"/>
  <c r="J1830" i="15" s="1"/>
  <c r="J1829" i="15"/>
  <c r="I1829" i="15"/>
  <c r="H1829" i="15"/>
  <c r="J1828" i="15"/>
  <c r="I1828" i="15"/>
  <c r="K1828" i="15" s="1"/>
  <c r="H1828" i="15"/>
  <c r="J1827" i="15"/>
  <c r="I1827" i="15"/>
  <c r="H1827" i="15"/>
  <c r="H1826" i="15"/>
  <c r="H1825" i="15"/>
  <c r="E1825" i="15"/>
  <c r="E1826" i="15" s="1"/>
  <c r="J1824" i="15"/>
  <c r="I1824" i="15"/>
  <c r="H1824" i="15"/>
  <c r="J1823" i="15"/>
  <c r="I1823" i="15"/>
  <c r="H1823" i="15"/>
  <c r="J1822" i="15"/>
  <c r="I1822" i="15"/>
  <c r="K1822" i="15" s="1"/>
  <c r="H1822" i="15"/>
  <c r="J1821" i="15"/>
  <c r="F1821" i="15"/>
  <c r="H1821" i="15" s="1"/>
  <c r="J1820" i="15"/>
  <c r="K1820" i="15" s="1"/>
  <c r="I1820" i="15"/>
  <c r="H1820" i="15"/>
  <c r="J1819" i="15"/>
  <c r="I1819" i="15"/>
  <c r="H1819" i="15"/>
  <c r="J1818" i="15"/>
  <c r="I1818" i="15"/>
  <c r="K1818" i="15" s="1"/>
  <c r="H1818" i="15"/>
  <c r="F1818" i="15"/>
  <c r="J1817" i="15"/>
  <c r="F1817" i="15"/>
  <c r="J1816" i="15"/>
  <c r="F1816" i="15"/>
  <c r="J1815" i="15"/>
  <c r="I1815" i="15"/>
  <c r="H1815" i="15"/>
  <c r="H1814" i="15"/>
  <c r="E1814" i="15"/>
  <c r="J1813" i="15"/>
  <c r="I1813" i="15"/>
  <c r="H1813" i="15"/>
  <c r="H1812" i="15"/>
  <c r="E1812" i="15"/>
  <c r="J1812" i="15" s="1"/>
  <c r="J1811" i="15"/>
  <c r="F1811" i="15"/>
  <c r="H1811" i="15" s="1"/>
  <c r="J1810" i="15"/>
  <c r="I1810" i="15"/>
  <c r="H1810" i="15"/>
  <c r="H1809" i="15"/>
  <c r="H1808" i="15"/>
  <c r="E1808" i="15"/>
  <c r="I1808" i="15" s="1"/>
  <c r="H1807" i="15"/>
  <c r="J1806" i="15"/>
  <c r="I1806" i="15"/>
  <c r="H1806" i="15"/>
  <c r="E1806" i="15"/>
  <c r="E1807" i="15" s="1"/>
  <c r="J1805" i="15"/>
  <c r="I1805" i="15"/>
  <c r="K1805" i="15" s="1"/>
  <c r="H1805" i="15"/>
  <c r="E1805" i="15"/>
  <c r="H1804" i="15"/>
  <c r="E1804" i="15"/>
  <c r="J1804" i="15" s="1"/>
  <c r="H1803" i="15"/>
  <c r="E1803" i="15"/>
  <c r="J1802" i="15"/>
  <c r="I1802" i="15"/>
  <c r="K1802" i="15" s="1"/>
  <c r="H1802" i="15"/>
  <c r="J1801" i="15"/>
  <c r="I1801" i="15"/>
  <c r="K1801" i="15" s="1"/>
  <c r="H1801" i="15"/>
  <c r="H1800" i="15"/>
  <c r="H1799" i="15"/>
  <c r="E1799" i="15"/>
  <c r="E1800" i="15" s="1"/>
  <c r="H1798" i="15"/>
  <c r="E1798" i="15"/>
  <c r="J1798" i="15" s="1"/>
  <c r="H1797" i="15"/>
  <c r="J1796" i="15"/>
  <c r="I1796" i="15"/>
  <c r="H1796" i="15"/>
  <c r="E1796" i="15"/>
  <c r="E1797" i="15" s="1"/>
  <c r="H1795" i="15"/>
  <c r="E1795" i="15"/>
  <c r="J1795" i="15" s="1"/>
  <c r="H1794" i="15"/>
  <c r="E1794" i="15"/>
  <c r="J1794" i="15" s="1"/>
  <c r="E1793" i="15"/>
  <c r="H1792" i="15"/>
  <c r="E1792" i="15"/>
  <c r="H1791" i="15"/>
  <c r="H1790" i="15"/>
  <c r="E1790" i="15"/>
  <c r="E1791" i="15" s="1"/>
  <c r="J1789" i="15"/>
  <c r="K1789" i="15" s="1"/>
  <c r="I1789" i="15"/>
  <c r="H1789" i="15"/>
  <c r="J1788" i="15"/>
  <c r="H1788" i="15"/>
  <c r="E1788" i="15"/>
  <c r="I1788" i="15" s="1"/>
  <c r="J1787" i="15"/>
  <c r="I1787" i="15"/>
  <c r="K1787" i="15" s="1"/>
  <c r="H1787" i="15"/>
  <c r="E1787" i="15"/>
  <c r="J1786" i="15"/>
  <c r="I1786" i="15"/>
  <c r="H1786" i="15"/>
  <c r="J1785" i="15"/>
  <c r="I1785" i="15"/>
  <c r="K1785" i="15" s="1"/>
  <c r="H1785" i="15"/>
  <c r="J1784" i="15"/>
  <c r="I1784" i="15"/>
  <c r="H1784" i="15"/>
  <c r="J1783" i="15"/>
  <c r="I1783" i="15"/>
  <c r="H1783" i="15"/>
  <c r="H1782" i="15"/>
  <c r="E1782" i="15"/>
  <c r="I1782" i="15" s="1"/>
  <c r="J1781" i="15"/>
  <c r="I1781" i="15"/>
  <c r="H1781" i="15"/>
  <c r="J1780" i="15"/>
  <c r="I1780" i="15"/>
  <c r="K1780" i="15" s="1"/>
  <c r="H1780" i="15"/>
  <c r="J1779" i="15"/>
  <c r="I1779" i="15"/>
  <c r="H1779" i="15"/>
  <c r="H1778" i="15"/>
  <c r="H1777" i="15"/>
  <c r="E1777" i="15"/>
  <c r="J1777" i="15" s="1"/>
  <c r="J1776" i="15"/>
  <c r="I1776" i="15"/>
  <c r="K1776" i="15" s="1"/>
  <c r="H1776" i="15"/>
  <c r="J1775" i="15"/>
  <c r="I1775" i="15"/>
  <c r="H1775" i="15"/>
  <c r="J1774" i="15"/>
  <c r="I1774" i="15"/>
  <c r="K1774" i="15" s="1"/>
  <c r="H1774" i="15"/>
  <c r="J1773" i="15"/>
  <c r="F1773" i="15"/>
  <c r="H1773" i="15" s="1"/>
  <c r="J1772" i="15"/>
  <c r="I1772" i="15"/>
  <c r="H1772" i="15"/>
  <c r="J1771" i="15"/>
  <c r="I1771" i="15"/>
  <c r="K1771" i="15" s="1"/>
  <c r="H1771" i="15"/>
  <c r="J1770" i="15"/>
  <c r="F1770" i="15"/>
  <c r="H1770" i="15" s="1"/>
  <c r="J1769" i="15"/>
  <c r="F1769" i="15"/>
  <c r="H1769" i="15" s="1"/>
  <c r="J1768" i="15"/>
  <c r="F1768" i="15"/>
  <c r="I1768" i="15" s="1"/>
  <c r="J1767" i="15"/>
  <c r="I1767" i="15"/>
  <c r="K1767" i="15" s="1"/>
  <c r="H1767" i="15"/>
  <c r="H1766" i="15"/>
  <c r="E1766" i="15"/>
  <c r="I1766" i="15" s="1"/>
  <c r="J1765" i="15"/>
  <c r="I1765" i="15"/>
  <c r="H1765" i="15"/>
  <c r="H1764" i="15"/>
  <c r="E1764" i="15"/>
  <c r="J1764" i="15" s="1"/>
  <c r="J1763" i="15"/>
  <c r="F1763" i="15"/>
  <c r="H1763" i="15" s="1"/>
  <c r="J1762" i="15"/>
  <c r="I1762" i="15"/>
  <c r="H1762" i="15"/>
  <c r="H1761" i="15"/>
  <c r="H1760" i="15"/>
  <c r="E1760" i="15"/>
  <c r="I1760" i="15" s="1"/>
  <c r="H1759" i="15"/>
  <c r="H1758" i="15"/>
  <c r="E1758" i="15"/>
  <c r="E1759" i="15" s="1"/>
  <c r="H1757" i="15"/>
  <c r="E1757" i="15"/>
  <c r="J1757" i="15" s="1"/>
  <c r="H1756" i="15"/>
  <c r="H1755" i="15"/>
  <c r="E1755" i="15"/>
  <c r="J1754" i="15"/>
  <c r="I1754" i="15"/>
  <c r="K1754" i="15" s="1"/>
  <c r="H1754" i="15"/>
  <c r="J1753" i="15"/>
  <c r="I1753" i="15"/>
  <c r="H1753" i="15"/>
  <c r="H1752" i="15"/>
  <c r="H1751" i="15"/>
  <c r="E1751" i="15"/>
  <c r="E1752" i="15" s="1"/>
  <c r="H1750" i="15"/>
  <c r="E1750" i="15"/>
  <c r="J1750" i="15" s="1"/>
  <c r="H1749" i="15"/>
  <c r="H1748" i="15"/>
  <c r="E1748" i="15"/>
  <c r="H1747" i="15"/>
  <c r="E1747" i="15"/>
  <c r="J1747" i="15" s="1"/>
  <c r="H1746" i="15"/>
  <c r="E1746" i="15"/>
  <c r="J1746" i="15" s="1"/>
  <c r="H1745" i="15"/>
  <c r="E1745" i="15"/>
  <c r="I1745" i="15" s="1"/>
  <c r="H1744" i="15"/>
  <c r="E1744" i="15"/>
  <c r="H1743" i="15"/>
  <c r="H1742" i="15"/>
  <c r="E1742" i="15"/>
  <c r="E1743" i="15" s="1"/>
  <c r="J1741" i="15"/>
  <c r="I1741" i="15"/>
  <c r="K1741" i="15" s="1"/>
  <c r="H1741" i="15"/>
  <c r="J1740" i="15"/>
  <c r="I1740" i="15"/>
  <c r="H1740" i="15"/>
  <c r="H1739" i="15"/>
  <c r="H1738" i="15"/>
  <c r="E1738" i="15"/>
  <c r="J1738" i="15" s="1"/>
  <c r="H1737" i="15"/>
  <c r="E1737" i="15"/>
  <c r="H1736" i="15"/>
  <c r="H1735" i="15"/>
  <c r="E1735" i="15"/>
  <c r="E1736" i="15" s="1"/>
  <c r="H1734" i="15"/>
  <c r="H1733" i="15"/>
  <c r="E1733" i="15"/>
  <c r="I1733" i="15" s="1"/>
  <c r="E1732" i="15"/>
  <c r="J1732" i="15" s="1"/>
  <c r="H1731" i="15"/>
  <c r="E1731" i="15"/>
  <c r="H1730" i="15"/>
  <c r="H1729" i="15"/>
  <c r="E1729" i="15"/>
  <c r="J1729" i="15" s="1"/>
  <c r="J1728" i="15"/>
  <c r="I1728" i="15"/>
  <c r="H1728" i="15"/>
  <c r="H1727" i="15"/>
  <c r="E1727" i="15"/>
  <c r="J1727" i="15" s="1"/>
  <c r="H1726" i="15"/>
  <c r="E1726" i="15"/>
  <c r="J1726" i="15" s="1"/>
  <c r="J1725" i="15"/>
  <c r="I1725" i="15"/>
  <c r="H1725" i="15"/>
  <c r="J1724" i="15"/>
  <c r="I1724" i="15"/>
  <c r="K1724" i="15" s="1"/>
  <c r="H1724" i="15"/>
  <c r="J1723" i="15"/>
  <c r="I1723" i="15"/>
  <c r="K1723" i="15" s="1"/>
  <c r="H1723" i="15"/>
  <c r="J1722" i="15"/>
  <c r="I1722" i="15"/>
  <c r="K1722" i="15" s="1"/>
  <c r="H1722" i="15"/>
  <c r="H1721" i="15"/>
  <c r="E1721" i="15"/>
  <c r="J1720" i="15"/>
  <c r="I1720" i="15"/>
  <c r="K1720" i="15" s="1"/>
  <c r="H1720" i="15"/>
  <c r="J1719" i="15"/>
  <c r="I1719" i="15"/>
  <c r="K1719" i="15" s="1"/>
  <c r="H1719" i="15"/>
  <c r="J1718" i="15"/>
  <c r="I1718" i="15"/>
  <c r="K1718" i="15" s="1"/>
  <c r="H1718" i="15"/>
  <c r="H1717" i="15"/>
  <c r="H1716" i="15"/>
  <c r="E1716" i="15"/>
  <c r="I1716" i="15" s="1"/>
  <c r="J1715" i="15"/>
  <c r="I1715" i="15"/>
  <c r="H1715" i="15"/>
  <c r="J1714" i="15"/>
  <c r="F1714" i="15"/>
  <c r="I1714" i="15" s="1"/>
  <c r="J1713" i="15"/>
  <c r="I1713" i="15"/>
  <c r="H1713" i="15"/>
  <c r="J1712" i="15"/>
  <c r="F1712" i="15"/>
  <c r="I1712" i="15" s="1"/>
  <c r="J1711" i="15"/>
  <c r="I1711" i="15"/>
  <c r="H1711" i="15"/>
  <c r="H1710" i="15"/>
  <c r="E1710" i="15"/>
  <c r="J1710" i="15" s="1"/>
  <c r="J1709" i="15"/>
  <c r="I1709" i="15"/>
  <c r="H1709" i="15"/>
  <c r="H1708" i="15"/>
  <c r="E1708" i="15"/>
  <c r="J1708" i="15" s="1"/>
  <c r="J1707" i="15"/>
  <c r="F1707" i="15"/>
  <c r="I1707" i="15" s="1"/>
  <c r="K1707" i="15" s="1"/>
  <c r="J1706" i="15"/>
  <c r="I1706" i="15"/>
  <c r="H1706" i="15"/>
  <c r="H1705" i="15"/>
  <c r="H1704" i="15"/>
  <c r="E1704" i="15"/>
  <c r="J1704" i="15" s="1"/>
  <c r="H1703" i="15"/>
  <c r="H1702" i="15"/>
  <c r="E1702" i="15"/>
  <c r="H1701" i="15"/>
  <c r="E1701" i="15"/>
  <c r="I1701" i="15" s="1"/>
  <c r="H1700" i="15"/>
  <c r="H1699" i="15"/>
  <c r="E1699" i="15"/>
  <c r="J1698" i="15"/>
  <c r="I1698" i="15"/>
  <c r="H1698" i="15"/>
  <c r="J1697" i="15"/>
  <c r="I1697" i="15"/>
  <c r="H1697" i="15"/>
  <c r="H1696" i="15"/>
  <c r="E1696" i="15"/>
  <c r="H1695" i="15"/>
  <c r="E1695" i="15"/>
  <c r="J1695" i="15" s="1"/>
  <c r="I1694" i="15"/>
  <c r="H1694" i="15"/>
  <c r="E1694" i="15"/>
  <c r="J1694" i="15" s="1"/>
  <c r="H1693" i="15"/>
  <c r="E1693" i="15"/>
  <c r="J1693" i="15" s="1"/>
  <c r="H1692" i="15"/>
  <c r="H1691" i="15"/>
  <c r="E1691" i="15"/>
  <c r="E1692" i="15" s="1"/>
  <c r="H1690" i="15"/>
  <c r="H1689" i="15"/>
  <c r="E1689" i="15"/>
  <c r="J1689" i="15" s="1"/>
  <c r="E1688" i="15"/>
  <c r="J1688" i="15" s="1"/>
  <c r="H1687" i="15"/>
  <c r="E1687" i="15"/>
  <c r="H1686" i="15"/>
  <c r="H1685" i="15"/>
  <c r="E1685" i="15"/>
  <c r="J1684" i="15"/>
  <c r="I1684" i="15"/>
  <c r="H1684" i="15"/>
  <c r="J1683" i="15"/>
  <c r="I1683" i="15"/>
  <c r="H1683" i="15"/>
  <c r="H1682" i="15"/>
  <c r="H1681" i="15"/>
  <c r="E1681" i="15"/>
  <c r="H1680" i="15"/>
  <c r="E1680" i="15"/>
  <c r="H1679" i="15"/>
  <c r="J1678" i="15"/>
  <c r="H1678" i="15"/>
  <c r="E1678" i="15"/>
  <c r="I1678" i="15" s="1"/>
  <c r="H1677" i="15"/>
  <c r="H1676" i="15"/>
  <c r="E1676" i="15"/>
  <c r="E1675" i="15"/>
  <c r="H1674" i="15"/>
  <c r="E1674" i="15"/>
  <c r="I1674" i="15" s="1"/>
  <c r="H1673" i="15"/>
  <c r="H1672" i="15"/>
  <c r="E1672" i="15"/>
  <c r="J1671" i="15"/>
  <c r="I1671" i="15"/>
  <c r="H1671" i="15"/>
  <c r="J1670" i="15"/>
  <c r="I1670" i="15"/>
  <c r="K1670" i="15" s="1"/>
  <c r="H1670" i="15"/>
  <c r="H1669" i="15"/>
  <c r="H1668" i="15"/>
  <c r="E1668" i="15"/>
  <c r="J1668" i="15" s="1"/>
  <c r="H1667" i="15"/>
  <c r="E1667" i="15"/>
  <c r="H1666" i="15"/>
  <c r="H1665" i="15"/>
  <c r="E1665" i="15"/>
  <c r="H1664" i="15"/>
  <c r="H1663" i="15"/>
  <c r="E1663" i="15"/>
  <c r="H1662" i="15"/>
  <c r="E1662" i="15"/>
  <c r="I1662" i="15" s="1"/>
  <c r="J1661" i="15"/>
  <c r="H1661" i="15"/>
  <c r="E1661" i="15"/>
  <c r="I1661" i="15" s="1"/>
  <c r="K1661" i="15" s="1"/>
  <c r="H1660" i="15"/>
  <c r="H1659" i="15"/>
  <c r="E1659" i="15"/>
  <c r="J1659" i="15" s="1"/>
  <c r="J1658" i="15"/>
  <c r="I1658" i="15"/>
  <c r="H1658" i="15"/>
  <c r="H1657" i="15"/>
  <c r="E1657" i="15"/>
  <c r="J1657" i="15" s="1"/>
  <c r="H1656" i="15"/>
  <c r="E1656" i="15"/>
  <c r="I1656" i="15" s="1"/>
  <c r="J1655" i="15"/>
  <c r="I1655" i="15"/>
  <c r="H1655" i="15"/>
  <c r="J1654" i="15"/>
  <c r="I1654" i="15"/>
  <c r="K1654" i="15" s="1"/>
  <c r="H1654" i="15"/>
  <c r="J1653" i="15"/>
  <c r="I1653" i="15"/>
  <c r="H1653" i="15"/>
  <c r="J1652" i="15"/>
  <c r="I1652" i="15"/>
  <c r="K1652" i="15" s="1"/>
  <c r="H1652" i="15"/>
  <c r="H1651" i="15"/>
  <c r="E1651" i="15"/>
  <c r="J1650" i="15"/>
  <c r="I1650" i="15"/>
  <c r="H1650" i="15"/>
  <c r="J1649" i="15"/>
  <c r="I1649" i="15"/>
  <c r="H1649" i="15"/>
  <c r="J1648" i="15"/>
  <c r="I1648" i="15"/>
  <c r="H1648" i="15"/>
  <c r="H1647" i="15"/>
  <c r="H1646" i="15"/>
  <c r="E1646" i="15"/>
  <c r="J1646" i="15" s="1"/>
  <c r="J1645" i="15"/>
  <c r="I1645" i="15"/>
  <c r="K1645" i="15" s="1"/>
  <c r="H1645" i="15"/>
  <c r="J1644" i="15"/>
  <c r="I1644" i="15"/>
  <c r="K1644" i="15" s="1"/>
  <c r="H1644" i="15"/>
  <c r="J1643" i="15"/>
  <c r="I1643" i="15"/>
  <c r="H1643" i="15"/>
  <c r="J1642" i="15"/>
  <c r="F1642" i="15"/>
  <c r="J1641" i="15"/>
  <c r="I1641" i="15"/>
  <c r="H1641" i="15"/>
  <c r="J1640" i="15"/>
  <c r="F1640" i="15"/>
  <c r="I1640" i="15" s="1"/>
  <c r="J1639" i="15"/>
  <c r="F1639" i="15"/>
  <c r="H1639" i="15" s="1"/>
  <c r="J1638" i="15"/>
  <c r="F1638" i="15"/>
  <c r="H1638" i="15" s="1"/>
  <c r="J1637" i="15"/>
  <c r="F1637" i="15"/>
  <c r="J1636" i="15"/>
  <c r="I1636" i="15"/>
  <c r="K1636" i="15" s="1"/>
  <c r="H1636" i="15"/>
  <c r="H1635" i="15"/>
  <c r="E1635" i="15"/>
  <c r="J1634" i="15"/>
  <c r="I1634" i="15"/>
  <c r="H1634" i="15"/>
  <c r="H1633" i="15"/>
  <c r="E1633" i="15"/>
  <c r="J1633" i="15" s="1"/>
  <c r="J1632" i="15"/>
  <c r="F1632" i="15"/>
  <c r="H1632" i="15" s="1"/>
  <c r="J1631" i="15"/>
  <c r="I1631" i="15"/>
  <c r="K1631" i="15" s="1"/>
  <c r="H1631" i="15"/>
  <c r="H1630" i="15"/>
  <c r="E1630" i="15"/>
  <c r="J1630" i="15" s="1"/>
  <c r="H1629" i="15"/>
  <c r="E1629" i="15"/>
  <c r="J1629" i="15" s="1"/>
  <c r="H1628" i="15"/>
  <c r="H1627" i="15"/>
  <c r="E1627" i="15"/>
  <c r="E1628" i="15" s="1"/>
  <c r="H1626" i="15"/>
  <c r="E1626" i="15"/>
  <c r="J1626" i="15" s="1"/>
  <c r="H1625" i="15"/>
  <c r="H1624" i="15"/>
  <c r="E1624" i="15"/>
  <c r="J1623" i="15"/>
  <c r="I1623" i="15"/>
  <c r="H1623" i="15"/>
  <c r="J1622" i="15"/>
  <c r="I1622" i="15"/>
  <c r="H1622" i="15"/>
  <c r="H1621" i="15"/>
  <c r="H1620" i="15"/>
  <c r="E1620" i="15"/>
  <c r="E1621" i="15" s="1"/>
  <c r="I1621" i="15" s="1"/>
  <c r="H1619" i="15"/>
  <c r="E1619" i="15"/>
  <c r="J1619" i="15" s="1"/>
  <c r="H1618" i="15"/>
  <c r="H1617" i="15"/>
  <c r="E1617" i="15"/>
  <c r="I1617" i="15" s="1"/>
  <c r="H1616" i="15"/>
  <c r="H1615" i="15"/>
  <c r="E1615" i="15"/>
  <c r="J1615" i="15" s="1"/>
  <c r="E1614" i="15"/>
  <c r="I1614" i="15" s="1"/>
  <c r="H1613" i="15"/>
  <c r="E1613" i="15"/>
  <c r="J1613" i="15" s="1"/>
  <c r="H1612" i="15"/>
  <c r="I1611" i="15"/>
  <c r="H1611" i="15"/>
  <c r="E1611" i="15"/>
  <c r="E1612" i="15" s="1"/>
  <c r="I1612" i="15" s="1"/>
  <c r="J1610" i="15"/>
  <c r="I1610" i="15"/>
  <c r="H1610" i="15"/>
  <c r="J1609" i="15"/>
  <c r="I1609" i="15"/>
  <c r="K1609" i="15" s="1"/>
  <c r="H1609" i="15"/>
  <c r="H1608" i="15"/>
  <c r="H1607" i="15"/>
  <c r="E1607" i="15"/>
  <c r="J1607" i="15" s="1"/>
  <c r="H1606" i="15"/>
  <c r="E1606" i="15"/>
  <c r="J1606" i="15" s="1"/>
  <c r="H1605" i="15"/>
  <c r="H1604" i="15"/>
  <c r="E1604" i="15"/>
  <c r="H1603" i="15"/>
  <c r="H1602" i="15"/>
  <c r="E1602" i="15"/>
  <c r="E1601" i="15"/>
  <c r="H1600" i="15"/>
  <c r="E1600" i="15"/>
  <c r="H1599" i="15"/>
  <c r="H1598" i="15"/>
  <c r="E1598" i="15"/>
  <c r="J1598" i="15" s="1"/>
  <c r="J1597" i="15"/>
  <c r="I1597" i="15"/>
  <c r="K1597" i="15" s="1"/>
  <c r="H1597" i="15"/>
  <c r="H1596" i="15"/>
  <c r="E1596" i="15"/>
  <c r="J1596" i="15" s="1"/>
  <c r="J1595" i="15"/>
  <c r="I1595" i="15"/>
  <c r="H1595" i="15"/>
  <c r="H1594" i="15"/>
  <c r="E1594" i="15"/>
  <c r="J1594" i="15" s="1"/>
  <c r="J1593" i="15"/>
  <c r="I1593" i="15"/>
  <c r="H1593" i="15"/>
  <c r="J1592" i="15"/>
  <c r="I1592" i="15"/>
  <c r="H1592" i="15"/>
  <c r="J1591" i="15"/>
  <c r="I1591" i="15"/>
  <c r="K1591" i="15" s="1"/>
  <c r="H1591" i="15"/>
  <c r="H1590" i="15"/>
  <c r="H1589" i="15"/>
  <c r="E1589" i="15"/>
  <c r="J1588" i="15"/>
  <c r="I1588" i="15"/>
  <c r="K1588" i="15" s="1"/>
  <c r="H1588" i="15"/>
  <c r="J1587" i="15"/>
  <c r="I1587" i="15"/>
  <c r="H1587" i="15"/>
  <c r="J1586" i="15"/>
  <c r="I1586" i="15"/>
  <c r="H1586" i="15"/>
  <c r="J1585" i="15"/>
  <c r="F1585" i="15"/>
  <c r="I1585" i="15" s="1"/>
  <c r="J1584" i="15"/>
  <c r="I1584" i="15"/>
  <c r="H1584" i="15"/>
  <c r="J1583" i="15"/>
  <c r="F1583" i="15"/>
  <c r="J1582" i="15"/>
  <c r="F1582" i="15"/>
  <c r="I1582" i="15" s="1"/>
  <c r="K1582" i="15" s="1"/>
  <c r="J1581" i="15"/>
  <c r="F1581" i="15"/>
  <c r="H1581" i="15" s="1"/>
  <c r="J1580" i="15"/>
  <c r="F1580" i="15"/>
  <c r="I1580" i="15" s="1"/>
  <c r="K1580" i="15" s="1"/>
  <c r="J1579" i="15"/>
  <c r="I1579" i="15"/>
  <c r="H1579" i="15"/>
  <c r="H1578" i="15"/>
  <c r="E1578" i="15"/>
  <c r="J1578" i="15" s="1"/>
  <c r="J1577" i="15"/>
  <c r="I1577" i="15"/>
  <c r="H1577" i="15"/>
  <c r="H1576" i="15"/>
  <c r="E1576" i="15"/>
  <c r="J1575" i="15"/>
  <c r="H1575" i="15"/>
  <c r="F1575" i="15"/>
  <c r="I1575" i="15" s="1"/>
  <c r="J1574" i="15"/>
  <c r="I1574" i="15"/>
  <c r="H1574" i="15"/>
  <c r="H1573" i="15"/>
  <c r="E1573" i="15"/>
  <c r="J1573" i="15" s="1"/>
  <c r="H1572" i="15"/>
  <c r="E1572" i="15"/>
  <c r="J1572" i="15" s="1"/>
  <c r="H1571" i="15"/>
  <c r="H1570" i="15"/>
  <c r="E1570" i="15"/>
  <c r="H1569" i="15"/>
  <c r="E1569" i="15"/>
  <c r="J1569" i="15" s="1"/>
  <c r="H1568" i="15"/>
  <c r="H1567" i="15"/>
  <c r="E1567" i="15"/>
  <c r="J1567" i="15" s="1"/>
  <c r="J1566" i="15"/>
  <c r="I1566" i="15"/>
  <c r="H1566" i="15"/>
  <c r="J1565" i="15"/>
  <c r="I1565" i="15"/>
  <c r="H1565" i="15"/>
  <c r="H1564" i="15"/>
  <c r="H1563" i="15"/>
  <c r="E1563" i="15"/>
  <c r="H1562" i="15"/>
  <c r="E1562" i="15"/>
  <c r="J1562" i="15" s="1"/>
  <c r="H1561" i="15"/>
  <c r="H1560" i="15"/>
  <c r="E1560" i="15"/>
  <c r="J1560" i="15" s="1"/>
  <c r="H1559" i="15"/>
  <c r="H1558" i="15"/>
  <c r="E1558" i="15"/>
  <c r="E1559" i="15" s="1"/>
  <c r="E1557" i="15"/>
  <c r="H1556" i="15"/>
  <c r="E1556" i="15"/>
  <c r="J1556" i="15" s="1"/>
  <c r="H1555" i="15"/>
  <c r="E1555" i="15"/>
  <c r="J1555" i="15" s="1"/>
  <c r="I1554" i="15"/>
  <c r="H1554" i="15"/>
  <c r="E1554" i="15"/>
  <c r="J1554" i="15" s="1"/>
  <c r="J1553" i="15"/>
  <c r="I1553" i="15"/>
  <c r="H1553" i="15"/>
  <c r="J1552" i="15"/>
  <c r="I1552" i="15"/>
  <c r="H1552" i="15"/>
  <c r="H1551" i="15"/>
  <c r="H1550" i="15"/>
  <c r="E1550" i="15"/>
  <c r="E1551" i="15" s="1"/>
  <c r="I1551" i="15" s="1"/>
  <c r="H1549" i="15"/>
  <c r="E1549" i="15"/>
  <c r="J1549" i="15" s="1"/>
  <c r="H1548" i="15"/>
  <c r="H1547" i="15"/>
  <c r="E1547" i="15"/>
  <c r="E1548" i="15" s="1"/>
  <c r="J1548" i="15" s="1"/>
  <c r="H1546" i="15"/>
  <c r="H1545" i="15"/>
  <c r="E1545" i="15"/>
  <c r="J1545" i="15" s="1"/>
  <c r="J1544" i="15"/>
  <c r="I1544" i="15"/>
  <c r="E1544" i="15"/>
  <c r="H1543" i="15"/>
  <c r="E1543" i="15"/>
  <c r="J1543" i="15" s="1"/>
  <c r="H1542" i="15"/>
  <c r="H1541" i="15"/>
  <c r="E1541" i="15"/>
  <c r="J1540" i="15"/>
  <c r="I1540" i="15"/>
  <c r="K1540" i="15" s="1"/>
  <c r="H1540" i="15"/>
  <c r="H1539" i="15"/>
  <c r="E1539" i="15"/>
  <c r="J1539" i="15" s="1"/>
  <c r="H1538" i="15"/>
  <c r="E1538" i="15"/>
  <c r="J1538" i="15" s="1"/>
  <c r="J1537" i="15"/>
  <c r="I1537" i="15"/>
  <c r="H1537" i="15"/>
  <c r="J1536" i="15"/>
  <c r="I1536" i="15"/>
  <c r="H1536" i="15"/>
  <c r="J1535" i="15"/>
  <c r="I1535" i="15"/>
  <c r="H1535" i="15"/>
  <c r="J1534" i="15"/>
  <c r="I1534" i="15"/>
  <c r="H1534" i="15"/>
  <c r="H1533" i="15"/>
  <c r="E1533" i="15"/>
  <c r="J1533" i="15" s="1"/>
  <c r="J1532" i="15"/>
  <c r="I1532" i="15"/>
  <c r="H1532" i="15"/>
  <c r="J1531" i="15"/>
  <c r="I1531" i="15"/>
  <c r="H1531" i="15"/>
  <c r="J1530" i="15"/>
  <c r="I1530" i="15"/>
  <c r="H1530" i="15"/>
  <c r="H1529" i="15"/>
  <c r="H1528" i="15"/>
  <c r="E1528" i="15"/>
  <c r="I1528" i="15" s="1"/>
  <c r="J1527" i="15"/>
  <c r="K1527" i="15" s="1"/>
  <c r="I1527" i="15"/>
  <c r="H1527" i="15"/>
  <c r="J1526" i="15"/>
  <c r="I1526" i="15"/>
  <c r="H1526" i="15"/>
  <c r="J1525" i="15"/>
  <c r="I1525" i="15"/>
  <c r="K1525" i="15" s="1"/>
  <c r="H1525" i="15"/>
  <c r="J1524" i="15"/>
  <c r="I1524" i="15"/>
  <c r="K1524" i="15" s="1"/>
  <c r="H1524" i="15"/>
  <c r="J1523" i="15"/>
  <c r="F1523" i="15"/>
  <c r="I1523" i="15" s="1"/>
  <c r="J1522" i="15"/>
  <c r="I1522" i="15"/>
  <c r="K1522" i="15" s="1"/>
  <c r="H1522" i="15"/>
  <c r="J1521" i="15"/>
  <c r="F1521" i="15"/>
  <c r="H1521" i="15" s="1"/>
  <c r="J1520" i="15"/>
  <c r="H1520" i="15"/>
  <c r="F1520" i="15"/>
  <c r="I1520" i="15" s="1"/>
  <c r="J1519" i="15"/>
  <c r="I1519" i="15"/>
  <c r="H1519" i="15"/>
  <c r="H1518" i="15"/>
  <c r="E1518" i="15"/>
  <c r="I1518" i="15" s="1"/>
  <c r="J1517" i="15"/>
  <c r="I1517" i="15"/>
  <c r="H1517" i="15"/>
  <c r="H1516" i="15"/>
  <c r="E1516" i="15"/>
  <c r="J1516" i="15" s="1"/>
  <c r="J1515" i="15"/>
  <c r="F1515" i="15"/>
  <c r="I1515" i="15" s="1"/>
  <c r="J1514" i="15"/>
  <c r="I1514" i="15"/>
  <c r="H1514" i="15"/>
  <c r="H1513" i="15"/>
  <c r="H1512" i="15"/>
  <c r="E1512" i="15"/>
  <c r="E1513" i="15" s="1"/>
  <c r="H1511" i="15"/>
  <c r="J1510" i="15"/>
  <c r="I1510" i="15"/>
  <c r="H1510" i="15"/>
  <c r="E1510" i="15"/>
  <c r="E1511" i="15" s="1"/>
  <c r="I1511" i="15" s="1"/>
  <c r="H1509" i="15"/>
  <c r="E1509" i="15"/>
  <c r="J1509" i="15" s="1"/>
  <c r="H1508" i="15"/>
  <c r="H1507" i="15"/>
  <c r="E1507" i="15"/>
  <c r="I1507" i="15" s="1"/>
  <c r="J1506" i="15"/>
  <c r="I1506" i="15"/>
  <c r="K1506" i="15" s="1"/>
  <c r="H1506" i="15"/>
  <c r="J1505" i="15"/>
  <c r="I1505" i="15"/>
  <c r="H1505" i="15"/>
  <c r="H1504" i="15"/>
  <c r="H1503" i="15"/>
  <c r="E1503" i="15"/>
  <c r="E1504" i="15" s="1"/>
  <c r="I1504" i="15" s="1"/>
  <c r="H1502" i="15"/>
  <c r="E1502" i="15"/>
  <c r="J1502" i="15" s="1"/>
  <c r="H1501" i="15"/>
  <c r="H1500" i="15"/>
  <c r="E1500" i="15"/>
  <c r="H1499" i="15"/>
  <c r="H1498" i="15"/>
  <c r="E1498" i="15"/>
  <c r="I1497" i="15"/>
  <c r="H1497" i="15"/>
  <c r="E1497" i="15"/>
  <c r="J1497" i="15" s="1"/>
  <c r="H1496" i="15"/>
  <c r="E1496" i="15"/>
  <c r="J1496" i="15" s="1"/>
  <c r="H1495" i="15"/>
  <c r="H1494" i="15"/>
  <c r="E1494" i="15"/>
  <c r="E1495" i="15" s="1"/>
  <c r="I1495" i="15" s="1"/>
  <c r="J1493" i="15"/>
  <c r="I1493" i="15"/>
  <c r="H1493" i="15"/>
  <c r="J1492" i="15"/>
  <c r="I1492" i="15"/>
  <c r="H1492" i="15"/>
  <c r="H1491" i="15"/>
  <c r="H1490" i="15"/>
  <c r="E1490" i="15"/>
  <c r="J1490" i="15" s="1"/>
  <c r="H1489" i="15"/>
  <c r="E1489" i="15"/>
  <c r="H1488" i="15"/>
  <c r="H1487" i="15"/>
  <c r="E1487" i="15"/>
  <c r="E1488" i="15" s="1"/>
  <c r="I1488" i="15" s="1"/>
  <c r="H1486" i="15"/>
  <c r="H1485" i="15"/>
  <c r="E1485" i="15"/>
  <c r="H1484" i="15"/>
  <c r="E1484" i="15"/>
  <c r="H1483" i="15"/>
  <c r="E1483" i="15"/>
  <c r="H1482" i="15"/>
  <c r="I1481" i="15"/>
  <c r="H1481" i="15"/>
  <c r="E1481" i="15"/>
  <c r="J1480" i="15"/>
  <c r="K1480" i="15" s="1"/>
  <c r="I1480" i="15"/>
  <c r="H1480" i="15"/>
  <c r="H1479" i="15"/>
  <c r="E1479" i="15"/>
  <c r="J1478" i="15"/>
  <c r="K1478" i="15" s="1"/>
  <c r="I1478" i="15"/>
  <c r="H1478" i="15"/>
  <c r="H1477" i="15"/>
  <c r="E1477" i="15"/>
  <c r="J1477" i="15" s="1"/>
  <c r="J1476" i="15"/>
  <c r="I1476" i="15"/>
  <c r="H1476" i="15"/>
  <c r="J1475" i="15"/>
  <c r="I1475" i="15"/>
  <c r="H1475" i="15"/>
  <c r="J1474" i="15"/>
  <c r="I1474" i="15"/>
  <c r="H1474" i="15"/>
  <c r="H1473" i="15"/>
  <c r="H1472" i="15"/>
  <c r="E1472" i="15"/>
  <c r="J1471" i="15"/>
  <c r="I1471" i="15"/>
  <c r="H1471" i="15"/>
  <c r="J1470" i="15"/>
  <c r="I1470" i="15"/>
  <c r="H1470" i="15"/>
  <c r="J1469" i="15"/>
  <c r="I1469" i="15"/>
  <c r="H1469" i="15"/>
  <c r="J1468" i="15"/>
  <c r="F1468" i="15"/>
  <c r="J1467" i="15"/>
  <c r="I1467" i="15"/>
  <c r="H1467" i="15"/>
  <c r="J1466" i="15"/>
  <c r="F1466" i="15"/>
  <c r="J1465" i="15"/>
  <c r="F1465" i="15"/>
  <c r="I1465" i="15" s="1"/>
  <c r="J1464" i="15"/>
  <c r="F1464" i="15"/>
  <c r="I1464" i="15" s="1"/>
  <c r="J1463" i="15"/>
  <c r="I1463" i="15"/>
  <c r="H1463" i="15"/>
  <c r="H1462" i="15"/>
  <c r="E1462" i="15"/>
  <c r="I1462" i="15" s="1"/>
  <c r="J1461" i="15"/>
  <c r="I1461" i="15"/>
  <c r="H1461" i="15"/>
  <c r="H1460" i="15"/>
  <c r="E1460" i="15"/>
  <c r="J1460" i="15" s="1"/>
  <c r="J1459" i="15"/>
  <c r="F1459" i="15"/>
  <c r="J1458" i="15"/>
  <c r="I1458" i="15"/>
  <c r="H1458" i="15"/>
  <c r="H1457" i="15"/>
  <c r="H1456" i="15"/>
  <c r="E1456" i="15"/>
  <c r="E1457" i="15" s="1"/>
  <c r="I1457" i="15" s="1"/>
  <c r="H1455" i="15"/>
  <c r="H1454" i="15"/>
  <c r="E1454" i="15"/>
  <c r="J1454" i="15" s="1"/>
  <c r="H1453" i="15"/>
  <c r="E1453" i="15"/>
  <c r="J1453" i="15" s="1"/>
  <c r="H1452" i="15"/>
  <c r="H1451" i="15"/>
  <c r="E1451" i="15"/>
  <c r="J1450" i="15"/>
  <c r="I1450" i="15"/>
  <c r="H1450" i="15"/>
  <c r="J1449" i="15"/>
  <c r="I1449" i="15"/>
  <c r="H1449" i="15"/>
  <c r="H1448" i="15"/>
  <c r="H1447" i="15"/>
  <c r="E1447" i="15"/>
  <c r="H1446" i="15"/>
  <c r="E1446" i="15"/>
  <c r="H1445" i="15"/>
  <c r="H1444" i="15"/>
  <c r="E1444" i="15"/>
  <c r="H1443" i="15"/>
  <c r="H1442" i="15"/>
  <c r="E1442" i="15"/>
  <c r="E1443" i="15" s="1"/>
  <c r="E1441" i="15"/>
  <c r="H1440" i="15"/>
  <c r="E1440" i="15"/>
  <c r="J1440" i="15" s="1"/>
  <c r="H1439" i="15"/>
  <c r="H1438" i="15"/>
  <c r="E1438" i="15"/>
  <c r="J1438" i="15" s="1"/>
  <c r="J1437" i="15"/>
  <c r="I1437" i="15"/>
  <c r="H1437" i="15"/>
  <c r="H1436" i="15"/>
  <c r="E1436" i="15"/>
  <c r="J1435" i="15"/>
  <c r="I1435" i="15"/>
  <c r="H1435" i="15"/>
  <c r="E1435" i="15"/>
  <c r="J1434" i="15"/>
  <c r="I1434" i="15"/>
  <c r="H1434" i="15"/>
  <c r="J1433" i="15"/>
  <c r="I1433" i="15"/>
  <c r="H1433" i="15"/>
  <c r="J1432" i="15"/>
  <c r="I1432" i="15"/>
  <c r="H1432" i="15"/>
  <c r="J1431" i="15"/>
  <c r="I1431" i="15"/>
  <c r="H1431" i="15"/>
  <c r="H1430" i="15"/>
  <c r="E1430" i="15"/>
  <c r="J1429" i="15"/>
  <c r="I1429" i="15"/>
  <c r="H1429" i="15"/>
  <c r="J1428" i="15"/>
  <c r="I1428" i="15"/>
  <c r="H1428" i="15"/>
  <c r="J1427" i="15"/>
  <c r="I1427" i="15"/>
  <c r="H1427" i="15"/>
  <c r="H1426" i="15"/>
  <c r="E1426" i="15"/>
  <c r="J1426" i="15" s="1"/>
  <c r="H1425" i="15"/>
  <c r="E1425" i="15"/>
  <c r="J1425" i="15" s="1"/>
  <c r="J1424" i="15"/>
  <c r="I1424" i="15"/>
  <c r="H1424" i="15"/>
  <c r="J1423" i="15"/>
  <c r="I1423" i="15"/>
  <c r="H1423" i="15"/>
  <c r="J1422" i="15"/>
  <c r="F1422" i="15"/>
  <c r="J1421" i="15"/>
  <c r="I1421" i="15"/>
  <c r="H1421" i="15"/>
  <c r="J1420" i="15"/>
  <c r="I1420" i="15"/>
  <c r="H1420" i="15"/>
  <c r="J1419" i="15"/>
  <c r="F1419" i="15"/>
  <c r="H1419" i="15" s="1"/>
  <c r="J1418" i="15"/>
  <c r="F1418" i="15"/>
  <c r="I1418" i="15" s="1"/>
  <c r="K1418" i="15" s="1"/>
  <c r="J1417" i="15"/>
  <c r="I1417" i="15"/>
  <c r="F1417" i="15"/>
  <c r="H1417" i="15" s="1"/>
  <c r="J1416" i="15"/>
  <c r="I1416" i="15"/>
  <c r="H1416" i="15"/>
  <c r="H1415" i="15"/>
  <c r="E1415" i="15"/>
  <c r="I1415" i="15" s="1"/>
  <c r="J1414" i="15"/>
  <c r="I1414" i="15"/>
  <c r="H1414" i="15"/>
  <c r="H1413" i="15"/>
  <c r="E1413" i="15"/>
  <c r="J1413" i="15" s="1"/>
  <c r="J1412" i="15"/>
  <c r="F1412" i="15"/>
  <c r="H1412" i="15" s="1"/>
  <c r="J1411" i="15"/>
  <c r="I1411" i="15"/>
  <c r="K1411" i="15" s="1"/>
  <c r="H1411" i="15"/>
  <c r="H1410" i="15"/>
  <c r="H1409" i="15"/>
  <c r="E1409" i="15"/>
  <c r="H1408" i="15"/>
  <c r="H1407" i="15"/>
  <c r="E1407" i="15"/>
  <c r="J1406" i="15"/>
  <c r="I1406" i="15"/>
  <c r="H1406" i="15"/>
  <c r="E1406" i="15"/>
  <c r="H1405" i="15"/>
  <c r="H1404" i="15"/>
  <c r="E1404" i="15"/>
  <c r="I1404" i="15" s="1"/>
  <c r="J1403" i="15"/>
  <c r="I1403" i="15"/>
  <c r="K1403" i="15" s="1"/>
  <c r="H1403" i="15"/>
  <c r="J1402" i="15"/>
  <c r="I1402" i="15"/>
  <c r="H1402" i="15"/>
  <c r="H1401" i="15"/>
  <c r="H1400" i="15"/>
  <c r="E1400" i="15"/>
  <c r="H1399" i="15"/>
  <c r="E1399" i="15"/>
  <c r="H1398" i="15"/>
  <c r="H1397" i="15"/>
  <c r="E1397" i="15"/>
  <c r="H1396" i="15"/>
  <c r="H1395" i="15"/>
  <c r="E1395" i="15"/>
  <c r="E1394" i="15"/>
  <c r="J1394" i="15" s="1"/>
  <c r="H1393" i="15"/>
  <c r="E1393" i="15"/>
  <c r="H1392" i="15"/>
  <c r="H1391" i="15"/>
  <c r="E1391" i="15"/>
  <c r="J1390" i="15"/>
  <c r="I1390" i="15"/>
  <c r="K1390" i="15" s="1"/>
  <c r="H1390" i="15"/>
  <c r="H1389" i="15"/>
  <c r="E1389" i="15"/>
  <c r="J1389" i="15" s="1"/>
  <c r="I1388" i="15"/>
  <c r="K1388" i="15" s="1"/>
  <c r="H1388" i="15"/>
  <c r="E1388" i="15"/>
  <c r="J1388" i="15" s="1"/>
  <c r="J1387" i="15"/>
  <c r="I1387" i="15"/>
  <c r="K1387" i="15" s="1"/>
  <c r="H1387" i="15"/>
  <c r="J1386" i="15"/>
  <c r="I1386" i="15"/>
  <c r="H1386" i="15"/>
  <c r="J1385" i="15"/>
  <c r="I1385" i="15"/>
  <c r="H1385" i="15"/>
  <c r="J1384" i="15"/>
  <c r="I1384" i="15"/>
  <c r="H1384" i="15"/>
  <c r="H1383" i="15"/>
  <c r="E1383" i="15"/>
  <c r="J1382" i="15"/>
  <c r="I1382" i="15"/>
  <c r="H1382" i="15"/>
  <c r="J1381" i="15"/>
  <c r="I1381" i="15"/>
  <c r="H1381" i="15"/>
  <c r="J1380" i="15"/>
  <c r="I1380" i="15"/>
  <c r="H1380" i="15"/>
  <c r="H1379" i="15"/>
  <c r="E1379" i="15"/>
  <c r="I1379" i="15" s="1"/>
  <c r="H1378" i="15"/>
  <c r="E1378" i="15"/>
  <c r="J1378" i="15" s="1"/>
  <c r="J1377" i="15"/>
  <c r="I1377" i="15"/>
  <c r="H1377" i="15"/>
  <c r="J1376" i="15"/>
  <c r="I1376" i="15"/>
  <c r="H1376" i="15"/>
  <c r="J1375" i="15"/>
  <c r="I1375" i="15"/>
  <c r="H1375" i="15"/>
  <c r="J1374" i="15"/>
  <c r="F1374" i="15"/>
  <c r="H1374" i="15" s="1"/>
  <c r="J1373" i="15"/>
  <c r="I1373" i="15"/>
  <c r="H1373" i="15"/>
  <c r="J1372" i="15"/>
  <c r="F1372" i="15"/>
  <c r="H1372" i="15" s="1"/>
  <c r="J1371" i="15"/>
  <c r="F1371" i="15"/>
  <c r="I1371" i="15" s="1"/>
  <c r="J1370" i="15"/>
  <c r="F1370" i="15"/>
  <c r="I1370" i="15" s="1"/>
  <c r="K1370" i="15" s="1"/>
  <c r="J1369" i="15"/>
  <c r="F1369" i="15"/>
  <c r="I1369" i="15" s="1"/>
  <c r="K1369" i="15" s="1"/>
  <c r="J1368" i="15"/>
  <c r="I1368" i="15"/>
  <c r="H1368" i="15"/>
  <c r="H1367" i="15"/>
  <c r="E1367" i="15"/>
  <c r="J1367" i="15" s="1"/>
  <c r="J1366" i="15"/>
  <c r="I1366" i="15"/>
  <c r="K1366" i="15" s="1"/>
  <c r="H1366" i="15"/>
  <c r="H1365" i="15"/>
  <c r="E1365" i="15"/>
  <c r="J1364" i="15"/>
  <c r="F1364" i="15"/>
  <c r="I1364" i="15" s="1"/>
  <c r="J1363" i="15"/>
  <c r="I1363" i="15"/>
  <c r="H1363" i="15"/>
  <c r="H1362" i="15"/>
  <c r="I1361" i="15"/>
  <c r="K1361" i="15" s="1"/>
  <c r="H1361" i="15"/>
  <c r="E1361" i="15"/>
  <c r="J1361" i="15" s="1"/>
  <c r="H1360" i="15"/>
  <c r="H1359" i="15"/>
  <c r="E1359" i="15"/>
  <c r="J1359" i="15" s="1"/>
  <c r="H1358" i="15"/>
  <c r="E1358" i="15"/>
  <c r="H1357" i="15"/>
  <c r="H1356" i="15"/>
  <c r="E1356" i="15"/>
  <c r="J1356" i="15" s="1"/>
  <c r="J1355" i="15"/>
  <c r="I1355" i="15"/>
  <c r="K1355" i="15" s="1"/>
  <c r="H1355" i="15"/>
  <c r="J1354" i="15"/>
  <c r="I1354" i="15"/>
  <c r="H1354" i="15"/>
  <c r="H1353" i="15"/>
  <c r="H1352" i="15"/>
  <c r="E1352" i="15"/>
  <c r="H1351" i="15"/>
  <c r="E1351" i="15"/>
  <c r="H1350" i="15"/>
  <c r="H1349" i="15"/>
  <c r="E1349" i="15"/>
  <c r="H1348" i="15"/>
  <c r="H1347" i="15"/>
  <c r="E1347" i="15"/>
  <c r="E1346" i="15"/>
  <c r="J1346" i="15" s="1"/>
  <c r="H1345" i="15"/>
  <c r="E1345" i="15"/>
  <c r="J1345" i="15" s="1"/>
  <c r="H1344" i="15"/>
  <c r="I1343" i="15"/>
  <c r="H1343" i="15"/>
  <c r="E1343" i="15"/>
  <c r="J1342" i="15"/>
  <c r="I1342" i="15"/>
  <c r="H1342" i="15"/>
  <c r="H1341" i="15"/>
  <c r="E1341" i="15"/>
  <c r="J1341" i="15" s="1"/>
  <c r="J1340" i="15"/>
  <c r="I1340" i="15"/>
  <c r="H1340" i="15"/>
  <c r="H1339" i="15"/>
  <c r="E1339" i="15"/>
  <c r="J1339" i="15" s="1"/>
  <c r="J1338" i="15"/>
  <c r="I1338" i="15"/>
  <c r="H1338" i="15"/>
  <c r="J1337" i="15"/>
  <c r="K1337" i="15" s="1"/>
  <c r="I1337" i="15"/>
  <c r="H1337" i="15"/>
  <c r="J1336" i="15"/>
  <c r="I1336" i="15"/>
  <c r="H1336" i="15"/>
  <c r="H1335" i="15"/>
  <c r="E1335" i="15"/>
  <c r="J1335" i="15" s="1"/>
  <c r="H1334" i="15"/>
  <c r="E1334" i="15"/>
  <c r="I1334" i="15" s="1"/>
  <c r="J1333" i="15"/>
  <c r="I1333" i="15"/>
  <c r="H1333" i="15"/>
  <c r="J1332" i="15"/>
  <c r="I1332" i="15"/>
  <c r="H1332" i="15"/>
  <c r="J1331" i="15"/>
  <c r="I1331" i="15"/>
  <c r="H1331" i="15"/>
  <c r="J1330" i="15"/>
  <c r="F1330" i="15"/>
  <c r="H1330" i="15" s="1"/>
  <c r="J1329" i="15"/>
  <c r="I1329" i="15"/>
  <c r="H1329" i="15"/>
  <c r="J1328" i="15"/>
  <c r="F1328" i="15"/>
  <c r="I1328" i="15" s="1"/>
  <c r="J1327" i="15"/>
  <c r="F1327" i="15"/>
  <c r="J1326" i="15"/>
  <c r="I1326" i="15"/>
  <c r="H1326" i="15"/>
  <c r="F1326" i="15"/>
  <c r="J1325" i="15"/>
  <c r="F1325" i="15"/>
  <c r="I1325" i="15" s="1"/>
  <c r="K1325" i="15" s="1"/>
  <c r="H1324" i="15"/>
  <c r="E1324" i="15"/>
  <c r="J1324" i="15" s="1"/>
  <c r="H1323" i="15"/>
  <c r="E1323" i="15"/>
  <c r="J1323" i="15" s="1"/>
  <c r="J1322" i="15"/>
  <c r="I1322" i="15"/>
  <c r="K1322" i="15" s="1"/>
  <c r="H1322" i="15"/>
  <c r="H1321" i="15"/>
  <c r="E1321" i="15"/>
  <c r="J1321" i="15" s="1"/>
  <c r="J1320" i="15"/>
  <c r="F1320" i="15"/>
  <c r="H1320" i="15" s="1"/>
  <c r="J1319" i="15"/>
  <c r="I1319" i="15"/>
  <c r="K1319" i="15" s="1"/>
  <c r="H1319" i="15"/>
  <c r="H1318" i="15"/>
  <c r="H1317" i="15"/>
  <c r="E1317" i="15"/>
  <c r="J1317" i="15" s="1"/>
  <c r="H1316" i="15"/>
  <c r="H1315" i="15"/>
  <c r="H1314" i="15"/>
  <c r="E1314" i="15"/>
  <c r="E1315" i="15" s="1"/>
  <c r="H1313" i="15"/>
  <c r="E1313" i="15"/>
  <c r="J1313" i="15" s="1"/>
  <c r="I1312" i="15"/>
  <c r="H1312" i="15"/>
  <c r="E1312" i="15"/>
  <c r="J1312" i="15" s="1"/>
  <c r="J1311" i="15"/>
  <c r="I1311" i="15"/>
  <c r="K1311" i="15" s="1"/>
  <c r="H1311" i="15"/>
  <c r="H1310" i="15"/>
  <c r="H1309" i="15"/>
  <c r="E1309" i="15"/>
  <c r="I1308" i="15"/>
  <c r="K1308" i="15" s="1"/>
  <c r="H1308" i="15"/>
  <c r="E1308" i="15"/>
  <c r="J1308" i="15" s="1"/>
  <c r="H1307" i="15"/>
  <c r="H1306" i="15"/>
  <c r="E1306" i="15"/>
  <c r="J1306" i="15" s="1"/>
  <c r="H1305" i="15"/>
  <c r="I1304" i="15"/>
  <c r="H1304" i="15"/>
  <c r="E1304" i="15"/>
  <c r="E1305" i="15" s="1"/>
  <c r="E1303" i="15"/>
  <c r="H1302" i="15"/>
  <c r="E1302" i="15"/>
  <c r="J1302" i="15" s="1"/>
  <c r="J1301" i="15"/>
  <c r="K1301" i="15" s="1"/>
  <c r="I1301" i="15"/>
  <c r="H1301" i="15"/>
  <c r="H1300" i="15"/>
  <c r="E1300" i="15"/>
  <c r="H1299" i="15"/>
  <c r="E1299" i="15"/>
  <c r="J1299" i="15" s="1"/>
  <c r="J1298" i="15"/>
  <c r="I1298" i="15"/>
  <c r="H1298" i="15"/>
  <c r="J1297" i="15"/>
  <c r="I1297" i="15"/>
  <c r="H1297" i="15"/>
  <c r="J1296" i="15"/>
  <c r="I1296" i="15"/>
  <c r="H1296" i="15"/>
  <c r="J1295" i="15"/>
  <c r="I1295" i="15"/>
  <c r="H1295" i="15"/>
  <c r="J1294" i="15"/>
  <c r="I1294" i="15"/>
  <c r="H1294" i="15"/>
  <c r="J1293" i="15"/>
  <c r="I1293" i="15"/>
  <c r="H1293" i="15"/>
  <c r="J1292" i="15"/>
  <c r="I1292" i="15"/>
  <c r="H1292" i="15"/>
  <c r="J1291" i="15"/>
  <c r="I1291" i="15"/>
  <c r="H1291" i="15"/>
  <c r="H1290" i="15"/>
  <c r="H1289" i="15"/>
  <c r="E1289" i="15"/>
  <c r="J1288" i="15"/>
  <c r="K1288" i="15" s="1"/>
  <c r="I1288" i="15"/>
  <c r="H1288" i="15"/>
  <c r="J1287" i="15"/>
  <c r="I1287" i="15"/>
  <c r="K1287" i="15" s="1"/>
  <c r="H1287" i="15"/>
  <c r="J1286" i="15"/>
  <c r="I1286" i="15"/>
  <c r="H1286" i="15"/>
  <c r="J1285" i="15"/>
  <c r="F1285" i="15"/>
  <c r="H1285" i="15" s="1"/>
  <c r="J1284" i="15"/>
  <c r="I1284" i="15"/>
  <c r="H1284" i="15"/>
  <c r="J1283" i="15"/>
  <c r="F1283" i="15"/>
  <c r="I1283" i="15" s="1"/>
  <c r="J1282" i="15"/>
  <c r="F1282" i="15"/>
  <c r="I1282" i="15" s="1"/>
  <c r="J1281" i="15"/>
  <c r="I1281" i="15"/>
  <c r="H1281" i="15"/>
  <c r="F1281" i="15"/>
  <c r="J1280" i="15"/>
  <c r="I1280" i="15"/>
  <c r="H1280" i="15"/>
  <c r="J1279" i="15"/>
  <c r="I1279" i="15"/>
  <c r="H1279" i="15"/>
  <c r="J1278" i="15"/>
  <c r="I1278" i="15"/>
  <c r="H1278" i="15"/>
  <c r="J1277" i="15"/>
  <c r="I1277" i="15"/>
  <c r="H1277" i="15"/>
  <c r="J1276" i="15"/>
  <c r="I1276" i="15"/>
  <c r="H1276" i="15"/>
  <c r="F1276" i="15"/>
  <c r="J1275" i="15"/>
  <c r="I1275" i="15"/>
  <c r="H1275" i="15"/>
  <c r="J1274" i="15"/>
  <c r="I1274" i="15"/>
  <c r="H1274" i="15"/>
  <c r="J1273" i="15"/>
  <c r="I1273" i="15"/>
  <c r="H1273" i="15"/>
  <c r="J1272" i="15"/>
  <c r="I1272" i="15"/>
  <c r="H1272" i="15"/>
  <c r="J1271" i="15"/>
  <c r="I1271" i="15"/>
  <c r="H1271" i="15"/>
  <c r="J1270" i="15"/>
  <c r="I1270" i="15"/>
  <c r="H1270" i="15"/>
  <c r="H1269" i="15"/>
  <c r="H1268" i="15"/>
  <c r="E1268" i="15"/>
  <c r="J1267" i="15"/>
  <c r="I1267" i="15"/>
  <c r="H1267" i="15"/>
  <c r="J1266" i="15"/>
  <c r="I1266" i="15"/>
  <c r="H1266" i="15"/>
  <c r="H1265" i="15"/>
  <c r="J1264" i="15"/>
  <c r="I1264" i="15"/>
  <c r="H1264" i="15"/>
  <c r="E1264" i="15"/>
  <c r="E1265" i="15" s="1"/>
  <c r="H1263" i="15"/>
  <c r="E1263" i="15"/>
  <c r="I1263" i="15" s="1"/>
  <c r="H1262" i="15"/>
  <c r="H1261" i="15"/>
  <c r="E1261" i="15"/>
  <c r="H1260" i="15"/>
  <c r="H1259" i="15"/>
  <c r="E1259" i="15"/>
  <c r="E1258" i="15"/>
  <c r="H1257" i="15"/>
  <c r="E1257" i="15"/>
  <c r="J1257" i="15" s="1"/>
  <c r="H1256" i="15"/>
  <c r="H1255" i="15"/>
  <c r="E1255" i="15"/>
  <c r="I1255" i="15" s="1"/>
  <c r="J1254" i="15"/>
  <c r="I1254" i="15"/>
  <c r="H1254" i="15"/>
  <c r="H1253" i="15"/>
  <c r="E1253" i="15"/>
  <c r="J1253" i="15" s="1"/>
  <c r="J1252" i="15"/>
  <c r="I1252" i="15"/>
  <c r="K1252" i="15" s="1"/>
  <c r="H1252" i="15"/>
  <c r="H1251" i="15"/>
  <c r="E1251" i="15"/>
  <c r="J1250" i="15"/>
  <c r="I1250" i="15"/>
  <c r="H1250" i="15"/>
  <c r="H1249" i="15"/>
  <c r="H1248" i="15"/>
  <c r="E1248" i="15"/>
  <c r="I1248" i="15" s="1"/>
  <c r="J1247" i="15"/>
  <c r="I1247" i="15"/>
  <c r="K1247" i="15" s="1"/>
  <c r="H1247" i="15"/>
  <c r="J1246" i="15"/>
  <c r="F1246" i="15"/>
  <c r="I1246" i="15" s="1"/>
  <c r="J1245" i="15"/>
  <c r="I1245" i="15"/>
  <c r="H1245" i="15"/>
  <c r="J1244" i="15"/>
  <c r="I1244" i="15"/>
  <c r="K1244" i="15" s="1"/>
  <c r="H1244" i="15"/>
  <c r="J1243" i="15"/>
  <c r="I1243" i="15"/>
  <c r="H1243" i="15"/>
  <c r="J1242" i="15"/>
  <c r="I1242" i="15"/>
  <c r="K1242" i="15" s="1"/>
  <c r="H1242" i="15"/>
  <c r="J1241" i="15"/>
  <c r="F1241" i="15"/>
  <c r="I1241" i="15" s="1"/>
  <c r="J1240" i="15"/>
  <c r="I1240" i="15"/>
  <c r="H1240" i="15"/>
  <c r="J1239" i="15"/>
  <c r="I1239" i="15"/>
  <c r="K1239" i="15" s="1"/>
  <c r="H1239" i="15"/>
  <c r="J1238" i="15"/>
  <c r="I1238" i="15"/>
  <c r="H1238" i="15"/>
  <c r="J1237" i="15"/>
  <c r="I1237" i="15"/>
  <c r="K1237" i="15" s="1"/>
  <c r="H1237" i="15"/>
  <c r="J1236" i="15"/>
  <c r="I1236" i="15"/>
  <c r="H1236" i="15"/>
  <c r="J1235" i="15"/>
  <c r="K1235" i="15" s="1"/>
  <c r="I1235" i="15"/>
  <c r="H1235" i="15"/>
  <c r="H1234" i="15"/>
  <c r="I1233" i="15"/>
  <c r="H1233" i="15"/>
  <c r="E1233" i="15"/>
  <c r="J1232" i="15"/>
  <c r="I1232" i="15"/>
  <c r="H1232" i="15"/>
  <c r="J1231" i="15"/>
  <c r="I1231" i="15"/>
  <c r="H1231" i="15"/>
  <c r="H1230" i="15"/>
  <c r="H1229" i="15"/>
  <c r="E1229" i="15"/>
  <c r="H1228" i="15"/>
  <c r="E1228" i="15"/>
  <c r="I1228" i="15" s="1"/>
  <c r="H1227" i="15"/>
  <c r="H1226" i="15"/>
  <c r="E1226" i="15"/>
  <c r="E1227" i="15" s="1"/>
  <c r="H1225" i="15"/>
  <c r="H1224" i="15"/>
  <c r="E1224" i="15"/>
  <c r="I1224" i="15" s="1"/>
  <c r="E1223" i="15"/>
  <c r="J1223" i="15" s="1"/>
  <c r="H1222" i="15"/>
  <c r="E1222" i="15"/>
  <c r="J1222" i="15" s="1"/>
  <c r="H1221" i="15"/>
  <c r="H1220" i="15"/>
  <c r="E1220" i="15"/>
  <c r="E1221" i="15" s="1"/>
  <c r="J1219" i="15"/>
  <c r="I1219" i="15"/>
  <c r="H1219" i="15"/>
  <c r="H1218" i="15"/>
  <c r="E1218" i="15"/>
  <c r="I1218" i="15" s="1"/>
  <c r="H1217" i="15"/>
  <c r="E1217" i="15"/>
  <c r="J1217" i="15" s="1"/>
  <c r="J1216" i="15"/>
  <c r="I1216" i="15"/>
  <c r="H1216" i="15"/>
  <c r="J1215" i="15"/>
  <c r="I1215" i="15"/>
  <c r="H1215" i="15"/>
  <c r="J1214" i="15"/>
  <c r="I1214" i="15"/>
  <c r="K1214" i="15" s="1"/>
  <c r="H1214" i="15"/>
  <c r="J1213" i="15"/>
  <c r="I1213" i="15"/>
  <c r="H1213" i="15"/>
  <c r="H1212" i="15"/>
  <c r="E1212" i="15"/>
  <c r="I1212" i="15" s="1"/>
  <c r="J1211" i="15"/>
  <c r="I1211" i="15"/>
  <c r="H1211" i="15"/>
  <c r="H1210" i="15"/>
  <c r="H1209" i="15"/>
  <c r="E1209" i="15"/>
  <c r="I1209" i="15" s="1"/>
  <c r="J1208" i="15"/>
  <c r="F1208" i="15"/>
  <c r="I1208" i="15" s="1"/>
  <c r="K1208" i="15" s="1"/>
  <c r="J1207" i="15"/>
  <c r="I1207" i="15"/>
  <c r="H1207" i="15"/>
  <c r="J1206" i="15"/>
  <c r="F1206" i="15"/>
  <c r="J1205" i="15"/>
  <c r="I1205" i="15"/>
  <c r="H1205" i="15"/>
  <c r="H1204" i="15"/>
  <c r="E1204" i="15"/>
  <c r="J1204" i="15" s="1"/>
  <c r="J1203" i="15"/>
  <c r="I1203" i="15"/>
  <c r="H1203" i="15"/>
  <c r="H1202" i="15"/>
  <c r="E1202" i="15"/>
  <c r="J1202" i="15" s="1"/>
  <c r="J1201" i="15"/>
  <c r="I1201" i="15"/>
  <c r="F1201" i="15"/>
  <c r="H1201" i="15" s="1"/>
  <c r="J1200" i="15"/>
  <c r="I1200" i="15"/>
  <c r="H1200" i="15"/>
  <c r="H1199" i="15"/>
  <c r="E1199" i="15"/>
  <c r="J1199" i="15" s="1"/>
  <c r="H1198" i="15"/>
  <c r="E1198" i="15"/>
  <c r="I1198" i="15" s="1"/>
  <c r="H1197" i="15"/>
  <c r="H1196" i="15"/>
  <c r="E1196" i="15"/>
  <c r="H1195" i="15"/>
  <c r="E1195" i="15"/>
  <c r="J1195" i="15" s="1"/>
  <c r="H1194" i="15"/>
  <c r="H1193" i="15"/>
  <c r="E1193" i="15"/>
  <c r="E1194" i="15" s="1"/>
  <c r="I1194" i="15" s="1"/>
  <c r="J1192" i="15"/>
  <c r="I1192" i="15"/>
  <c r="H1192" i="15"/>
  <c r="J1191" i="15"/>
  <c r="I1191" i="15"/>
  <c r="H1191" i="15"/>
  <c r="H1190" i="15"/>
  <c r="H1189" i="15"/>
  <c r="E1189" i="15"/>
  <c r="H1188" i="15"/>
  <c r="E1188" i="15"/>
  <c r="J1188" i="15" s="1"/>
  <c r="H1187" i="15"/>
  <c r="H1186" i="15"/>
  <c r="E1186" i="15"/>
  <c r="E1187" i="15" s="1"/>
  <c r="I1187" i="15" s="1"/>
  <c r="H1185" i="15"/>
  <c r="H1184" i="15"/>
  <c r="E1184" i="15"/>
  <c r="H1183" i="15"/>
  <c r="E1183" i="15"/>
  <c r="H1182" i="15"/>
  <c r="E1182" i="15"/>
  <c r="J1182" i="15" s="1"/>
  <c r="H1181" i="15"/>
  <c r="H1180" i="15"/>
  <c r="E1180" i="15"/>
  <c r="J1179" i="15"/>
  <c r="I1179" i="15"/>
  <c r="H1179" i="15"/>
  <c r="H1178" i="15"/>
  <c r="E1178" i="15"/>
  <c r="H1177" i="15"/>
  <c r="E1177" i="15"/>
  <c r="J1176" i="15"/>
  <c r="I1176" i="15"/>
  <c r="H1176" i="15"/>
  <c r="J1175" i="15"/>
  <c r="I1175" i="15"/>
  <c r="H1175" i="15"/>
  <c r="J1174" i="15"/>
  <c r="I1174" i="15"/>
  <c r="H1174" i="15"/>
  <c r="J1173" i="15"/>
  <c r="I1173" i="15"/>
  <c r="H1173" i="15"/>
  <c r="H1172" i="15"/>
  <c r="E1172" i="15"/>
  <c r="I1172" i="15" s="1"/>
  <c r="J1171" i="15"/>
  <c r="I1171" i="15"/>
  <c r="H1171" i="15"/>
  <c r="H1170" i="15"/>
  <c r="H1169" i="15"/>
  <c r="E1169" i="15"/>
  <c r="J1168" i="15"/>
  <c r="I1168" i="15"/>
  <c r="H1168" i="15"/>
  <c r="J1167" i="15"/>
  <c r="I1167" i="15"/>
  <c r="H1167" i="15"/>
  <c r="J1166" i="15"/>
  <c r="I1166" i="15"/>
  <c r="H1166" i="15"/>
  <c r="J1165" i="15"/>
  <c r="F1165" i="15"/>
  <c r="J1164" i="15"/>
  <c r="I1164" i="15"/>
  <c r="H1164" i="15"/>
  <c r="J1163" i="15"/>
  <c r="F1163" i="15"/>
  <c r="H1163" i="15" s="1"/>
  <c r="J1162" i="15"/>
  <c r="I1162" i="15"/>
  <c r="H1162" i="15"/>
  <c r="H1161" i="15"/>
  <c r="E1161" i="15"/>
  <c r="J1161" i="15" s="1"/>
  <c r="J1160" i="15"/>
  <c r="I1160" i="15"/>
  <c r="H1160" i="15"/>
  <c r="H1159" i="15"/>
  <c r="E1159" i="15"/>
  <c r="J1159" i="15" s="1"/>
  <c r="J1158" i="15"/>
  <c r="F1158" i="15"/>
  <c r="I1158" i="15" s="1"/>
  <c r="J1157" i="15"/>
  <c r="K1157" i="15" s="1"/>
  <c r="I1157" i="15"/>
  <c r="H1157" i="15"/>
  <c r="H1156" i="15"/>
  <c r="H1155" i="15"/>
  <c r="E1155" i="15"/>
  <c r="H1154" i="15"/>
  <c r="E1154" i="15"/>
  <c r="J1154" i="15" s="1"/>
  <c r="H1153" i="15"/>
  <c r="E1153" i="15"/>
  <c r="I1153" i="15" s="1"/>
  <c r="H1152" i="15"/>
  <c r="E1152" i="15"/>
  <c r="J1152" i="15" s="1"/>
  <c r="H1151" i="15"/>
  <c r="E1151" i="15"/>
  <c r="H1150" i="15"/>
  <c r="E1150" i="15"/>
  <c r="J1150" i="15" s="1"/>
  <c r="J1149" i="15"/>
  <c r="I1149" i="15"/>
  <c r="H1149" i="15"/>
  <c r="J1148" i="15"/>
  <c r="I1148" i="15"/>
  <c r="H1148" i="15"/>
  <c r="H1147" i="15"/>
  <c r="H1146" i="15"/>
  <c r="E1146" i="15"/>
  <c r="H1145" i="15"/>
  <c r="E1145" i="15"/>
  <c r="H1144" i="15"/>
  <c r="H1143" i="15"/>
  <c r="E1143" i="15"/>
  <c r="H1142" i="15"/>
  <c r="H1141" i="15"/>
  <c r="E1141" i="15"/>
  <c r="E1142" i="15" s="1"/>
  <c r="E1140" i="15"/>
  <c r="I1140" i="15" s="1"/>
  <c r="H1139" i="15"/>
  <c r="E1139" i="15"/>
  <c r="H1138" i="15"/>
  <c r="H1137" i="15"/>
  <c r="E1137" i="15"/>
  <c r="I1137" i="15" s="1"/>
  <c r="J1136" i="15"/>
  <c r="I1136" i="15"/>
  <c r="H1136" i="15"/>
  <c r="J1135" i="15"/>
  <c r="I1135" i="15"/>
  <c r="H1135" i="15"/>
  <c r="H1134" i="15"/>
  <c r="H1133" i="15"/>
  <c r="E1133" i="15"/>
  <c r="E1134" i="15" s="1"/>
  <c r="H1132" i="15"/>
  <c r="E1132" i="15"/>
  <c r="H1131" i="15"/>
  <c r="E1131" i="15"/>
  <c r="J1131" i="15" s="1"/>
  <c r="H1130" i="15"/>
  <c r="E1130" i="15"/>
  <c r="I1130" i="15" s="1"/>
  <c r="H1129" i="15"/>
  <c r="H1128" i="15"/>
  <c r="E1128" i="15"/>
  <c r="E1127" i="15"/>
  <c r="H1126" i="15"/>
  <c r="E1126" i="15"/>
  <c r="J1126" i="15" s="1"/>
  <c r="H1125" i="15"/>
  <c r="H1124" i="15"/>
  <c r="E1124" i="15"/>
  <c r="J1123" i="15"/>
  <c r="I1123" i="15"/>
  <c r="H1123" i="15"/>
  <c r="J1122" i="15"/>
  <c r="I1122" i="15"/>
  <c r="H1122" i="15"/>
  <c r="H1121" i="15"/>
  <c r="H1120" i="15"/>
  <c r="E1120" i="15"/>
  <c r="H1119" i="15"/>
  <c r="E1119" i="15"/>
  <c r="J1119" i="15" s="1"/>
  <c r="H1118" i="15"/>
  <c r="H1117" i="15"/>
  <c r="E1117" i="15"/>
  <c r="I1117" i="15" s="1"/>
  <c r="H1116" i="15"/>
  <c r="H1115" i="15"/>
  <c r="E1115" i="15"/>
  <c r="E1114" i="15"/>
  <c r="I1114" i="15" s="1"/>
  <c r="H1113" i="15"/>
  <c r="E1113" i="15"/>
  <c r="I1113" i="15" s="1"/>
  <c r="H1112" i="15"/>
  <c r="H1111" i="15"/>
  <c r="E1111" i="15"/>
  <c r="J1110" i="15"/>
  <c r="I1110" i="15"/>
  <c r="H1110" i="15"/>
  <c r="H1109" i="15"/>
  <c r="E1109" i="15"/>
  <c r="H1108" i="15"/>
  <c r="E1108" i="15"/>
  <c r="J1108" i="15" s="1"/>
  <c r="J1107" i="15"/>
  <c r="I1107" i="15"/>
  <c r="K1107" i="15" s="1"/>
  <c r="H1107" i="15"/>
  <c r="J1106" i="15"/>
  <c r="I1106" i="15"/>
  <c r="K1106" i="15" s="1"/>
  <c r="H1106" i="15"/>
  <c r="J1105" i="15"/>
  <c r="I1105" i="15"/>
  <c r="H1105" i="15"/>
  <c r="J1104" i="15"/>
  <c r="I1104" i="15"/>
  <c r="H1104" i="15"/>
  <c r="J1103" i="15"/>
  <c r="I1103" i="15"/>
  <c r="H1103" i="15"/>
  <c r="E1103" i="15"/>
  <c r="J1102" i="15"/>
  <c r="I1102" i="15"/>
  <c r="K1102" i="15" s="1"/>
  <c r="H1102" i="15"/>
  <c r="J1101" i="15"/>
  <c r="I1101" i="15"/>
  <c r="H1101" i="15"/>
  <c r="J1100" i="15"/>
  <c r="I1100" i="15"/>
  <c r="H1100" i="15"/>
  <c r="H1099" i="15"/>
  <c r="H1098" i="15"/>
  <c r="E1098" i="15"/>
  <c r="K1097" i="15"/>
  <c r="J1097" i="15"/>
  <c r="I1097" i="15"/>
  <c r="H1097" i="15"/>
  <c r="J1096" i="15"/>
  <c r="I1096" i="15"/>
  <c r="H1096" i="15"/>
  <c r="J1095" i="15"/>
  <c r="I1095" i="15"/>
  <c r="H1095" i="15"/>
  <c r="J1094" i="15"/>
  <c r="F1094" i="15"/>
  <c r="H1094" i="15" s="1"/>
  <c r="J1093" i="15"/>
  <c r="I1093" i="15"/>
  <c r="H1093" i="15"/>
  <c r="J1092" i="15"/>
  <c r="F1092" i="15"/>
  <c r="H1092" i="15" s="1"/>
  <c r="J1091" i="15"/>
  <c r="F1091" i="15"/>
  <c r="I1091" i="15" s="1"/>
  <c r="J1090" i="15"/>
  <c r="F1090" i="15"/>
  <c r="I1090" i="15" s="1"/>
  <c r="J1089" i="15"/>
  <c r="I1089" i="15"/>
  <c r="K1089" i="15" s="1"/>
  <c r="H1089" i="15"/>
  <c r="H1088" i="15"/>
  <c r="E1088" i="15"/>
  <c r="J1088" i="15" s="1"/>
  <c r="J1087" i="15"/>
  <c r="I1087" i="15"/>
  <c r="H1087" i="15"/>
  <c r="H1086" i="15"/>
  <c r="E1086" i="15"/>
  <c r="J1085" i="15"/>
  <c r="I1085" i="15"/>
  <c r="K1085" i="15" s="1"/>
  <c r="F1085" i="15"/>
  <c r="H1085" i="15" s="1"/>
  <c r="J1084" i="15"/>
  <c r="I1084" i="15"/>
  <c r="H1084" i="15"/>
  <c r="H1083" i="15"/>
  <c r="H1082" i="15"/>
  <c r="E1082" i="15"/>
  <c r="H1081" i="15"/>
  <c r="H1080" i="15"/>
  <c r="E1080" i="15"/>
  <c r="E1081" i="15" s="1"/>
  <c r="J1081" i="15" s="1"/>
  <c r="H1079" i="15"/>
  <c r="E1079" i="15"/>
  <c r="H1078" i="15"/>
  <c r="E1078" i="15"/>
  <c r="J1078" i="15" s="1"/>
  <c r="H1077" i="15"/>
  <c r="E1077" i="15"/>
  <c r="J1077" i="15" s="1"/>
  <c r="J1076" i="15"/>
  <c r="I1076" i="15"/>
  <c r="K1076" i="15" s="1"/>
  <c r="H1076" i="15"/>
  <c r="J1075" i="15"/>
  <c r="I1075" i="15"/>
  <c r="H1075" i="15"/>
  <c r="H1074" i="15"/>
  <c r="H1073" i="15"/>
  <c r="E1073" i="15"/>
  <c r="H1072" i="15"/>
  <c r="E1072" i="15"/>
  <c r="H1071" i="15"/>
  <c r="E1071" i="15"/>
  <c r="J1071" i="15" s="1"/>
  <c r="H1070" i="15"/>
  <c r="E1070" i="15"/>
  <c r="J1070" i="15" s="1"/>
  <c r="H1069" i="15"/>
  <c r="H1068" i="15"/>
  <c r="E1068" i="15"/>
  <c r="E1067" i="15"/>
  <c r="H1066" i="15"/>
  <c r="E1066" i="15"/>
  <c r="J1066" i="15" s="1"/>
  <c r="H1065" i="15"/>
  <c r="H1064" i="15"/>
  <c r="E1064" i="15"/>
  <c r="J1063" i="15"/>
  <c r="I1063" i="15"/>
  <c r="K1063" i="15" s="1"/>
  <c r="H1063" i="15"/>
  <c r="J1062" i="15"/>
  <c r="I1062" i="15"/>
  <c r="H1062" i="15"/>
  <c r="H1061" i="15"/>
  <c r="H1060" i="15"/>
  <c r="E1060" i="15"/>
  <c r="H1059" i="15"/>
  <c r="E1059" i="15"/>
  <c r="J1059" i="15" s="1"/>
  <c r="H1058" i="15"/>
  <c r="H1057" i="15"/>
  <c r="E1057" i="15"/>
  <c r="E1058" i="15" s="1"/>
  <c r="J1058" i="15" s="1"/>
  <c r="H1056" i="15"/>
  <c r="H1055" i="15"/>
  <c r="E1055" i="15"/>
  <c r="J1055" i="15" s="1"/>
  <c r="H1054" i="15"/>
  <c r="E1054" i="15"/>
  <c r="J1054" i="15" s="1"/>
  <c r="H1053" i="15"/>
  <c r="E1053" i="15"/>
  <c r="J1053" i="15" s="1"/>
  <c r="H1052" i="15"/>
  <c r="H1051" i="15"/>
  <c r="E1051" i="15"/>
  <c r="J1050" i="15"/>
  <c r="I1050" i="15"/>
  <c r="H1050" i="15"/>
  <c r="J1049" i="15"/>
  <c r="H1049" i="15"/>
  <c r="E1049" i="15"/>
  <c r="I1049" i="15" s="1"/>
  <c r="H1048" i="15"/>
  <c r="E1048" i="15"/>
  <c r="J1048" i="15" s="1"/>
  <c r="J1047" i="15"/>
  <c r="I1047" i="15"/>
  <c r="H1047" i="15"/>
  <c r="J1046" i="15"/>
  <c r="I1046" i="15"/>
  <c r="H1046" i="15"/>
  <c r="J1045" i="15"/>
  <c r="I1045" i="15"/>
  <c r="H1045" i="15"/>
  <c r="J1044" i="15"/>
  <c r="I1044" i="15"/>
  <c r="H1044" i="15"/>
  <c r="H1043" i="15"/>
  <c r="E1043" i="15"/>
  <c r="I1043" i="15" s="1"/>
  <c r="J1042" i="15"/>
  <c r="I1042" i="15"/>
  <c r="H1042" i="15"/>
  <c r="J1041" i="15"/>
  <c r="I1041" i="15"/>
  <c r="H1041" i="15"/>
  <c r="J1040" i="15"/>
  <c r="I1040" i="15"/>
  <c r="H1040" i="15"/>
  <c r="H1039" i="15"/>
  <c r="E1039" i="15"/>
  <c r="J1039" i="15" s="1"/>
  <c r="H1038" i="15"/>
  <c r="E1038" i="15"/>
  <c r="J1037" i="15"/>
  <c r="K1037" i="15" s="1"/>
  <c r="I1037" i="15"/>
  <c r="H1037" i="15"/>
  <c r="J1036" i="15"/>
  <c r="I1036" i="15"/>
  <c r="H1036" i="15"/>
  <c r="J1035" i="15"/>
  <c r="I1035" i="15"/>
  <c r="H1035" i="15"/>
  <c r="J1034" i="15"/>
  <c r="F1034" i="15"/>
  <c r="J1033" i="15"/>
  <c r="I1033" i="15"/>
  <c r="H1033" i="15"/>
  <c r="J1032" i="15"/>
  <c r="F1032" i="15"/>
  <c r="J1031" i="15"/>
  <c r="F1031" i="15"/>
  <c r="I1031" i="15" s="1"/>
  <c r="J1030" i="15"/>
  <c r="F1030" i="15"/>
  <c r="J1029" i="15"/>
  <c r="I1029" i="15"/>
  <c r="H1029" i="15"/>
  <c r="H1028" i="15"/>
  <c r="E1028" i="15"/>
  <c r="J1028" i="15" s="1"/>
  <c r="J1027" i="15"/>
  <c r="I1027" i="15"/>
  <c r="K1027" i="15" s="1"/>
  <c r="H1027" i="15"/>
  <c r="H1026" i="15"/>
  <c r="E1026" i="15"/>
  <c r="J1026" i="15" s="1"/>
  <c r="J1025" i="15"/>
  <c r="F1025" i="15"/>
  <c r="I1025" i="15" s="1"/>
  <c r="J1024" i="15"/>
  <c r="I1024" i="15"/>
  <c r="K1024" i="15" s="1"/>
  <c r="H1024" i="15"/>
  <c r="H1023" i="15"/>
  <c r="H1022" i="15"/>
  <c r="E1022" i="15"/>
  <c r="E1023" i="15" s="1"/>
  <c r="J1023" i="15" s="1"/>
  <c r="H1021" i="15"/>
  <c r="E1021" i="15"/>
  <c r="J1021" i="15" s="1"/>
  <c r="J1020" i="15"/>
  <c r="K1020" i="15" s="1"/>
  <c r="H1020" i="15"/>
  <c r="E1020" i="15"/>
  <c r="I1020" i="15" s="1"/>
  <c r="H1019" i="15"/>
  <c r="E1019" i="15"/>
  <c r="J1019" i="15" s="1"/>
  <c r="H1018" i="15"/>
  <c r="H1017" i="15"/>
  <c r="E1017" i="15"/>
  <c r="J1017" i="15" s="1"/>
  <c r="J1016" i="15"/>
  <c r="K1016" i="15" s="1"/>
  <c r="I1016" i="15"/>
  <c r="H1016" i="15"/>
  <c r="K1015" i="15"/>
  <c r="J1015" i="15"/>
  <c r="I1015" i="15"/>
  <c r="H1015" i="15"/>
  <c r="H1014" i="15"/>
  <c r="H1013" i="15"/>
  <c r="E1013" i="15"/>
  <c r="I1013" i="15" s="1"/>
  <c r="J1012" i="15"/>
  <c r="H1012" i="15"/>
  <c r="E1012" i="15"/>
  <c r="I1012" i="15" s="1"/>
  <c r="H1011" i="15"/>
  <c r="H1010" i="15"/>
  <c r="E1010" i="15"/>
  <c r="J1010" i="15" s="1"/>
  <c r="H1009" i="15"/>
  <c r="H1008" i="15"/>
  <c r="E1008" i="15"/>
  <c r="J1008" i="15" s="1"/>
  <c r="E1007" i="15"/>
  <c r="H1006" i="15"/>
  <c r="E1006" i="15"/>
  <c r="H1005" i="15"/>
  <c r="H1004" i="15"/>
  <c r="E1004" i="15"/>
  <c r="I1004" i="15" s="1"/>
  <c r="J1003" i="15"/>
  <c r="I1003" i="15"/>
  <c r="H1003" i="15"/>
  <c r="J1002" i="15"/>
  <c r="I1002" i="15"/>
  <c r="H1002" i="15"/>
  <c r="H1001" i="15"/>
  <c r="E1001" i="15"/>
  <c r="I1001" i="15" s="1"/>
  <c r="I1000" i="15"/>
  <c r="H1000" i="15"/>
  <c r="E1000" i="15"/>
  <c r="J1000" i="15" s="1"/>
  <c r="H999" i="15"/>
  <c r="E999" i="15"/>
  <c r="I999" i="15" s="1"/>
  <c r="H998" i="15"/>
  <c r="E998" i="15"/>
  <c r="H997" i="15"/>
  <c r="E997" i="15"/>
  <c r="I997" i="15" s="1"/>
  <c r="H996" i="15"/>
  <c r="H995" i="15"/>
  <c r="E995" i="15"/>
  <c r="E994" i="15"/>
  <c r="H993" i="15"/>
  <c r="E993" i="15"/>
  <c r="J993" i="15" s="1"/>
  <c r="H992" i="15"/>
  <c r="H991" i="15"/>
  <c r="E991" i="15"/>
  <c r="E992" i="15" s="1"/>
  <c r="J990" i="15"/>
  <c r="I990" i="15"/>
  <c r="H990" i="15"/>
  <c r="H989" i="15"/>
  <c r="E989" i="15"/>
  <c r="J989" i="15" s="1"/>
  <c r="H988" i="15"/>
  <c r="E988" i="15"/>
  <c r="J988" i="15" s="1"/>
  <c r="J987" i="15"/>
  <c r="I987" i="15"/>
  <c r="H987" i="15"/>
  <c r="J986" i="15"/>
  <c r="I986" i="15"/>
  <c r="H986" i="15"/>
  <c r="J985" i="15"/>
  <c r="I985" i="15"/>
  <c r="H985" i="15"/>
  <c r="J984" i="15"/>
  <c r="I984" i="15"/>
  <c r="H984" i="15"/>
  <c r="H983" i="15"/>
  <c r="E983" i="15"/>
  <c r="J983" i="15" s="1"/>
  <c r="J982" i="15"/>
  <c r="I982" i="15"/>
  <c r="H982" i="15"/>
  <c r="H981" i="15"/>
  <c r="E981" i="15"/>
  <c r="H980" i="15"/>
  <c r="E980" i="15"/>
  <c r="J980" i="15" s="1"/>
  <c r="J979" i="15"/>
  <c r="I979" i="15"/>
  <c r="H979" i="15"/>
  <c r="J978" i="15"/>
  <c r="I978" i="15"/>
  <c r="H978" i="15"/>
  <c r="J977" i="15"/>
  <c r="I977" i="15"/>
  <c r="H977" i="15"/>
  <c r="J976" i="15"/>
  <c r="F976" i="15"/>
  <c r="J975" i="15"/>
  <c r="I975" i="15"/>
  <c r="H975" i="15"/>
  <c r="J974" i="15"/>
  <c r="F974" i="15"/>
  <c r="I974" i="15" s="1"/>
  <c r="K974" i="15" s="1"/>
  <c r="J973" i="15"/>
  <c r="F973" i="15"/>
  <c r="I973" i="15" s="1"/>
  <c r="K973" i="15" s="1"/>
  <c r="J972" i="15"/>
  <c r="I972" i="15"/>
  <c r="H972" i="15"/>
  <c r="H971" i="15"/>
  <c r="E971" i="15"/>
  <c r="J971" i="15" s="1"/>
  <c r="J970" i="15"/>
  <c r="I970" i="15"/>
  <c r="H970" i="15"/>
  <c r="H969" i="15"/>
  <c r="E969" i="15"/>
  <c r="J969" i="15" s="1"/>
  <c r="J968" i="15"/>
  <c r="F968" i="15"/>
  <c r="J967" i="15"/>
  <c r="I967" i="15"/>
  <c r="H967" i="15"/>
  <c r="H966" i="15"/>
  <c r="H965" i="15"/>
  <c r="E965" i="15"/>
  <c r="E966" i="15" s="1"/>
  <c r="I966" i="15" s="1"/>
  <c r="H964" i="15"/>
  <c r="H963" i="15"/>
  <c r="E963" i="15"/>
  <c r="J963" i="15" s="1"/>
  <c r="H962" i="15"/>
  <c r="E962" i="15"/>
  <c r="J962" i="15" s="1"/>
  <c r="H961" i="15"/>
  <c r="H960" i="15"/>
  <c r="E960" i="15"/>
  <c r="J960" i="15" s="1"/>
  <c r="J959" i="15"/>
  <c r="I959" i="15"/>
  <c r="H959" i="15"/>
  <c r="J958" i="15"/>
  <c r="I958" i="15"/>
  <c r="H958" i="15"/>
  <c r="H957" i="15"/>
  <c r="H956" i="15"/>
  <c r="E956" i="15"/>
  <c r="J956" i="15" s="1"/>
  <c r="H955" i="15"/>
  <c r="E955" i="15"/>
  <c r="J955" i="15" s="1"/>
  <c r="H954" i="15"/>
  <c r="H953" i="15"/>
  <c r="E953" i="15"/>
  <c r="J953" i="15" s="1"/>
  <c r="H952" i="15"/>
  <c r="H951" i="15"/>
  <c r="E951" i="15"/>
  <c r="I951" i="15" s="1"/>
  <c r="H950" i="15"/>
  <c r="E950" i="15"/>
  <c r="H949" i="15"/>
  <c r="E949" i="15"/>
  <c r="J949" i="15" s="1"/>
  <c r="H948" i="15"/>
  <c r="H947" i="15"/>
  <c r="E947" i="15"/>
  <c r="J947" i="15" s="1"/>
  <c r="J946" i="15"/>
  <c r="I946" i="15"/>
  <c r="H946" i="15"/>
  <c r="J945" i="15"/>
  <c r="I945" i="15"/>
  <c r="H945" i="15"/>
  <c r="H944" i="15"/>
  <c r="E944" i="15"/>
  <c r="J944" i="15" s="1"/>
  <c r="J943" i="15"/>
  <c r="I943" i="15"/>
  <c r="H943" i="15"/>
  <c r="H942" i="15"/>
  <c r="E942" i="15"/>
  <c r="H941" i="15"/>
  <c r="H940" i="15"/>
  <c r="E940" i="15"/>
  <c r="I940" i="15" s="1"/>
  <c r="H939" i="15"/>
  <c r="H938" i="15"/>
  <c r="E938" i="15"/>
  <c r="E937" i="15"/>
  <c r="J937" i="15" s="1"/>
  <c r="H936" i="15"/>
  <c r="E936" i="15"/>
  <c r="J936" i="15" s="1"/>
  <c r="H935" i="15"/>
  <c r="H934" i="15"/>
  <c r="E934" i="15"/>
  <c r="E935" i="15" s="1"/>
  <c r="I935" i="15" s="1"/>
  <c r="J933" i="15"/>
  <c r="I933" i="15"/>
  <c r="H933" i="15"/>
  <c r="H932" i="15"/>
  <c r="E932" i="15"/>
  <c r="J932" i="15" s="1"/>
  <c r="H931" i="15"/>
  <c r="E931" i="15"/>
  <c r="J931" i="15" s="1"/>
  <c r="J930" i="15"/>
  <c r="I930" i="15"/>
  <c r="H930" i="15"/>
  <c r="J929" i="15"/>
  <c r="I929" i="15"/>
  <c r="H929" i="15"/>
  <c r="J928" i="15"/>
  <c r="I928" i="15"/>
  <c r="H928" i="15"/>
  <c r="J927" i="15"/>
  <c r="I927" i="15"/>
  <c r="H927" i="15"/>
  <c r="J926" i="15"/>
  <c r="I926" i="15"/>
  <c r="K926" i="15" s="1"/>
  <c r="H926" i="15"/>
  <c r="J925" i="15"/>
  <c r="I925" i="15"/>
  <c r="H925" i="15"/>
  <c r="J924" i="15"/>
  <c r="I924" i="15"/>
  <c r="H924" i="15"/>
  <c r="J923" i="15"/>
  <c r="I923" i="15"/>
  <c r="H923" i="15"/>
  <c r="I922" i="15"/>
  <c r="H922" i="15"/>
  <c r="E922" i="15"/>
  <c r="J922" i="15" s="1"/>
  <c r="H921" i="15"/>
  <c r="E921" i="15"/>
  <c r="J921" i="15" s="1"/>
  <c r="J920" i="15"/>
  <c r="I920" i="15"/>
  <c r="H920" i="15"/>
  <c r="J919" i="15"/>
  <c r="H919" i="15"/>
  <c r="F919" i="15"/>
  <c r="I919" i="15" s="1"/>
  <c r="J918" i="15"/>
  <c r="I918" i="15"/>
  <c r="H918" i="15"/>
  <c r="J917" i="15"/>
  <c r="F917" i="15"/>
  <c r="I917" i="15" s="1"/>
  <c r="J916" i="15"/>
  <c r="I916" i="15"/>
  <c r="H916" i="15"/>
  <c r="H915" i="15"/>
  <c r="E915" i="15"/>
  <c r="J914" i="15"/>
  <c r="I914" i="15"/>
  <c r="H914" i="15"/>
  <c r="H913" i="15"/>
  <c r="E913" i="15"/>
  <c r="J913" i="15" s="1"/>
  <c r="J912" i="15"/>
  <c r="I912" i="15"/>
  <c r="H912" i="15"/>
  <c r="F912" i="15"/>
  <c r="J911" i="15"/>
  <c r="I911" i="15"/>
  <c r="K911" i="15" s="1"/>
  <c r="H911" i="15"/>
  <c r="H910" i="15"/>
  <c r="J909" i="15"/>
  <c r="I909" i="15"/>
  <c r="H909" i="15"/>
  <c r="E909" i="15"/>
  <c r="E910" i="15" s="1"/>
  <c r="I910" i="15" s="1"/>
  <c r="H908" i="15"/>
  <c r="H907" i="15"/>
  <c r="E907" i="15"/>
  <c r="J907" i="15" s="1"/>
  <c r="H906" i="15"/>
  <c r="E906" i="15"/>
  <c r="I906" i="15" s="1"/>
  <c r="H905" i="15"/>
  <c r="H904" i="15"/>
  <c r="E904" i="15"/>
  <c r="J903" i="15"/>
  <c r="I903" i="15"/>
  <c r="K903" i="15" s="1"/>
  <c r="H903" i="15"/>
  <c r="J902" i="15"/>
  <c r="K902" i="15" s="1"/>
  <c r="I902" i="15"/>
  <c r="H902" i="15"/>
  <c r="H901" i="15"/>
  <c r="H900" i="15"/>
  <c r="E900" i="15"/>
  <c r="J900" i="15" s="1"/>
  <c r="H899" i="15"/>
  <c r="E899" i="15"/>
  <c r="H898" i="15"/>
  <c r="H897" i="15"/>
  <c r="E897" i="15"/>
  <c r="H896" i="15"/>
  <c r="H895" i="15"/>
  <c r="E895" i="15"/>
  <c r="I894" i="15"/>
  <c r="E894" i="15"/>
  <c r="J894" i="15" s="1"/>
  <c r="H893" i="15"/>
  <c r="E893" i="15"/>
  <c r="H892" i="15"/>
  <c r="H891" i="15"/>
  <c r="E891" i="15"/>
  <c r="J891" i="15" s="1"/>
  <c r="J890" i="15"/>
  <c r="I890" i="15"/>
  <c r="H890" i="15"/>
  <c r="J889" i="15"/>
  <c r="I889" i="15"/>
  <c r="H889" i="15"/>
  <c r="H888" i="15"/>
  <c r="E888" i="15"/>
  <c r="J888" i="15" s="1"/>
  <c r="J887" i="15"/>
  <c r="I887" i="15"/>
  <c r="H887" i="15"/>
  <c r="H886" i="15"/>
  <c r="E886" i="15"/>
  <c r="J886" i="15" s="1"/>
  <c r="H885" i="15"/>
  <c r="E885" i="15"/>
  <c r="J885" i="15" s="1"/>
  <c r="H884" i="15"/>
  <c r="E884" i="15"/>
  <c r="J884" i="15" s="1"/>
  <c r="H883" i="15"/>
  <c r="H882" i="15"/>
  <c r="E882" i="15"/>
  <c r="E883" i="15" s="1"/>
  <c r="I883" i="15" s="1"/>
  <c r="E881" i="15"/>
  <c r="J881" i="15" s="1"/>
  <c r="H880" i="15"/>
  <c r="E880" i="15"/>
  <c r="J880" i="15" s="1"/>
  <c r="K879" i="15"/>
  <c r="J879" i="15"/>
  <c r="I879" i="15"/>
  <c r="H879" i="15"/>
  <c r="H878" i="15"/>
  <c r="H877" i="15"/>
  <c r="E877" i="15"/>
  <c r="J876" i="15"/>
  <c r="I876" i="15"/>
  <c r="H876" i="15"/>
  <c r="H875" i="15"/>
  <c r="E875" i="15"/>
  <c r="J875" i="15" s="1"/>
  <c r="H874" i="15"/>
  <c r="E874" i="15"/>
  <c r="J874" i="15" s="1"/>
  <c r="J873" i="15"/>
  <c r="I873" i="15"/>
  <c r="H873" i="15"/>
  <c r="J872" i="15"/>
  <c r="I872" i="15"/>
  <c r="K872" i="15" s="1"/>
  <c r="H872" i="15"/>
  <c r="J871" i="15"/>
  <c r="I871" i="15"/>
  <c r="H871" i="15"/>
  <c r="J870" i="15"/>
  <c r="I870" i="15"/>
  <c r="K870" i="15" s="1"/>
  <c r="H870" i="15"/>
  <c r="J869" i="15"/>
  <c r="I869" i="15"/>
  <c r="H869" i="15"/>
  <c r="J868" i="15"/>
  <c r="K868" i="15" s="1"/>
  <c r="I868" i="15"/>
  <c r="H868" i="15"/>
  <c r="J867" i="15"/>
  <c r="I867" i="15"/>
  <c r="H867" i="15"/>
  <c r="J866" i="15"/>
  <c r="I866" i="15"/>
  <c r="H866" i="15"/>
  <c r="H865" i="15"/>
  <c r="E865" i="15"/>
  <c r="J865" i="15" s="1"/>
  <c r="H864" i="15"/>
  <c r="E864" i="15"/>
  <c r="J864" i="15" s="1"/>
  <c r="J863" i="15"/>
  <c r="I863" i="15"/>
  <c r="H863" i="15"/>
  <c r="J862" i="15"/>
  <c r="I862" i="15"/>
  <c r="H862" i="15"/>
  <c r="J861" i="15"/>
  <c r="I861" i="15"/>
  <c r="H861" i="15"/>
  <c r="J860" i="15"/>
  <c r="F860" i="15"/>
  <c r="H860" i="15" s="1"/>
  <c r="J859" i="15"/>
  <c r="I859" i="15"/>
  <c r="K859" i="15" s="1"/>
  <c r="H859" i="15"/>
  <c r="J858" i="15"/>
  <c r="F858" i="15"/>
  <c r="I858" i="15" s="1"/>
  <c r="J857" i="15"/>
  <c r="F857" i="15"/>
  <c r="I857" i="15" s="1"/>
  <c r="K857" i="15" s="1"/>
  <c r="J856" i="15"/>
  <c r="F856" i="15"/>
  <c r="J855" i="15"/>
  <c r="I855" i="15"/>
  <c r="H855" i="15"/>
  <c r="J854" i="15"/>
  <c r="I854" i="15"/>
  <c r="H854" i="15"/>
  <c r="J853" i="15"/>
  <c r="I853" i="15"/>
  <c r="H853" i="15"/>
  <c r="J852" i="15"/>
  <c r="I852" i="15"/>
  <c r="H852" i="15"/>
  <c r="J851" i="15"/>
  <c r="H851" i="15"/>
  <c r="F851" i="15"/>
  <c r="I851" i="15" s="1"/>
  <c r="J850" i="15"/>
  <c r="I850" i="15"/>
  <c r="H850" i="15"/>
  <c r="J849" i="15"/>
  <c r="I849" i="15"/>
  <c r="H849" i="15"/>
  <c r="J848" i="15"/>
  <c r="I848" i="15"/>
  <c r="H848" i="15"/>
  <c r="J847" i="15"/>
  <c r="I847" i="15"/>
  <c r="H847" i="15"/>
  <c r="J846" i="15"/>
  <c r="I846" i="15"/>
  <c r="H846" i="15"/>
  <c r="J845" i="15"/>
  <c r="I845" i="15"/>
  <c r="H845" i="15"/>
  <c r="H844" i="15"/>
  <c r="E844" i="15"/>
  <c r="J844" i="15" s="1"/>
  <c r="J843" i="15"/>
  <c r="I843" i="15"/>
  <c r="H843" i="15"/>
  <c r="J842" i="15"/>
  <c r="I842" i="15"/>
  <c r="H842" i="15"/>
  <c r="J841" i="15"/>
  <c r="I841" i="15"/>
  <c r="H841" i="15"/>
  <c r="H840" i="15"/>
  <c r="H839" i="15"/>
  <c r="H838" i="15"/>
  <c r="E838" i="15"/>
  <c r="H837" i="15"/>
  <c r="E837" i="15"/>
  <c r="J837" i="15" s="1"/>
  <c r="H836" i="15"/>
  <c r="I835" i="15"/>
  <c r="H835" i="15"/>
  <c r="E835" i="15"/>
  <c r="J835" i="15" s="1"/>
  <c r="H834" i="15"/>
  <c r="H833" i="15"/>
  <c r="E833" i="15"/>
  <c r="E832" i="15"/>
  <c r="H831" i="15"/>
  <c r="E831" i="15"/>
  <c r="H830" i="15"/>
  <c r="E830" i="15"/>
  <c r="J829" i="15"/>
  <c r="I829" i="15"/>
  <c r="K829" i="15" s="1"/>
  <c r="H829" i="15"/>
  <c r="J828" i="15"/>
  <c r="I828" i="15"/>
  <c r="H828" i="15"/>
  <c r="J827" i="15"/>
  <c r="I827" i="15"/>
  <c r="H827" i="15"/>
  <c r="J826" i="15"/>
  <c r="I826" i="15"/>
  <c r="H826" i="15"/>
  <c r="H825" i="15"/>
  <c r="I824" i="15"/>
  <c r="H824" i="15"/>
  <c r="E824" i="15"/>
  <c r="J824" i="15" s="1"/>
  <c r="H823" i="15"/>
  <c r="E823" i="15"/>
  <c r="H822" i="15"/>
  <c r="H821" i="15"/>
  <c r="E821" i="15"/>
  <c r="I821" i="15" s="1"/>
  <c r="H820" i="15"/>
  <c r="H819" i="15"/>
  <c r="E819" i="15"/>
  <c r="E818" i="15"/>
  <c r="H817" i="15"/>
  <c r="E817" i="15"/>
  <c r="J817" i="15" s="1"/>
  <c r="H816" i="15"/>
  <c r="H815" i="15"/>
  <c r="E815" i="15"/>
  <c r="E816" i="15" s="1"/>
  <c r="J814" i="15"/>
  <c r="I814" i="15"/>
  <c r="H814" i="15"/>
  <c r="H813" i="15"/>
  <c r="E813" i="15"/>
  <c r="J813" i="15" s="1"/>
  <c r="J812" i="15"/>
  <c r="I812" i="15"/>
  <c r="H812" i="15"/>
  <c r="E812" i="15"/>
  <c r="J811" i="15"/>
  <c r="I811" i="15"/>
  <c r="H811" i="15"/>
  <c r="J810" i="15"/>
  <c r="I810" i="15"/>
  <c r="H810" i="15"/>
  <c r="J809" i="15"/>
  <c r="I809" i="15"/>
  <c r="H809" i="15"/>
  <c r="J808" i="15"/>
  <c r="I808" i="15"/>
  <c r="H808" i="15"/>
  <c r="H807" i="15"/>
  <c r="E807" i="15"/>
  <c r="J807" i="15" s="1"/>
  <c r="J806" i="15"/>
  <c r="I806" i="15"/>
  <c r="H806" i="15"/>
  <c r="J805" i="15"/>
  <c r="I805" i="15"/>
  <c r="H805" i="15"/>
  <c r="J804" i="15"/>
  <c r="I804" i="15"/>
  <c r="K804" i="15" s="1"/>
  <c r="H804" i="15"/>
  <c r="H803" i="15"/>
  <c r="E803" i="15"/>
  <c r="J803" i="15" s="1"/>
  <c r="H802" i="15"/>
  <c r="E802" i="15"/>
  <c r="J801" i="15"/>
  <c r="I801" i="15"/>
  <c r="H801" i="15"/>
  <c r="J800" i="15"/>
  <c r="I800" i="15"/>
  <c r="K800" i="15" s="1"/>
  <c r="H800" i="15"/>
  <c r="J799" i="15"/>
  <c r="I799" i="15"/>
  <c r="H799" i="15"/>
  <c r="J798" i="15"/>
  <c r="F798" i="15"/>
  <c r="I798" i="15" s="1"/>
  <c r="J797" i="15"/>
  <c r="I797" i="15"/>
  <c r="K797" i="15" s="1"/>
  <c r="H797" i="15"/>
  <c r="J796" i="15"/>
  <c r="F796" i="15"/>
  <c r="J795" i="15"/>
  <c r="F795" i="15"/>
  <c r="I795" i="15" s="1"/>
  <c r="J794" i="15"/>
  <c r="F794" i="15"/>
  <c r="I794" i="15" s="1"/>
  <c r="J793" i="15"/>
  <c r="F793" i="15"/>
  <c r="I793" i="15" s="1"/>
  <c r="J792" i="15"/>
  <c r="I792" i="15"/>
  <c r="K792" i="15" s="1"/>
  <c r="H792" i="15"/>
  <c r="H791" i="15"/>
  <c r="E791" i="15"/>
  <c r="J791" i="15" s="1"/>
  <c r="J790" i="15"/>
  <c r="I790" i="15"/>
  <c r="K790" i="15" s="1"/>
  <c r="H790" i="15"/>
  <c r="J789" i="15"/>
  <c r="I789" i="15"/>
  <c r="K789" i="15" s="1"/>
  <c r="H789" i="15"/>
  <c r="J788" i="15"/>
  <c r="F788" i="15"/>
  <c r="I788" i="15" s="1"/>
  <c r="J787" i="15"/>
  <c r="I787" i="15"/>
  <c r="K787" i="15" s="1"/>
  <c r="H787" i="15"/>
  <c r="H786" i="15"/>
  <c r="E786" i="15"/>
  <c r="H785" i="15"/>
  <c r="E785" i="15"/>
  <c r="J785" i="15" s="1"/>
  <c r="J784" i="15"/>
  <c r="I784" i="15"/>
  <c r="H784" i="15"/>
  <c r="J783" i="15"/>
  <c r="I783" i="15"/>
  <c r="H783" i="15"/>
  <c r="J782" i="15"/>
  <c r="I782" i="15"/>
  <c r="K782" i="15" s="1"/>
  <c r="H782" i="15"/>
  <c r="H781" i="15"/>
  <c r="H780" i="15"/>
  <c r="E780" i="15"/>
  <c r="E781" i="15" s="1"/>
  <c r="I781" i="15" s="1"/>
  <c r="J779" i="15"/>
  <c r="I779" i="15"/>
  <c r="H779" i="15"/>
  <c r="J778" i="15"/>
  <c r="I778" i="15"/>
  <c r="H778" i="15"/>
  <c r="H777" i="15"/>
  <c r="H776" i="15"/>
  <c r="E776" i="15"/>
  <c r="J776" i="15" s="1"/>
  <c r="H775" i="15"/>
  <c r="E775" i="15"/>
  <c r="J775" i="15" s="1"/>
  <c r="J774" i="15"/>
  <c r="H774" i="15"/>
  <c r="H773" i="15"/>
  <c r="E773" i="15"/>
  <c r="E774" i="15" s="1"/>
  <c r="I774" i="15" s="1"/>
  <c r="H772" i="15"/>
  <c r="H771" i="15"/>
  <c r="E771" i="15"/>
  <c r="J771" i="15" s="1"/>
  <c r="J770" i="15"/>
  <c r="I770" i="15"/>
  <c r="E770" i="15"/>
  <c r="H769" i="15"/>
  <c r="E769" i="15"/>
  <c r="I769" i="15" s="1"/>
  <c r="H768" i="15"/>
  <c r="H767" i="15"/>
  <c r="E767" i="15"/>
  <c r="J767" i="15" s="1"/>
  <c r="J766" i="15"/>
  <c r="I766" i="15"/>
  <c r="H766" i="15"/>
  <c r="H765" i="15"/>
  <c r="E765" i="15"/>
  <c r="J765" i="15" s="1"/>
  <c r="H764" i="15"/>
  <c r="E764" i="15"/>
  <c r="J763" i="15"/>
  <c r="I763" i="15"/>
  <c r="H763" i="15"/>
  <c r="J762" i="15"/>
  <c r="I762" i="15"/>
  <c r="H762" i="15"/>
  <c r="J761" i="15"/>
  <c r="I761" i="15"/>
  <c r="H761" i="15"/>
  <c r="H760" i="15"/>
  <c r="E760" i="15"/>
  <c r="J760" i="15" s="1"/>
  <c r="J759" i="15"/>
  <c r="I759" i="15"/>
  <c r="H759" i="15"/>
  <c r="H758" i="15"/>
  <c r="E758" i="15"/>
  <c r="J757" i="15"/>
  <c r="I757" i="15"/>
  <c r="H757" i="15"/>
  <c r="J756" i="15"/>
  <c r="K756" i="15" s="1"/>
  <c r="I756" i="15"/>
  <c r="H756" i="15"/>
  <c r="J755" i="15"/>
  <c r="I755" i="15"/>
  <c r="H755" i="15"/>
  <c r="H754" i="15"/>
  <c r="E754" i="15"/>
  <c r="J754" i="15" s="1"/>
  <c r="H753" i="15"/>
  <c r="E753" i="15"/>
  <c r="J753" i="15" s="1"/>
  <c r="J752" i="15"/>
  <c r="I752" i="15"/>
  <c r="H752" i="15"/>
  <c r="J751" i="15"/>
  <c r="I751" i="15"/>
  <c r="K751" i="15" s="1"/>
  <c r="H751" i="15"/>
  <c r="J750" i="15"/>
  <c r="I750" i="15"/>
  <c r="K750" i="15" s="1"/>
  <c r="H750" i="15"/>
  <c r="J749" i="15"/>
  <c r="F749" i="15"/>
  <c r="I749" i="15" s="1"/>
  <c r="K749" i="15" s="1"/>
  <c r="J748" i="15"/>
  <c r="I748" i="15"/>
  <c r="H748" i="15"/>
  <c r="J747" i="15"/>
  <c r="I747" i="15"/>
  <c r="F747" i="15"/>
  <c r="H747" i="15" s="1"/>
  <c r="J746" i="15"/>
  <c r="F746" i="15"/>
  <c r="J745" i="15"/>
  <c r="F745" i="15"/>
  <c r="J744" i="15"/>
  <c r="F744" i="15"/>
  <c r="I744" i="15" s="1"/>
  <c r="K744" i="15" s="1"/>
  <c r="J743" i="15"/>
  <c r="I743" i="15"/>
  <c r="H743" i="15"/>
  <c r="J742" i="15"/>
  <c r="I742" i="15"/>
  <c r="K742" i="15" s="1"/>
  <c r="H742" i="15"/>
  <c r="J741" i="15"/>
  <c r="I741" i="15"/>
  <c r="K741" i="15" s="1"/>
  <c r="H741" i="15"/>
  <c r="J740" i="15"/>
  <c r="I740" i="15"/>
  <c r="H740" i="15"/>
  <c r="J739" i="15"/>
  <c r="F739" i="15"/>
  <c r="J738" i="15"/>
  <c r="I738" i="15"/>
  <c r="K738" i="15" s="1"/>
  <c r="H738" i="15"/>
  <c r="H737" i="15"/>
  <c r="E737" i="15"/>
  <c r="J737" i="15" s="1"/>
  <c r="H736" i="15"/>
  <c r="E736" i="15"/>
  <c r="J735" i="15"/>
  <c r="I735" i="15"/>
  <c r="H735" i="15"/>
  <c r="J734" i="15"/>
  <c r="I734" i="15"/>
  <c r="H734" i="15"/>
  <c r="J733" i="15"/>
  <c r="I733" i="15"/>
  <c r="H733" i="15"/>
  <c r="H732" i="15"/>
  <c r="E732" i="15"/>
  <c r="J732" i="15" s="1"/>
  <c r="H731" i="15"/>
  <c r="E731" i="15"/>
  <c r="J731" i="15" s="1"/>
  <c r="J730" i="15"/>
  <c r="I730" i="15"/>
  <c r="H730" i="15"/>
  <c r="J729" i="15"/>
  <c r="I729" i="15"/>
  <c r="H729" i="15"/>
  <c r="H728" i="15"/>
  <c r="H727" i="15"/>
  <c r="E727" i="15"/>
  <c r="E728" i="15" s="1"/>
  <c r="J728" i="15" s="1"/>
  <c r="H726" i="15"/>
  <c r="E726" i="15"/>
  <c r="H725" i="15"/>
  <c r="H724" i="15"/>
  <c r="E724" i="15"/>
  <c r="J724" i="15" s="1"/>
  <c r="H723" i="15"/>
  <c r="H722" i="15"/>
  <c r="E722" i="15"/>
  <c r="E721" i="15"/>
  <c r="H720" i="15"/>
  <c r="E720" i="15"/>
  <c r="H719" i="15"/>
  <c r="H718" i="15"/>
  <c r="E718" i="15"/>
  <c r="E719" i="15" s="1"/>
  <c r="J717" i="15"/>
  <c r="I717" i="15"/>
  <c r="H717" i="15"/>
  <c r="H716" i="15"/>
  <c r="E716" i="15"/>
  <c r="I716" i="15" s="1"/>
  <c r="J715" i="15"/>
  <c r="I715" i="15"/>
  <c r="H715" i="15"/>
  <c r="H714" i="15"/>
  <c r="E714" i="15"/>
  <c r="J714" i="15" s="1"/>
  <c r="J713" i="15"/>
  <c r="I713" i="15"/>
  <c r="K713" i="15" s="1"/>
  <c r="H713" i="15"/>
  <c r="J712" i="15"/>
  <c r="I712" i="15"/>
  <c r="H712" i="15"/>
  <c r="J711" i="15"/>
  <c r="I711" i="15"/>
  <c r="H711" i="15"/>
  <c r="J710" i="15"/>
  <c r="H710" i="15"/>
  <c r="E710" i="15"/>
  <c r="I710" i="15" s="1"/>
  <c r="H709" i="15"/>
  <c r="E709" i="15"/>
  <c r="J709" i="15" s="1"/>
  <c r="J708" i="15"/>
  <c r="I708" i="15"/>
  <c r="K708" i="15" s="1"/>
  <c r="H708" i="15"/>
  <c r="J707" i="15"/>
  <c r="I707" i="15"/>
  <c r="H707" i="15"/>
  <c r="J706" i="15"/>
  <c r="I706" i="15"/>
  <c r="H706" i="15"/>
  <c r="J705" i="15"/>
  <c r="I705" i="15"/>
  <c r="F705" i="15"/>
  <c r="H705" i="15" s="1"/>
  <c r="J704" i="15"/>
  <c r="K704" i="15" s="1"/>
  <c r="I704" i="15"/>
  <c r="H704" i="15"/>
  <c r="J703" i="15"/>
  <c r="I703" i="15"/>
  <c r="K703" i="15" s="1"/>
  <c r="H703" i="15"/>
  <c r="F703" i="15"/>
  <c r="J702" i="15"/>
  <c r="I702" i="15"/>
  <c r="F702" i="15"/>
  <c r="H702" i="15" s="1"/>
  <c r="J701" i="15"/>
  <c r="F701" i="15"/>
  <c r="I701" i="15" s="1"/>
  <c r="K701" i="15" s="1"/>
  <c r="J700" i="15"/>
  <c r="K700" i="15" s="1"/>
  <c r="I700" i="15"/>
  <c r="H700" i="15"/>
  <c r="J699" i="15"/>
  <c r="I699" i="15"/>
  <c r="H699" i="15"/>
  <c r="J698" i="15"/>
  <c r="I698" i="15"/>
  <c r="H698" i="15"/>
  <c r="J697" i="15"/>
  <c r="I697" i="15"/>
  <c r="H697" i="15"/>
  <c r="J696" i="15"/>
  <c r="F696" i="15"/>
  <c r="I696" i="15" s="1"/>
  <c r="J695" i="15"/>
  <c r="I695" i="15"/>
  <c r="H695" i="15"/>
  <c r="J694" i="15"/>
  <c r="I694" i="15"/>
  <c r="H694" i="15"/>
  <c r="E694" i="15"/>
  <c r="H693" i="15"/>
  <c r="E693" i="15"/>
  <c r="J693" i="15" s="1"/>
  <c r="J692" i="15"/>
  <c r="I692" i="15"/>
  <c r="H692" i="15"/>
  <c r="J691" i="15"/>
  <c r="I691" i="15"/>
  <c r="H691" i="15"/>
  <c r="J690" i="15"/>
  <c r="I690" i="15"/>
  <c r="K690" i="15" s="1"/>
  <c r="H690" i="15"/>
  <c r="H689" i="15"/>
  <c r="E689" i="15"/>
  <c r="J689" i="15" s="1"/>
  <c r="J688" i="15"/>
  <c r="H688" i="15"/>
  <c r="E688" i="15"/>
  <c r="I688" i="15" s="1"/>
  <c r="J687" i="15"/>
  <c r="I687" i="15"/>
  <c r="K687" i="15" s="1"/>
  <c r="H687" i="15"/>
  <c r="J686" i="15"/>
  <c r="I686" i="15"/>
  <c r="H686" i="15"/>
  <c r="H685" i="15"/>
  <c r="H684" i="15"/>
  <c r="E684" i="15"/>
  <c r="E685" i="15" s="1"/>
  <c r="I685" i="15" s="1"/>
  <c r="H683" i="15"/>
  <c r="E683" i="15"/>
  <c r="I683" i="15" s="1"/>
  <c r="H682" i="15"/>
  <c r="H681" i="15"/>
  <c r="E681" i="15"/>
  <c r="H680" i="15"/>
  <c r="H679" i="15"/>
  <c r="E679" i="15"/>
  <c r="E680" i="15" s="1"/>
  <c r="I680" i="15" s="1"/>
  <c r="E678" i="15"/>
  <c r="H677" i="15"/>
  <c r="E677" i="15"/>
  <c r="H676" i="15"/>
  <c r="J675" i="15"/>
  <c r="K675" i="15" s="1"/>
  <c r="H675" i="15"/>
  <c r="E675" i="15"/>
  <c r="I675" i="15" s="1"/>
  <c r="J674" i="15"/>
  <c r="I674" i="15"/>
  <c r="H674" i="15"/>
  <c r="H673" i="15"/>
  <c r="E673" i="15"/>
  <c r="J672" i="15"/>
  <c r="I672" i="15"/>
  <c r="H672" i="15"/>
  <c r="H671" i="15"/>
  <c r="E671" i="15"/>
  <c r="J671" i="15" s="1"/>
  <c r="J670" i="15"/>
  <c r="I670" i="15"/>
  <c r="K670" i="15" s="1"/>
  <c r="H670" i="15"/>
  <c r="J669" i="15"/>
  <c r="I669" i="15"/>
  <c r="H669" i="15"/>
  <c r="J668" i="15"/>
  <c r="I668" i="15"/>
  <c r="H668" i="15"/>
  <c r="H667" i="15"/>
  <c r="E667" i="15"/>
  <c r="H666" i="15"/>
  <c r="E666" i="15"/>
  <c r="J666" i="15" s="1"/>
  <c r="J665" i="15"/>
  <c r="I665" i="15"/>
  <c r="H665" i="15"/>
  <c r="J664" i="15"/>
  <c r="I664" i="15"/>
  <c r="H664" i="15"/>
  <c r="J663" i="15"/>
  <c r="I663" i="15"/>
  <c r="H663" i="15"/>
  <c r="J662" i="15"/>
  <c r="F662" i="15"/>
  <c r="I662" i="15" s="1"/>
  <c r="K662" i="15" s="1"/>
  <c r="J661" i="15"/>
  <c r="I661" i="15"/>
  <c r="K661" i="15" s="1"/>
  <c r="H661" i="15"/>
  <c r="J660" i="15"/>
  <c r="F660" i="15"/>
  <c r="I660" i="15" s="1"/>
  <c r="K660" i="15" s="1"/>
  <c r="J659" i="15"/>
  <c r="F659" i="15"/>
  <c r="H659" i="15" s="1"/>
  <c r="J658" i="15"/>
  <c r="I658" i="15"/>
  <c r="K658" i="15" s="1"/>
  <c r="H658" i="15"/>
  <c r="F658" i="15"/>
  <c r="J657" i="15"/>
  <c r="I657" i="15"/>
  <c r="H657" i="15"/>
  <c r="J656" i="15"/>
  <c r="I656" i="15"/>
  <c r="H656" i="15"/>
  <c r="J655" i="15"/>
  <c r="I655" i="15"/>
  <c r="H655" i="15"/>
  <c r="J654" i="15"/>
  <c r="I654" i="15"/>
  <c r="H654" i="15"/>
  <c r="J653" i="15"/>
  <c r="F653" i="15"/>
  <c r="H653" i="15" s="1"/>
  <c r="J652" i="15"/>
  <c r="I652" i="15"/>
  <c r="H652" i="15"/>
  <c r="H651" i="15"/>
  <c r="E651" i="15"/>
  <c r="J651" i="15" s="1"/>
  <c r="H650" i="15"/>
  <c r="E650" i="15"/>
  <c r="J650" i="15" s="1"/>
  <c r="J649" i="15"/>
  <c r="I649" i="15"/>
  <c r="H649" i="15"/>
  <c r="J648" i="15"/>
  <c r="I648" i="15"/>
  <c r="H648" i="15"/>
  <c r="J647" i="15"/>
  <c r="I647" i="15"/>
  <c r="K647" i="15" s="1"/>
  <c r="H647" i="15"/>
  <c r="H646" i="15"/>
  <c r="H645" i="15"/>
  <c r="E645" i="15"/>
  <c r="E646" i="15" s="1"/>
  <c r="J644" i="15"/>
  <c r="I644" i="15"/>
  <c r="K644" i="15" s="1"/>
  <c r="H644" i="15"/>
  <c r="J643" i="15"/>
  <c r="I643" i="15"/>
  <c r="H643" i="15"/>
  <c r="H642" i="15"/>
  <c r="H641" i="15"/>
  <c r="E641" i="15"/>
  <c r="H640" i="15"/>
  <c r="E640" i="15"/>
  <c r="H639" i="15"/>
  <c r="H638" i="15"/>
  <c r="E638" i="15"/>
  <c r="E639" i="15" s="1"/>
  <c r="H637" i="15"/>
  <c r="H636" i="15"/>
  <c r="E636" i="15"/>
  <c r="H635" i="15"/>
  <c r="E635" i="15"/>
  <c r="J635" i="15" s="1"/>
  <c r="H634" i="15"/>
  <c r="E634" i="15"/>
  <c r="H633" i="15"/>
  <c r="H632" i="15"/>
  <c r="E632" i="15"/>
  <c r="J632" i="15" s="1"/>
  <c r="J631" i="15"/>
  <c r="K631" i="15" s="1"/>
  <c r="I631" i="15"/>
  <c r="H631" i="15"/>
  <c r="H630" i="15"/>
  <c r="E630" i="15"/>
  <c r="J629" i="15"/>
  <c r="I629" i="15"/>
  <c r="H629" i="15"/>
  <c r="H628" i="15"/>
  <c r="E628" i="15"/>
  <c r="J627" i="15"/>
  <c r="I627" i="15"/>
  <c r="H627" i="15"/>
  <c r="J626" i="15"/>
  <c r="I626" i="15"/>
  <c r="H626" i="15"/>
  <c r="J625" i="15"/>
  <c r="I625" i="15"/>
  <c r="H625" i="15"/>
  <c r="H624" i="15"/>
  <c r="E624" i="15"/>
  <c r="H623" i="15"/>
  <c r="E623" i="15"/>
  <c r="J623" i="15" s="1"/>
  <c r="J622" i="15"/>
  <c r="I622" i="15"/>
  <c r="K622" i="15" s="1"/>
  <c r="H622" i="15"/>
  <c r="J621" i="15"/>
  <c r="I621" i="15"/>
  <c r="H621" i="15"/>
  <c r="J620" i="15"/>
  <c r="I620" i="15"/>
  <c r="H620" i="15"/>
  <c r="J619" i="15"/>
  <c r="F619" i="15"/>
  <c r="H619" i="15" s="1"/>
  <c r="J618" i="15"/>
  <c r="I618" i="15"/>
  <c r="H618" i="15"/>
  <c r="J617" i="15"/>
  <c r="F617" i="15"/>
  <c r="I617" i="15" s="1"/>
  <c r="J616" i="15"/>
  <c r="F616" i="15"/>
  <c r="H616" i="15" s="1"/>
  <c r="J615" i="15"/>
  <c r="F615" i="15"/>
  <c r="I615" i="15" s="1"/>
  <c r="J614" i="15"/>
  <c r="I614" i="15"/>
  <c r="H614" i="15"/>
  <c r="J613" i="15"/>
  <c r="I613" i="15"/>
  <c r="K613" i="15" s="1"/>
  <c r="H613" i="15"/>
  <c r="J612" i="15"/>
  <c r="I612" i="15"/>
  <c r="H612" i="15"/>
  <c r="J611" i="15"/>
  <c r="I611" i="15"/>
  <c r="H611" i="15"/>
  <c r="J610" i="15"/>
  <c r="F610" i="15"/>
  <c r="I610" i="15" s="1"/>
  <c r="K610" i="15" s="1"/>
  <c r="J609" i="15"/>
  <c r="I609" i="15"/>
  <c r="H609" i="15"/>
  <c r="H608" i="15"/>
  <c r="E608" i="15"/>
  <c r="J608" i="15" s="1"/>
  <c r="H607" i="15"/>
  <c r="E607" i="15"/>
  <c r="J606" i="15"/>
  <c r="I606" i="15"/>
  <c r="H606" i="15"/>
  <c r="J605" i="15"/>
  <c r="I605" i="15"/>
  <c r="H605" i="15"/>
  <c r="J604" i="15"/>
  <c r="I604" i="15"/>
  <c r="K604" i="15" s="1"/>
  <c r="H604" i="15"/>
  <c r="H603" i="15"/>
  <c r="H602" i="15"/>
  <c r="E602" i="15"/>
  <c r="J601" i="15"/>
  <c r="I601" i="15"/>
  <c r="K601" i="15" s="1"/>
  <c r="H601" i="15"/>
  <c r="J600" i="15"/>
  <c r="I600" i="15"/>
  <c r="H600" i="15"/>
  <c r="H599" i="15"/>
  <c r="H598" i="15"/>
  <c r="E598" i="15"/>
  <c r="H597" i="15"/>
  <c r="E597" i="15"/>
  <c r="H596" i="15"/>
  <c r="H595" i="15"/>
  <c r="E595" i="15"/>
  <c r="H594" i="15"/>
  <c r="H593" i="15"/>
  <c r="E593" i="15"/>
  <c r="E592" i="15"/>
  <c r="H591" i="15"/>
  <c r="E591" i="15"/>
  <c r="H590" i="15"/>
  <c r="H589" i="15"/>
  <c r="E589" i="15"/>
  <c r="J589" i="15" s="1"/>
  <c r="J588" i="15"/>
  <c r="I588" i="15"/>
  <c r="H588" i="15"/>
  <c r="I587" i="15"/>
  <c r="H587" i="15"/>
  <c r="E587" i="15"/>
  <c r="J587" i="15" s="1"/>
  <c r="J586" i="15"/>
  <c r="I586" i="15"/>
  <c r="H586" i="15"/>
  <c r="H585" i="15"/>
  <c r="E585" i="15"/>
  <c r="J585" i="15" s="1"/>
  <c r="J584" i="15"/>
  <c r="I584" i="15"/>
  <c r="H584" i="15"/>
  <c r="J583" i="15"/>
  <c r="I583" i="15"/>
  <c r="H583" i="15"/>
  <c r="J582" i="15"/>
  <c r="K582" i="15" s="1"/>
  <c r="I582" i="15"/>
  <c r="H582" i="15"/>
  <c r="H581" i="15"/>
  <c r="E581" i="15"/>
  <c r="J581" i="15" s="1"/>
  <c r="H580" i="15"/>
  <c r="E580" i="15"/>
  <c r="J580" i="15" s="1"/>
  <c r="J579" i="15"/>
  <c r="I579" i="15"/>
  <c r="K579" i="15" s="1"/>
  <c r="H579" i="15"/>
  <c r="J578" i="15"/>
  <c r="I578" i="15"/>
  <c r="K578" i="15" s="1"/>
  <c r="H578" i="15"/>
  <c r="J577" i="15"/>
  <c r="I577" i="15"/>
  <c r="H577" i="15"/>
  <c r="J576" i="15"/>
  <c r="F576" i="15"/>
  <c r="H576" i="15" s="1"/>
  <c r="J575" i="15"/>
  <c r="I575" i="15"/>
  <c r="H575" i="15"/>
  <c r="J574" i="15"/>
  <c r="F574" i="15"/>
  <c r="I574" i="15" s="1"/>
  <c r="J573" i="15"/>
  <c r="F573" i="15"/>
  <c r="I573" i="15" s="1"/>
  <c r="J572" i="15"/>
  <c r="I572" i="15"/>
  <c r="F572" i="15"/>
  <c r="H572" i="15" s="1"/>
  <c r="J571" i="15"/>
  <c r="F571" i="15"/>
  <c r="I571" i="15" s="1"/>
  <c r="K571" i="15" s="1"/>
  <c r="J570" i="15"/>
  <c r="I570" i="15"/>
  <c r="H570" i="15"/>
  <c r="J569" i="15"/>
  <c r="I569" i="15"/>
  <c r="H569" i="15"/>
  <c r="J568" i="15"/>
  <c r="I568" i="15"/>
  <c r="H568" i="15"/>
  <c r="J567" i="15"/>
  <c r="I567" i="15"/>
  <c r="H567" i="15"/>
  <c r="J566" i="15"/>
  <c r="F566" i="15"/>
  <c r="J565" i="15"/>
  <c r="I565" i="15"/>
  <c r="H565" i="15"/>
  <c r="H564" i="15"/>
  <c r="E564" i="15"/>
  <c r="J564" i="15" s="1"/>
  <c r="I563" i="15"/>
  <c r="H563" i="15"/>
  <c r="E563" i="15"/>
  <c r="J563" i="15" s="1"/>
  <c r="H562" i="15"/>
  <c r="H561" i="15"/>
  <c r="E561" i="15"/>
  <c r="J560" i="15"/>
  <c r="I560" i="15"/>
  <c r="H560" i="15"/>
  <c r="H559" i="15"/>
  <c r="H558" i="15"/>
  <c r="E558" i="15"/>
  <c r="E559" i="15" s="1"/>
  <c r="I559" i="15" s="1"/>
  <c r="J557" i="15"/>
  <c r="I557" i="15"/>
  <c r="H557" i="15"/>
  <c r="J556" i="15"/>
  <c r="I556" i="15"/>
  <c r="H556" i="15"/>
  <c r="H555" i="15"/>
  <c r="H554" i="15"/>
  <c r="E554" i="15"/>
  <c r="E555" i="15" s="1"/>
  <c r="H553" i="15"/>
  <c r="E553" i="15"/>
  <c r="J553" i="15" s="1"/>
  <c r="H552" i="15"/>
  <c r="H551" i="15"/>
  <c r="E551" i="15"/>
  <c r="H550" i="15"/>
  <c r="H549" i="15"/>
  <c r="E549" i="15"/>
  <c r="J549" i="15" s="1"/>
  <c r="H548" i="15"/>
  <c r="E548" i="15"/>
  <c r="I548" i="15" s="1"/>
  <c r="H547" i="15"/>
  <c r="E547" i="15"/>
  <c r="J547" i="15" s="1"/>
  <c r="H546" i="15"/>
  <c r="H545" i="15"/>
  <c r="E545" i="15"/>
  <c r="J544" i="15"/>
  <c r="K544" i="15" s="1"/>
  <c r="I544" i="15"/>
  <c r="H544" i="15"/>
  <c r="J543" i="15"/>
  <c r="I543" i="15"/>
  <c r="H543" i="15"/>
  <c r="J542" i="15"/>
  <c r="I542" i="15"/>
  <c r="K542" i="15" s="1"/>
  <c r="H542" i="15"/>
  <c r="H541" i="15"/>
  <c r="E541" i="15"/>
  <c r="I541" i="15" s="1"/>
  <c r="J540" i="15"/>
  <c r="I540" i="15"/>
  <c r="H540" i="15"/>
  <c r="J539" i="15"/>
  <c r="I539" i="15"/>
  <c r="H539" i="15"/>
  <c r="J538" i="15"/>
  <c r="I538" i="15"/>
  <c r="H538" i="15"/>
  <c r="H537" i="15"/>
  <c r="E537" i="15"/>
  <c r="J537" i="15" s="1"/>
  <c r="H536" i="15"/>
  <c r="E536" i="15"/>
  <c r="J535" i="15"/>
  <c r="I535" i="15"/>
  <c r="H535" i="15"/>
  <c r="J534" i="15"/>
  <c r="I534" i="15"/>
  <c r="H534" i="15"/>
  <c r="J533" i="15"/>
  <c r="I533" i="15"/>
  <c r="H533" i="15"/>
  <c r="J532" i="15"/>
  <c r="H532" i="15"/>
  <c r="F532" i="15"/>
  <c r="I532" i="15" s="1"/>
  <c r="J531" i="15"/>
  <c r="I531" i="15"/>
  <c r="H531" i="15"/>
  <c r="J530" i="15"/>
  <c r="F530" i="15"/>
  <c r="J529" i="15"/>
  <c r="F529" i="15"/>
  <c r="I529" i="15" s="1"/>
  <c r="J528" i="15"/>
  <c r="I528" i="15"/>
  <c r="H528" i="15"/>
  <c r="J527" i="15"/>
  <c r="I527" i="15"/>
  <c r="H527" i="15"/>
  <c r="J526" i="15"/>
  <c r="I526" i="15"/>
  <c r="H526" i="15"/>
  <c r="J525" i="15"/>
  <c r="I525" i="15"/>
  <c r="H525" i="15"/>
  <c r="J524" i="15"/>
  <c r="F524" i="15"/>
  <c r="J523" i="15"/>
  <c r="I523" i="15"/>
  <c r="H523" i="15"/>
  <c r="J522" i="15"/>
  <c r="H522" i="15"/>
  <c r="E522" i="15"/>
  <c r="I522" i="15" s="1"/>
  <c r="H521" i="15"/>
  <c r="E521" i="15"/>
  <c r="H520" i="15"/>
  <c r="H519" i="15"/>
  <c r="E519" i="15"/>
  <c r="E520" i="15" s="1"/>
  <c r="J518" i="15"/>
  <c r="I518" i="15"/>
  <c r="H518" i="15"/>
  <c r="H517" i="15"/>
  <c r="J516" i="15"/>
  <c r="H516" i="15"/>
  <c r="E516" i="15"/>
  <c r="I516" i="15" s="1"/>
  <c r="J515" i="15"/>
  <c r="I515" i="15"/>
  <c r="H515" i="15"/>
  <c r="J514" i="15"/>
  <c r="K514" i="15" s="1"/>
  <c r="I514" i="15"/>
  <c r="H514" i="15"/>
  <c r="H513" i="15"/>
  <c r="H512" i="15"/>
  <c r="E512" i="15"/>
  <c r="I512" i="15" s="1"/>
  <c r="H511" i="15"/>
  <c r="E511" i="15"/>
  <c r="H510" i="15"/>
  <c r="H509" i="15"/>
  <c r="E509" i="15"/>
  <c r="J509" i="15" s="1"/>
  <c r="H508" i="15"/>
  <c r="H507" i="15"/>
  <c r="E507" i="15"/>
  <c r="J506" i="15"/>
  <c r="E506" i="15"/>
  <c r="H505" i="15"/>
  <c r="E505" i="15"/>
  <c r="H504" i="15"/>
  <c r="H503" i="15"/>
  <c r="E503" i="15"/>
  <c r="J502" i="15"/>
  <c r="I502" i="15"/>
  <c r="H502" i="15"/>
  <c r="H501" i="15"/>
  <c r="E501" i="15"/>
  <c r="J500" i="15"/>
  <c r="I500" i="15"/>
  <c r="H500" i="15"/>
  <c r="H499" i="15"/>
  <c r="E499" i="15"/>
  <c r="J499" i="15" s="1"/>
  <c r="J498" i="15"/>
  <c r="I498" i="15"/>
  <c r="H498" i="15"/>
  <c r="J497" i="15"/>
  <c r="I497" i="15"/>
  <c r="K497" i="15" s="1"/>
  <c r="H497" i="15"/>
  <c r="J496" i="15"/>
  <c r="I496" i="15"/>
  <c r="H496" i="15"/>
  <c r="H495" i="15"/>
  <c r="E495" i="15"/>
  <c r="J495" i="15" s="1"/>
  <c r="I494" i="15"/>
  <c r="H494" i="15"/>
  <c r="E494" i="15"/>
  <c r="J494" i="15" s="1"/>
  <c r="J493" i="15"/>
  <c r="I493" i="15"/>
  <c r="H493" i="15"/>
  <c r="J492" i="15"/>
  <c r="I492" i="15"/>
  <c r="H492" i="15"/>
  <c r="J491" i="15"/>
  <c r="I491" i="15"/>
  <c r="H491" i="15"/>
  <c r="J490" i="15"/>
  <c r="F490" i="15"/>
  <c r="I490" i="15" s="1"/>
  <c r="K490" i="15" s="1"/>
  <c r="J489" i="15"/>
  <c r="I489" i="15"/>
  <c r="K489" i="15" s="1"/>
  <c r="H489" i="15"/>
  <c r="J488" i="15"/>
  <c r="F488" i="15"/>
  <c r="I488" i="15" s="1"/>
  <c r="J487" i="15"/>
  <c r="F487" i="15"/>
  <c r="I487" i="15" s="1"/>
  <c r="J486" i="15"/>
  <c r="F486" i="15"/>
  <c r="I486" i="15" s="1"/>
  <c r="J485" i="15"/>
  <c r="I485" i="15"/>
  <c r="H485" i="15"/>
  <c r="J484" i="15"/>
  <c r="I484" i="15"/>
  <c r="H484" i="15"/>
  <c r="J483" i="15"/>
  <c r="I483" i="15"/>
  <c r="H483" i="15"/>
  <c r="J482" i="15"/>
  <c r="I482" i="15"/>
  <c r="H482" i="15"/>
  <c r="J481" i="15"/>
  <c r="F481" i="15"/>
  <c r="I481" i="15" s="1"/>
  <c r="K481" i="15" s="1"/>
  <c r="J480" i="15"/>
  <c r="I480" i="15"/>
  <c r="H480" i="15"/>
  <c r="H479" i="15"/>
  <c r="E479" i="15"/>
  <c r="H478" i="15"/>
  <c r="E478" i="15"/>
  <c r="I478" i="15" s="1"/>
  <c r="H477" i="15"/>
  <c r="H476" i="15"/>
  <c r="E476" i="15"/>
  <c r="J475" i="15"/>
  <c r="I475" i="15"/>
  <c r="H475" i="15"/>
  <c r="H474" i="15"/>
  <c r="H473" i="15"/>
  <c r="E473" i="15"/>
  <c r="J472" i="15"/>
  <c r="I472" i="15"/>
  <c r="H472" i="15"/>
  <c r="J471" i="15"/>
  <c r="I471" i="15"/>
  <c r="H471" i="15"/>
  <c r="H470" i="15"/>
  <c r="H469" i="15"/>
  <c r="E469" i="15"/>
  <c r="I469" i="15" s="1"/>
  <c r="I468" i="15"/>
  <c r="K468" i="15" s="1"/>
  <c r="H468" i="15"/>
  <c r="E468" i="15"/>
  <c r="J468" i="15" s="1"/>
  <c r="H467" i="15"/>
  <c r="H466" i="15"/>
  <c r="E466" i="15"/>
  <c r="H465" i="15"/>
  <c r="I464" i="15"/>
  <c r="H464" i="15"/>
  <c r="E464" i="15"/>
  <c r="E465" i="15" s="1"/>
  <c r="H463" i="15"/>
  <c r="E463" i="15"/>
  <c r="J463" i="15" s="1"/>
  <c r="H462" i="15"/>
  <c r="E462" i="15"/>
  <c r="H461" i="15"/>
  <c r="E461" i="15"/>
  <c r="J460" i="15"/>
  <c r="I460" i="15"/>
  <c r="H460" i="15"/>
  <c r="E460" i="15"/>
  <c r="J459" i="15"/>
  <c r="I459" i="15"/>
  <c r="K459" i="15" s="1"/>
  <c r="H459" i="15"/>
  <c r="I458" i="15"/>
  <c r="H458" i="15"/>
  <c r="E458" i="15"/>
  <c r="J458" i="15" s="1"/>
  <c r="H457" i="15"/>
  <c r="E457" i="15"/>
  <c r="J456" i="15"/>
  <c r="I456" i="15"/>
  <c r="K456" i="15" s="1"/>
  <c r="H456" i="15"/>
  <c r="J455" i="15"/>
  <c r="I455" i="15"/>
  <c r="H455" i="15"/>
  <c r="J454" i="15"/>
  <c r="I454" i="15"/>
  <c r="K454" i="15" s="1"/>
  <c r="H454" i="15"/>
  <c r="J453" i="15"/>
  <c r="I453" i="15"/>
  <c r="H453" i="15"/>
  <c r="J452" i="15"/>
  <c r="I452" i="15"/>
  <c r="H452" i="15"/>
  <c r="J451" i="15"/>
  <c r="I451" i="15"/>
  <c r="H451" i="15"/>
  <c r="J450" i="15"/>
  <c r="I450" i="15"/>
  <c r="H450" i="15"/>
  <c r="J449" i="15"/>
  <c r="I449" i="15"/>
  <c r="H449" i="15"/>
  <c r="H448" i="15"/>
  <c r="E448" i="15"/>
  <c r="J448" i="15" s="1"/>
  <c r="J447" i="15"/>
  <c r="H447" i="15"/>
  <c r="E447" i="15"/>
  <c r="I447" i="15" s="1"/>
  <c r="J446" i="15"/>
  <c r="I446" i="15"/>
  <c r="H446" i="15"/>
  <c r="J445" i="15"/>
  <c r="I445" i="15"/>
  <c r="H445" i="15"/>
  <c r="J444" i="15"/>
  <c r="I444" i="15"/>
  <c r="H444" i="15"/>
  <c r="J443" i="15"/>
  <c r="F443" i="15"/>
  <c r="I443" i="15" s="1"/>
  <c r="J442" i="15"/>
  <c r="I442" i="15"/>
  <c r="H442" i="15"/>
  <c r="J441" i="15"/>
  <c r="F441" i="15"/>
  <c r="I441" i="15" s="1"/>
  <c r="J440" i="15"/>
  <c r="F440" i="15"/>
  <c r="I440" i="15" s="1"/>
  <c r="K440" i="15" s="1"/>
  <c r="J439" i="15"/>
  <c r="F439" i="15"/>
  <c r="J438" i="15"/>
  <c r="I438" i="15"/>
  <c r="H438" i="15"/>
  <c r="J437" i="15"/>
  <c r="I437" i="15"/>
  <c r="H437" i="15"/>
  <c r="J436" i="15"/>
  <c r="I436" i="15"/>
  <c r="H436" i="15"/>
  <c r="J435" i="15"/>
  <c r="I435" i="15"/>
  <c r="H435" i="15"/>
  <c r="J434" i="15"/>
  <c r="F434" i="15"/>
  <c r="I434" i="15" s="1"/>
  <c r="K434" i="15" s="1"/>
  <c r="J433" i="15"/>
  <c r="I433" i="15"/>
  <c r="H433" i="15"/>
  <c r="H432" i="15"/>
  <c r="E432" i="15"/>
  <c r="J432" i="15" s="1"/>
  <c r="H431" i="15"/>
  <c r="E431" i="15"/>
  <c r="H430" i="15"/>
  <c r="H429" i="15"/>
  <c r="H428" i="15"/>
  <c r="E428" i="15"/>
  <c r="E429" i="15" s="1"/>
  <c r="H427" i="15"/>
  <c r="H426" i="15"/>
  <c r="E426" i="15"/>
  <c r="J425" i="15"/>
  <c r="I425" i="15"/>
  <c r="H425" i="15"/>
  <c r="J424" i="15"/>
  <c r="I424" i="15"/>
  <c r="H424" i="15"/>
  <c r="H423" i="15"/>
  <c r="H422" i="15"/>
  <c r="E422" i="15"/>
  <c r="I422" i="15" s="1"/>
  <c r="H421" i="15"/>
  <c r="E421" i="15"/>
  <c r="J421" i="15" s="1"/>
  <c r="H420" i="15"/>
  <c r="H419" i="15"/>
  <c r="E419" i="15"/>
  <c r="H418" i="15"/>
  <c r="H417" i="15"/>
  <c r="E417" i="15"/>
  <c r="E418" i="15" s="1"/>
  <c r="E416" i="15"/>
  <c r="J416" i="15" s="1"/>
  <c r="H415" i="15"/>
  <c r="E415" i="15"/>
  <c r="J415" i="15" s="1"/>
  <c r="H414" i="15"/>
  <c r="H413" i="15"/>
  <c r="E413" i="15"/>
  <c r="E414" i="15" s="1"/>
  <c r="J412" i="15"/>
  <c r="I412" i="15"/>
  <c r="H412" i="15"/>
  <c r="J411" i="15"/>
  <c r="I411" i="15"/>
  <c r="H411" i="15"/>
  <c r="J410" i="15"/>
  <c r="I410" i="15"/>
  <c r="H410" i="15"/>
  <c r="J409" i="15"/>
  <c r="I409" i="15"/>
  <c r="H409" i="15"/>
  <c r="J408" i="15"/>
  <c r="I408" i="15"/>
  <c r="H408" i="15"/>
  <c r="J407" i="15"/>
  <c r="I407" i="15"/>
  <c r="K407" i="15" s="1"/>
  <c r="H407" i="15"/>
  <c r="J406" i="15"/>
  <c r="I406" i="15"/>
  <c r="H406" i="15"/>
  <c r="H405" i="15"/>
  <c r="E405" i="15"/>
  <c r="H404" i="15"/>
  <c r="E404" i="15"/>
  <c r="J403" i="15"/>
  <c r="I403" i="15"/>
  <c r="K403" i="15" s="1"/>
  <c r="H403" i="15"/>
  <c r="J402" i="15"/>
  <c r="F402" i="15"/>
  <c r="J401" i="15"/>
  <c r="I401" i="15"/>
  <c r="H401" i="15"/>
  <c r="J400" i="15"/>
  <c r="F400" i="15"/>
  <c r="I400" i="15" s="1"/>
  <c r="K400" i="15" s="1"/>
  <c r="J399" i="15"/>
  <c r="I399" i="15"/>
  <c r="H399" i="15"/>
  <c r="J398" i="15"/>
  <c r="I398" i="15"/>
  <c r="H398" i="15"/>
  <c r="J397" i="15"/>
  <c r="I397" i="15"/>
  <c r="H397" i="15"/>
  <c r="J396" i="15"/>
  <c r="I396" i="15"/>
  <c r="H396" i="15"/>
  <c r="J395" i="15"/>
  <c r="F395" i="15"/>
  <c r="I395" i="15" s="1"/>
  <c r="J394" i="15"/>
  <c r="I394" i="15"/>
  <c r="H394" i="15"/>
  <c r="H393" i="15"/>
  <c r="H392" i="15"/>
  <c r="E392" i="15"/>
  <c r="J392" i="15" s="1"/>
  <c r="H391" i="15"/>
  <c r="H390" i="15"/>
  <c r="H389" i="15"/>
  <c r="E389" i="15"/>
  <c r="H388" i="15"/>
  <c r="H387" i="15"/>
  <c r="E387" i="15"/>
  <c r="E388" i="15" s="1"/>
  <c r="J386" i="15"/>
  <c r="I386" i="15"/>
  <c r="H386" i="15"/>
  <c r="J385" i="15"/>
  <c r="I385" i="15"/>
  <c r="H385" i="15"/>
  <c r="H384" i="15"/>
  <c r="I383" i="15"/>
  <c r="H383" i="15"/>
  <c r="E383" i="15"/>
  <c r="E384" i="15" s="1"/>
  <c r="H382" i="15"/>
  <c r="E382" i="15"/>
  <c r="H381" i="15"/>
  <c r="H380" i="15"/>
  <c r="E380" i="15"/>
  <c r="H379" i="15"/>
  <c r="H378" i="15"/>
  <c r="E378" i="15"/>
  <c r="E377" i="15"/>
  <c r="J377" i="15" s="1"/>
  <c r="H376" i="15"/>
  <c r="E376" i="15"/>
  <c r="H375" i="15"/>
  <c r="H374" i="15"/>
  <c r="E374" i="15"/>
  <c r="E375" i="15" s="1"/>
  <c r="J373" i="15"/>
  <c r="I373" i="15"/>
  <c r="H373" i="15"/>
  <c r="J372" i="15"/>
  <c r="I372" i="15"/>
  <c r="H372" i="15"/>
  <c r="J371" i="15"/>
  <c r="I371" i="15"/>
  <c r="H371" i="15"/>
  <c r="J370" i="15"/>
  <c r="I370" i="15"/>
  <c r="H370" i="15"/>
  <c r="J369" i="15"/>
  <c r="I369" i="15"/>
  <c r="H369" i="15"/>
  <c r="J368" i="15"/>
  <c r="I368" i="15"/>
  <c r="H368" i="15"/>
  <c r="J367" i="15"/>
  <c r="I367" i="15"/>
  <c r="H367" i="15"/>
  <c r="H366" i="15"/>
  <c r="E366" i="15"/>
  <c r="I366" i="15" s="1"/>
  <c r="H365" i="15"/>
  <c r="E365" i="15"/>
  <c r="J364" i="15"/>
  <c r="I364" i="15"/>
  <c r="H364" i="15"/>
  <c r="J363" i="15"/>
  <c r="I363" i="15"/>
  <c r="H363" i="15"/>
  <c r="J362" i="15"/>
  <c r="I362" i="15"/>
  <c r="H362" i="15"/>
  <c r="J361" i="15"/>
  <c r="F361" i="15"/>
  <c r="I361" i="15" s="1"/>
  <c r="J360" i="15"/>
  <c r="I360" i="15"/>
  <c r="H360" i="15"/>
  <c r="J359" i="15"/>
  <c r="F359" i="15"/>
  <c r="H359" i="15" s="1"/>
  <c r="J358" i="15"/>
  <c r="I358" i="15"/>
  <c r="K358" i="15" s="1"/>
  <c r="F358" i="15"/>
  <c r="H358" i="15" s="1"/>
  <c r="J357" i="15"/>
  <c r="F357" i="15"/>
  <c r="H357" i="15" s="1"/>
  <c r="J356" i="15"/>
  <c r="I356" i="15"/>
  <c r="H356" i="15"/>
  <c r="J355" i="15"/>
  <c r="I355" i="15"/>
  <c r="H355" i="15"/>
  <c r="J354" i="15"/>
  <c r="I354" i="15"/>
  <c r="H354" i="15"/>
  <c r="J353" i="15"/>
  <c r="I353" i="15"/>
  <c r="K353" i="15" s="1"/>
  <c r="H353" i="15"/>
  <c r="J352" i="15"/>
  <c r="F352" i="15"/>
  <c r="H352" i="15" s="1"/>
  <c r="J351" i="15"/>
  <c r="I351" i="15"/>
  <c r="H351" i="15"/>
  <c r="H350" i="15"/>
  <c r="H349" i="15"/>
  <c r="E349" i="15"/>
  <c r="H348" i="15"/>
  <c r="H347" i="15"/>
  <c r="H346" i="15"/>
  <c r="E346" i="15"/>
  <c r="I346" i="15" s="1"/>
  <c r="J345" i="15"/>
  <c r="I345" i="15"/>
  <c r="H345" i="15"/>
  <c r="J344" i="15"/>
  <c r="I344" i="15"/>
  <c r="H344" i="15"/>
  <c r="J343" i="15"/>
  <c r="I343" i="15"/>
  <c r="H343" i="15"/>
  <c r="H342" i="15"/>
  <c r="H341" i="15"/>
  <c r="E341" i="15"/>
  <c r="H340" i="15"/>
  <c r="E340" i="15"/>
  <c r="J340" i="15" s="1"/>
  <c r="H339" i="15"/>
  <c r="H338" i="15"/>
  <c r="E338" i="15"/>
  <c r="H337" i="15"/>
  <c r="H336" i="15"/>
  <c r="E336" i="15"/>
  <c r="H335" i="15"/>
  <c r="E335" i="15"/>
  <c r="I335" i="15" s="1"/>
  <c r="H334" i="15"/>
  <c r="E334" i="15"/>
  <c r="J334" i="15" s="1"/>
  <c r="H333" i="15"/>
  <c r="H332" i="15"/>
  <c r="E332" i="15"/>
  <c r="J332" i="15" s="1"/>
  <c r="J331" i="15"/>
  <c r="I331" i="15"/>
  <c r="H331" i="15"/>
  <c r="J330" i="15"/>
  <c r="I330" i="15"/>
  <c r="H330" i="15"/>
  <c r="J329" i="15"/>
  <c r="I329" i="15"/>
  <c r="K329" i="15" s="1"/>
  <c r="H329" i="15"/>
  <c r="J328" i="15"/>
  <c r="I328" i="15"/>
  <c r="K328" i="15" s="1"/>
  <c r="H328" i="15"/>
  <c r="J327" i="15"/>
  <c r="I327" i="15"/>
  <c r="H327" i="15"/>
  <c r="J326" i="15"/>
  <c r="I326" i="15"/>
  <c r="H326" i="15"/>
  <c r="J325" i="15"/>
  <c r="I325" i="15"/>
  <c r="H325" i="15"/>
  <c r="H324" i="15"/>
  <c r="E324" i="15"/>
  <c r="I324" i="15" s="1"/>
  <c r="H323" i="15"/>
  <c r="E323" i="15"/>
  <c r="J322" i="15"/>
  <c r="I322" i="15"/>
  <c r="H322" i="15"/>
  <c r="J321" i="15"/>
  <c r="I321" i="15"/>
  <c r="K321" i="15" s="1"/>
  <c r="H321" i="15"/>
  <c r="J320" i="15"/>
  <c r="I320" i="15"/>
  <c r="H320" i="15"/>
  <c r="J319" i="15"/>
  <c r="F319" i="15"/>
  <c r="I319" i="15" s="1"/>
  <c r="J318" i="15"/>
  <c r="I318" i="15"/>
  <c r="H318" i="15"/>
  <c r="J317" i="15"/>
  <c r="F317" i="15"/>
  <c r="I317" i="15" s="1"/>
  <c r="J316" i="15"/>
  <c r="I316" i="15"/>
  <c r="H316" i="15"/>
  <c r="J315" i="15"/>
  <c r="I315" i="15"/>
  <c r="K315" i="15" s="1"/>
  <c r="H315" i="15"/>
  <c r="J314" i="15"/>
  <c r="K314" i="15" s="1"/>
  <c r="I314" i="15"/>
  <c r="H314" i="15"/>
  <c r="J313" i="15"/>
  <c r="I313" i="15"/>
  <c r="H313" i="15"/>
  <c r="J312" i="15"/>
  <c r="F312" i="15"/>
  <c r="I312" i="15" s="1"/>
  <c r="K312" i="15" s="1"/>
  <c r="J311" i="15"/>
  <c r="I311" i="15"/>
  <c r="H311" i="15"/>
  <c r="H310" i="15"/>
  <c r="H309" i="15"/>
  <c r="E309" i="15"/>
  <c r="J309" i="15" s="1"/>
  <c r="H308" i="15"/>
  <c r="H307" i="15"/>
  <c r="H306" i="15"/>
  <c r="E306" i="15"/>
  <c r="J306" i="15" s="1"/>
  <c r="H305" i="15"/>
  <c r="H304" i="15"/>
  <c r="E304" i="15"/>
  <c r="J304" i="15" s="1"/>
  <c r="J303" i="15"/>
  <c r="I303" i="15"/>
  <c r="H303" i="15"/>
  <c r="J302" i="15"/>
  <c r="I302" i="15"/>
  <c r="H302" i="15"/>
  <c r="H301" i="15"/>
  <c r="H300" i="15"/>
  <c r="E300" i="15"/>
  <c r="J300" i="15" s="1"/>
  <c r="H299" i="15"/>
  <c r="E299" i="15"/>
  <c r="J299" i="15" s="1"/>
  <c r="H298" i="15"/>
  <c r="H297" i="15"/>
  <c r="E297" i="15"/>
  <c r="H296" i="15"/>
  <c r="H295" i="15"/>
  <c r="E295" i="15"/>
  <c r="J295" i="15" s="1"/>
  <c r="E294" i="15"/>
  <c r="J294" i="15" s="1"/>
  <c r="H293" i="15"/>
  <c r="E293" i="15"/>
  <c r="J293" i="15" s="1"/>
  <c r="H292" i="15"/>
  <c r="H291" i="15"/>
  <c r="E291" i="15"/>
  <c r="J291" i="15" s="1"/>
  <c r="J290" i="15"/>
  <c r="I290" i="15"/>
  <c r="H290" i="15"/>
  <c r="J289" i="15"/>
  <c r="I289" i="15"/>
  <c r="H289" i="15"/>
  <c r="H288" i="15"/>
  <c r="E288" i="15"/>
  <c r="I288" i="15" s="1"/>
  <c r="J287" i="15"/>
  <c r="I287" i="15"/>
  <c r="H287" i="15"/>
  <c r="J286" i="15"/>
  <c r="I286" i="15"/>
  <c r="H286" i="15"/>
  <c r="J285" i="15"/>
  <c r="I285" i="15"/>
  <c r="H285" i="15"/>
  <c r="J284" i="15"/>
  <c r="I284" i="15"/>
  <c r="H284" i="15"/>
  <c r="I283" i="15"/>
  <c r="H283" i="15"/>
  <c r="E283" i="15"/>
  <c r="J283" i="15" s="1"/>
  <c r="J282" i="15"/>
  <c r="I282" i="15"/>
  <c r="H282" i="15"/>
  <c r="J281" i="15"/>
  <c r="I281" i="15"/>
  <c r="H281" i="15"/>
  <c r="J280" i="15"/>
  <c r="I280" i="15"/>
  <c r="H280" i="15"/>
  <c r="J279" i="15"/>
  <c r="I279" i="15"/>
  <c r="H279" i="15"/>
  <c r="J278" i="15"/>
  <c r="I278" i="15"/>
  <c r="H278" i="15"/>
  <c r="J277" i="15"/>
  <c r="I277" i="15"/>
  <c r="H277" i="15"/>
  <c r="J276" i="15"/>
  <c r="F276" i="15"/>
  <c r="J275" i="15"/>
  <c r="K275" i="15" s="1"/>
  <c r="I275" i="15"/>
  <c r="H275" i="15"/>
  <c r="J274" i="15"/>
  <c r="I274" i="15"/>
  <c r="K274" i="15" s="1"/>
  <c r="H274" i="15"/>
  <c r="J273" i="15"/>
  <c r="I273" i="15"/>
  <c r="K273" i="15" s="1"/>
  <c r="H273" i="15"/>
  <c r="F273" i="15"/>
  <c r="J272" i="15"/>
  <c r="I272" i="15"/>
  <c r="K272" i="15" s="1"/>
  <c r="H272" i="15"/>
  <c r="J271" i="15"/>
  <c r="I271" i="15"/>
  <c r="H271" i="15"/>
  <c r="J270" i="15"/>
  <c r="I270" i="15"/>
  <c r="H270" i="15"/>
  <c r="J269" i="15"/>
  <c r="I269" i="15"/>
  <c r="H269" i="15"/>
  <c r="J268" i="15"/>
  <c r="F268" i="15"/>
  <c r="J267" i="15"/>
  <c r="I267" i="15"/>
  <c r="H267" i="15"/>
  <c r="H266" i="15"/>
  <c r="H265" i="15"/>
  <c r="E265" i="15"/>
  <c r="H264" i="15"/>
  <c r="H263" i="15"/>
  <c r="E263" i="15"/>
  <c r="H262" i="15"/>
  <c r="E262" i="15"/>
  <c r="I262" i="15" s="1"/>
  <c r="H261" i="15"/>
  <c r="H260" i="15"/>
  <c r="E260" i="15"/>
  <c r="E261" i="15" s="1"/>
  <c r="J259" i="15"/>
  <c r="I259" i="15"/>
  <c r="H259" i="15"/>
  <c r="J258" i="15"/>
  <c r="I258" i="15"/>
  <c r="H258" i="15"/>
  <c r="H257" i="15"/>
  <c r="H256" i="15"/>
  <c r="E256" i="15"/>
  <c r="H255" i="15"/>
  <c r="E255" i="15"/>
  <c r="H254" i="15"/>
  <c r="H253" i="15"/>
  <c r="E253" i="15"/>
  <c r="E254" i="15" s="1"/>
  <c r="H252" i="15"/>
  <c r="H251" i="15"/>
  <c r="E251" i="15"/>
  <c r="I251" i="15" s="1"/>
  <c r="E250" i="15"/>
  <c r="J250" i="15" s="1"/>
  <c r="H249" i="15"/>
  <c r="E249" i="15"/>
  <c r="J249" i="15" s="1"/>
  <c r="H248" i="15"/>
  <c r="H247" i="15"/>
  <c r="E247" i="15"/>
  <c r="J246" i="15"/>
  <c r="K246" i="15" s="1"/>
  <c r="I246" i="15"/>
  <c r="H246" i="15"/>
  <c r="J245" i="15"/>
  <c r="I245" i="15"/>
  <c r="H245" i="15"/>
  <c r="J244" i="15"/>
  <c r="I244" i="15"/>
  <c r="K244" i="15" s="1"/>
  <c r="H244" i="15"/>
  <c r="J243" i="15"/>
  <c r="I243" i="15"/>
  <c r="K243" i="15" s="1"/>
  <c r="H243" i="15"/>
  <c r="J242" i="15"/>
  <c r="I242" i="15"/>
  <c r="H242" i="15"/>
  <c r="J241" i="15"/>
  <c r="K241" i="15" s="1"/>
  <c r="I241" i="15"/>
  <c r="H241" i="15"/>
  <c r="J240" i="15"/>
  <c r="K240" i="15" s="1"/>
  <c r="I240" i="15"/>
  <c r="H240" i="15"/>
  <c r="H239" i="15"/>
  <c r="E239" i="15"/>
  <c r="J239" i="15" s="1"/>
  <c r="H238" i="15"/>
  <c r="E238" i="15"/>
  <c r="J238" i="15" s="1"/>
  <c r="J237" i="15"/>
  <c r="I237" i="15"/>
  <c r="H237" i="15"/>
  <c r="J236" i="15"/>
  <c r="I236" i="15"/>
  <c r="H236" i="15"/>
  <c r="J235" i="15"/>
  <c r="I235" i="15"/>
  <c r="H235" i="15"/>
  <c r="J234" i="15"/>
  <c r="F234" i="15"/>
  <c r="I234" i="15" s="1"/>
  <c r="J233" i="15"/>
  <c r="I233" i="15"/>
  <c r="H233" i="15"/>
  <c r="J232" i="15"/>
  <c r="F232" i="15"/>
  <c r="I232" i="15" s="1"/>
  <c r="J231" i="15"/>
  <c r="I231" i="15"/>
  <c r="H231" i="15"/>
  <c r="H230" i="15"/>
  <c r="E230" i="15"/>
  <c r="I230" i="15" s="1"/>
  <c r="J229" i="15"/>
  <c r="I229" i="15"/>
  <c r="H229" i="15"/>
  <c r="H228" i="15"/>
  <c r="E228" i="15"/>
  <c r="J228" i="15" s="1"/>
  <c r="J227" i="15"/>
  <c r="F227" i="15"/>
  <c r="J226" i="15"/>
  <c r="I226" i="15"/>
  <c r="H226" i="15"/>
  <c r="H225" i="15"/>
  <c r="H224" i="15"/>
  <c r="E224" i="15"/>
  <c r="H223" i="15"/>
  <c r="H222" i="15"/>
  <c r="H221" i="15"/>
  <c r="E221" i="15"/>
  <c r="I221" i="15" s="1"/>
  <c r="H220" i="15"/>
  <c r="J219" i="15"/>
  <c r="H219" i="15"/>
  <c r="E219" i="15"/>
  <c r="E220" i="15" s="1"/>
  <c r="J218" i="15"/>
  <c r="I218" i="15"/>
  <c r="H218" i="15"/>
  <c r="J217" i="15"/>
  <c r="I217" i="15"/>
  <c r="H217" i="15"/>
  <c r="H216" i="15"/>
  <c r="H215" i="15"/>
  <c r="E215" i="15"/>
  <c r="H214" i="15"/>
  <c r="E214" i="15"/>
  <c r="I214" i="15" s="1"/>
  <c r="H213" i="15"/>
  <c r="H212" i="15"/>
  <c r="E212" i="15"/>
  <c r="E213" i="15" s="1"/>
  <c r="H211" i="15"/>
  <c r="H210" i="15"/>
  <c r="E210" i="15"/>
  <c r="H209" i="15"/>
  <c r="E209" i="15"/>
  <c r="H208" i="15"/>
  <c r="E208" i="15"/>
  <c r="I208" i="15" s="1"/>
  <c r="H207" i="15"/>
  <c r="H206" i="15"/>
  <c r="E206" i="15"/>
  <c r="J205" i="15"/>
  <c r="I205" i="15"/>
  <c r="H205" i="15"/>
  <c r="J204" i="15"/>
  <c r="I204" i="15"/>
  <c r="H204" i="15"/>
  <c r="H203" i="15"/>
  <c r="E203" i="15"/>
  <c r="J202" i="15"/>
  <c r="I202" i="15"/>
  <c r="H202" i="15"/>
  <c r="J201" i="15"/>
  <c r="I201" i="15"/>
  <c r="H201" i="15"/>
  <c r="J200" i="15"/>
  <c r="I200" i="15"/>
  <c r="H200" i="15"/>
  <c r="J199" i="15"/>
  <c r="I199" i="15"/>
  <c r="H199" i="15"/>
  <c r="J198" i="15"/>
  <c r="I198" i="15"/>
  <c r="H198" i="15"/>
  <c r="J197" i="15"/>
  <c r="I197" i="15"/>
  <c r="H197" i="15"/>
  <c r="J196" i="15"/>
  <c r="I196" i="15"/>
  <c r="K196" i="15" s="1"/>
  <c r="H196" i="15"/>
  <c r="J195" i="15"/>
  <c r="I195" i="15"/>
  <c r="H195" i="15"/>
  <c r="H194" i="15"/>
  <c r="E194" i="15"/>
  <c r="I194" i="15" s="1"/>
  <c r="I193" i="15"/>
  <c r="H193" i="15"/>
  <c r="E193" i="15"/>
  <c r="J193" i="15" s="1"/>
  <c r="J192" i="15"/>
  <c r="I192" i="15"/>
  <c r="H192" i="15"/>
  <c r="J191" i="15"/>
  <c r="I191" i="15"/>
  <c r="H191" i="15"/>
  <c r="J190" i="15"/>
  <c r="I190" i="15"/>
  <c r="K190" i="15" s="1"/>
  <c r="H190" i="15"/>
  <c r="J189" i="15"/>
  <c r="F189" i="15"/>
  <c r="I189" i="15" s="1"/>
  <c r="K189" i="15" s="1"/>
  <c r="J188" i="15"/>
  <c r="I188" i="15"/>
  <c r="K188" i="15" s="1"/>
  <c r="H188" i="15"/>
  <c r="J187" i="15"/>
  <c r="I187" i="15"/>
  <c r="H187" i="15"/>
  <c r="J186" i="15"/>
  <c r="F186" i="15"/>
  <c r="H186" i="15" s="1"/>
  <c r="J185" i="15"/>
  <c r="K185" i="15" s="1"/>
  <c r="I185" i="15"/>
  <c r="H185" i="15"/>
  <c r="H184" i="15"/>
  <c r="E184" i="15"/>
  <c r="J184" i="15" s="1"/>
  <c r="J183" i="15"/>
  <c r="I183" i="15"/>
  <c r="H183" i="15"/>
  <c r="H182" i="15"/>
  <c r="E182" i="15"/>
  <c r="J182" i="15" s="1"/>
  <c r="J181" i="15"/>
  <c r="F181" i="15"/>
  <c r="H181" i="15" s="1"/>
  <c r="J180" i="15"/>
  <c r="K180" i="15" s="1"/>
  <c r="I180" i="15"/>
  <c r="H180" i="15"/>
  <c r="H179" i="15"/>
  <c r="H178" i="15"/>
  <c r="E178" i="15"/>
  <c r="I178" i="15" s="1"/>
  <c r="H177" i="15"/>
  <c r="H176" i="15"/>
  <c r="H175" i="15"/>
  <c r="E175" i="15"/>
  <c r="H174" i="15"/>
  <c r="H173" i="15"/>
  <c r="E173" i="15"/>
  <c r="J172" i="15"/>
  <c r="I172" i="15"/>
  <c r="H172" i="15"/>
  <c r="J171" i="15"/>
  <c r="I171" i="15"/>
  <c r="H171" i="15"/>
  <c r="H170" i="15"/>
  <c r="E170" i="15"/>
  <c r="J170" i="15" s="1"/>
  <c r="J169" i="15"/>
  <c r="I169" i="15"/>
  <c r="H169" i="15"/>
  <c r="H168" i="15"/>
  <c r="E168" i="15"/>
  <c r="J168" i="15" s="1"/>
  <c r="H167" i="15"/>
  <c r="H166" i="15"/>
  <c r="E166" i="15"/>
  <c r="J166" i="15" s="1"/>
  <c r="H165" i="15"/>
  <c r="H164" i="15"/>
  <c r="E164" i="15"/>
  <c r="J164" i="15" s="1"/>
  <c r="H163" i="15"/>
  <c r="E163" i="15"/>
  <c r="H162" i="15"/>
  <c r="E162" i="15"/>
  <c r="H161" i="15"/>
  <c r="H160" i="15"/>
  <c r="E160" i="15"/>
  <c r="J159" i="15"/>
  <c r="I159" i="15"/>
  <c r="H159" i="15"/>
  <c r="J158" i="15"/>
  <c r="I158" i="15"/>
  <c r="K158" i="15" s="1"/>
  <c r="H158" i="15"/>
  <c r="H157" i="15"/>
  <c r="E157" i="15"/>
  <c r="J157" i="15" s="1"/>
  <c r="J156" i="15"/>
  <c r="K156" i="15" s="1"/>
  <c r="I156" i="15"/>
  <c r="H156" i="15"/>
  <c r="J155" i="15"/>
  <c r="I155" i="15"/>
  <c r="K155" i="15" s="1"/>
  <c r="H155" i="15"/>
  <c r="J154" i="15"/>
  <c r="I154" i="15"/>
  <c r="H154" i="15"/>
  <c r="J153" i="15"/>
  <c r="I153" i="15"/>
  <c r="H153" i="15"/>
  <c r="J152" i="15"/>
  <c r="I152" i="15"/>
  <c r="H152" i="15"/>
  <c r="J151" i="15"/>
  <c r="I151" i="15"/>
  <c r="H151" i="15"/>
  <c r="J150" i="15"/>
  <c r="I150" i="15"/>
  <c r="H150" i="15"/>
  <c r="J149" i="15"/>
  <c r="I149" i="15"/>
  <c r="H149" i="15"/>
  <c r="H148" i="15"/>
  <c r="E148" i="15"/>
  <c r="J148" i="15" s="1"/>
  <c r="H147" i="15"/>
  <c r="E147" i="15"/>
  <c r="J146" i="15"/>
  <c r="I146" i="15"/>
  <c r="H146" i="15"/>
  <c r="J145" i="15"/>
  <c r="I145" i="15"/>
  <c r="H145" i="15"/>
  <c r="J144" i="15"/>
  <c r="I144" i="15"/>
  <c r="H144" i="15"/>
  <c r="J143" i="15"/>
  <c r="F143" i="15"/>
  <c r="H143" i="15" s="1"/>
  <c r="J142" i="15"/>
  <c r="I142" i="15"/>
  <c r="H142" i="15"/>
  <c r="J141" i="15"/>
  <c r="F141" i="15"/>
  <c r="J140" i="15"/>
  <c r="F140" i="15"/>
  <c r="J139" i="15"/>
  <c r="F139" i="15"/>
  <c r="I139" i="15" s="1"/>
  <c r="K139" i="15" s="1"/>
  <c r="J138" i="15"/>
  <c r="I138" i="15"/>
  <c r="H138" i="15"/>
  <c r="H137" i="15"/>
  <c r="E137" i="15"/>
  <c r="J137" i="15" s="1"/>
  <c r="J136" i="15"/>
  <c r="I136" i="15"/>
  <c r="H136" i="15"/>
  <c r="H135" i="15"/>
  <c r="E135" i="15"/>
  <c r="J135" i="15" s="1"/>
  <c r="J134" i="15"/>
  <c r="F134" i="15"/>
  <c r="J133" i="15"/>
  <c r="K133" i="15" s="1"/>
  <c r="I133" i="15"/>
  <c r="H133" i="15"/>
  <c r="H132" i="15"/>
  <c r="H131" i="15"/>
  <c r="E131" i="15"/>
  <c r="I131" i="15" s="1"/>
  <c r="H130" i="15"/>
  <c r="H129" i="15"/>
  <c r="H128" i="15"/>
  <c r="E128" i="15"/>
  <c r="H127" i="15"/>
  <c r="H126" i="15"/>
  <c r="E126" i="15"/>
  <c r="E127" i="15" s="1"/>
  <c r="I127" i="15" s="1"/>
  <c r="J125" i="15"/>
  <c r="I125" i="15"/>
  <c r="H125" i="15"/>
  <c r="J124" i="15"/>
  <c r="I124" i="15"/>
  <c r="H124" i="15"/>
  <c r="H123" i="15"/>
  <c r="E123" i="15"/>
  <c r="J123" i="15" s="1"/>
  <c r="J122" i="15"/>
  <c r="I122" i="15"/>
  <c r="H122" i="15"/>
  <c r="H121" i="15"/>
  <c r="E121" i="15"/>
  <c r="J121" i="15" s="1"/>
  <c r="H120" i="15"/>
  <c r="H119" i="15"/>
  <c r="E119" i="15"/>
  <c r="H118" i="15"/>
  <c r="H117" i="15"/>
  <c r="E117" i="15"/>
  <c r="H116" i="15"/>
  <c r="E116" i="15"/>
  <c r="J116" i="15" s="1"/>
  <c r="H115" i="15"/>
  <c r="E115" i="15"/>
  <c r="J115" i="15" s="1"/>
  <c r="H114" i="15"/>
  <c r="H113" i="15"/>
  <c r="E113" i="15"/>
  <c r="J113" i="15" s="1"/>
  <c r="J112" i="15"/>
  <c r="I112" i="15"/>
  <c r="K112" i="15" s="1"/>
  <c r="H112" i="15"/>
  <c r="J111" i="15"/>
  <c r="I111" i="15"/>
  <c r="K111" i="15" s="1"/>
  <c r="H111" i="15"/>
  <c r="H110" i="15"/>
  <c r="E110" i="15"/>
  <c r="J110" i="15" s="1"/>
  <c r="J109" i="15"/>
  <c r="I109" i="15"/>
  <c r="H109" i="15"/>
  <c r="J108" i="15"/>
  <c r="I108" i="15"/>
  <c r="H108" i="15"/>
  <c r="J107" i="15"/>
  <c r="I107" i="15"/>
  <c r="H107" i="15"/>
  <c r="J106" i="15"/>
  <c r="I106" i="15"/>
  <c r="H106" i="15"/>
  <c r="J105" i="15"/>
  <c r="I105" i="15"/>
  <c r="H105" i="15"/>
  <c r="J104" i="15"/>
  <c r="I104" i="15"/>
  <c r="K104" i="15" s="1"/>
  <c r="H104" i="15"/>
  <c r="J103" i="15"/>
  <c r="I103" i="15"/>
  <c r="H103" i="15"/>
  <c r="J102" i="15"/>
  <c r="I102" i="15"/>
  <c r="H102" i="15"/>
  <c r="H101" i="15"/>
  <c r="E101" i="15"/>
  <c r="H100" i="15"/>
  <c r="E100" i="15"/>
  <c r="J100" i="15" s="1"/>
  <c r="J99" i="15"/>
  <c r="K99" i="15" s="1"/>
  <c r="I99" i="15"/>
  <c r="H99" i="15"/>
  <c r="J98" i="15"/>
  <c r="I98" i="15"/>
  <c r="H98" i="15"/>
  <c r="J97" i="15"/>
  <c r="I97" i="15"/>
  <c r="H97" i="15"/>
  <c r="J96" i="15"/>
  <c r="F96" i="15"/>
  <c r="H96" i="15" s="1"/>
  <c r="J95" i="15"/>
  <c r="I95" i="15"/>
  <c r="H95" i="15"/>
  <c r="J94" i="15"/>
  <c r="I94" i="15"/>
  <c r="F94" i="15"/>
  <c r="H94" i="15" s="1"/>
  <c r="J93" i="15"/>
  <c r="F93" i="15"/>
  <c r="J92" i="15"/>
  <c r="I92" i="15"/>
  <c r="H92" i="15"/>
  <c r="H91" i="15"/>
  <c r="E91" i="15"/>
  <c r="I91" i="15" s="1"/>
  <c r="J90" i="15"/>
  <c r="I90" i="15"/>
  <c r="H90" i="15"/>
  <c r="H89" i="15"/>
  <c r="E89" i="15"/>
  <c r="J89" i="15" s="1"/>
  <c r="J88" i="15"/>
  <c r="F88" i="15"/>
  <c r="J87" i="15"/>
  <c r="I87" i="15"/>
  <c r="H87" i="15"/>
  <c r="H86" i="15"/>
  <c r="H85" i="15"/>
  <c r="E85" i="15"/>
  <c r="H84" i="15"/>
  <c r="H83" i="15"/>
  <c r="H82" i="15"/>
  <c r="E82" i="15"/>
  <c r="E83" i="15" s="1"/>
  <c r="H81" i="15"/>
  <c r="I80" i="15"/>
  <c r="H80" i="15"/>
  <c r="E80" i="15"/>
  <c r="E81" i="15" s="1"/>
  <c r="J79" i="15"/>
  <c r="I79" i="15"/>
  <c r="K79" i="15" s="1"/>
  <c r="H79" i="15"/>
  <c r="J78" i="15"/>
  <c r="I78" i="15"/>
  <c r="H78" i="15"/>
  <c r="H77" i="15"/>
  <c r="E77" i="15"/>
  <c r="I77" i="15" s="1"/>
  <c r="J76" i="15"/>
  <c r="I76" i="15"/>
  <c r="K76" i="15" s="1"/>
  <c r="H76" i="15"/>
  <c r="H75" i="15"/>
  <c r="E75" i="15"/>
  <c r="J75" i="15" s="1"/>
  <c r="H74" i="15"/>
  <c r="H73" i="15"/>
  <c r="E73" i="15"/>
  <c r="J73" i="15" s="1"/>
  <c r="H72" i="15"/>
  <c r="H71" i="15"/>
  <c r="E71" i="15"/>
  <c r="J71" i="15" s="1"/>
  <c r="E70" i="15"/>
  <c r="J70" i="15" s="1"/>
  <c r="H69" i="15"/>
  <c r="E69" i="15"/>
  <c r="H68" i="15"/>
  <c r="H67" i="15"/>
  <c r="E67" i="15"/>
  <c r="J66" i="15"/>
  <c r="I66" i="15"/>
  <c r="H66" i="15"/>
  <c r="J65" i="15"/>
  <c r="K65" i="15" s="1"/>
  <c r="I65" i="15"/>
  <c r="H65" i="15"/>
  <c r="H64" i="15"/>
  <c r="J63" i="15"/>
  <c r="I63" i="15"/>
  <c r="H63" i="15"/>
  <c r="J62" i="15"/>
  <c r="I62" i="15"/>
  <c r="H62" i="15"/>
  <c r="H61" i="15"/>
  <c r="J60" i="15"/>
  <c r="I60" i="15"/>
  <c r="H60" i="15"/>
  <c r="J59" i="15"/>
  <c r="I59" i="15"/>
  <c r="H59" i="15"/>
  <c r="H58" i="15"/>
  <c r="E58" i="15"/>
  <c r="I58" i="15" s="1"/>
  <c r="J57" i="15"/>
  <c r="I57" i="15"/>
  <c r="H57" i="15"/>
  <c r="J56" i="15"/>
  <c r="I56" i="15"/>
  <c r="H56" i="15"/>
  <c r="J55" i="15"/>
  <c r="I55" i="15"/>
  <c r="K55" i="15" s="1"/>
  <c r="H55" i="15"/>
  <c r="J54" i="15"/>
  <c r="I54" i="15"/>
  <c r="K54" i="15" s="1"/>
  <c r="H54" i="15"/>
  <c r="I53" i="15"/>
  <c r="H53" i="15"/>
  <c r="E53" i="15"/>
  <c r="J53" i="15" s="1"/>
  <c r="J52" i="15"/>
  <c r="K52" i="15" s="1"/>
  <c r="I52" i="15"/>
  <c r="H52" i="15"/>
  <c r="J51" i="15"/>
  <c r="I51" i="15"/>
  <c r="H51" i="15"/>
  <c r="J50" i="15"/>
  <c r="I50" i="15"/>
  <c r="H50" i="15"/>
  <c r="J49" i="15"/>
  <c r="I49" i="15"/>
  <c r="H49" i="15"/>
  <c r="H48" i="15"/>
  <c r="E48" i="15"/>
  <c r="J47" i="15"/>
  <c r="I47" i="15"/>
  <c r="H47" i="15"/>
  <c r="J46" i="15"/>
  <c r="I46" i="15"/>
  <c r="H46" i="15"/>
  <c r="J45" i="15"/>
  <c r="F45" i="15"/>
  <c r="J44" i="15"/>
  <c r="I44" i="15"/>
  <c r="H44" i="15"/>
  <c r="J43" i="15"/>
  <c r="F43" i="15"/>
  <c r="H43" i="15" s="1"/>
  <c r="J42" i="15"/>
  <c r="F42" i="15"/>
  <c r="I42" i="15" s="1"/>
  <c r="J41" i="15"/>
  <c r="I41" i="15"/>
  <c r="H41" i="15"/>
  <c r="F41" i="15"/>
  <c r="H40" i="15"/>
  <c r="E40" i="15"/>
  <c r="J40" i="15" s="1"/>
  <c r="H39" i="15"/>
  <c r="E39" i="15"/>
  <c r="J39" i="15" s="1"/>
  <c r="J38" i="15"/>
  <c r="I38" i="15"/>
  <c r="H38" i="15"/>
  <c r="H37" i="15"/>
  <c r="E37" i="15"/>
  <c r="I37" i="15" s="1"/>
  <c r="J36" i="15"/>
  <c r="F36" i="15"/>
  <c r="J35" i="15"/>
  <c r="I35" i="15"/>
  <c r="H35" i="15"/>
  <c r="H34" i="15"/>
  <c r="H33" i="15"/>
  <c r="E33" i="15"/>
  <c r="E34" i="15" s="1"/>
  <c r="I34" i="15" s="1"/>
  <c r="H32" i="15"/>
  <c r="H31" i="15"/>
  <c r="H30" i="15"/>
  <c r="E30" i="15"/>
  <c r="E31" i="15" s="1"/>
  <c r="H29" i="15"/>
  <c r="H28" i="15"/>
  <c r="E28" i="15"/>
  <c r="E29" i="15" s="1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H19" i="15"/>
  <c r="E19" i="15"/>
  <c r="H18" i="15"/>
  <c r="H17" i="15"/>
  <c r="H16" i="15"/>
  <c r="H15" i="15"/>
  <c r="E15" i="15"/>
  <c r="J15" i="15" s="1"/>
  <c r="H14" i="15"/>
  <c r="H13" i="15"/>
  <c r="E13" i="15"/>
  <c r="E14" i="15" s="1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B468" i="15" s="1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B485" i="15" s="1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B502" i="15" s="1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19" i="15" s="1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B536" i="15" s="1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B553" i="15" s="1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B570" i="15" s="1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B587" i="15" s="1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B604" i="15" s="1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B621" i="15" s="1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B638" i="15" s="1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B655" i="15" s="1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B718" i="15" s="1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B730" i="15" s="1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B751" i="15" s="1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B765" i="15" s="1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B792" i="15" s="1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B822" i="15" s="1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B877" i="15" s="1"/>
  <c r="B878" i="15" s="1"/>
  <c r="B879" i="15" s="1"/>
  <c r="B880" i="15" s="1"/>
  <c r="B881" i="15" s="1"/>
  <c r="B882" i="15" s="1"/>
  <c r="B883" i="15" s="1"/>
  <c r="B884" i="15" s="1"/>
  <c r="B885" i="15" s="1"/>
  <c r="B886" i="15" s="1"/>
  <c r="B887" i="15" s="1"/>
  <c r="B888" i="15" s="1"/>
  <c r="B889" i="15" s="1"/>
  <c r="B890" i="15" s="1"/>
  <c r="B891" i="15" s="1"/>
  <c r="B892" i="15" s="1"/>
  <c r="B893" i="15" s="1"/>
  <c r="B894" i="15" s="1"/>
  <c r="B895" i="15" s="1"/>
  <c r="B896" i="15" s="1"/>
  <c r="B897" i="15" s="1"/>
  <c r="B898" i="15" s="1"/>
  <c r="B899" i="15" s="1"/>
  <c r="B900" i="15" s="1"/>
  <c r="B901" i="15" s="1"/>
  <c r="B902" i="15" s="1"/>
  <c r="B903" i="15" s="1"/>
  <c r="B904" i="15" s="1"/>
  <c r="B905" i="15" s="1"/>
  <c r="B906" i="15" s="1"/>
  <c r="B907" i="15" s="1"/>
  <c r="B908" i="15" s="1"/>
  <c r="B909" i="15" s="1"/>
  <c r="B910" i="15" s="1"/>
  <c r="B911" i="15" s="1"/>
  <c r="B912" i="15" s="1"/>
  <c r="B913" i="15" s="1"/>
  <c r="B914" i="15" s="1"/>
  <c r="B915" i="15" s="1"/>
  <c r="B916" i="15" s="1"/>
  <c r="B917" i="15" s="1"/>
  <c r="B918" i="15" s="1"/>
  <c r="B919" i="15" s="1"/>
  <c r="B920" i="15" s="1"/>
  <c r="B921" i="15" s="1"/>
  <c r="B922" i="15" s="1"/>
  <c r="B923" i="15" s="1"/>
  <c r="B924" i="15" s="1"/>
  <c r="B925" i="15" s="1"/>
  <c r="B926" i="15" s="1"/>
  <c r="B927" i="15" s="1"/>
  <c r="B928" i="15" s="1"/>
  <c r="B929" i="15" s="1"/>
  <c r="B930" i="15" s="1"/>
  <c r="B931" i="15" s="1"/>
  <c r="B932" i="15" s="1"/>
  <c r="B933" i="15" s="1"/>
  <c r="B934" i="15" s="1"/>
  <c r="B935" i="15" s="1"/>
  <c r="B936" i="15" s="1"/>
  <c r="B937" i="15" s="1"/>
  <c r="B938" i="15" s="1"/>
  <c r="B939" i="15" s="1"/>
  <c r="B940" i="15" s="1"/>
  <c r="B941" i="15" s="1"/>
  <c r="B942" i="15" s="1"/>
  <c r="B943" i="15" s="1"/>
  <c r="B944" i="15" s="1"/>
  <c r="B945" i="15" s="1"/>
  <c r="B946" i="15" s="1"/>
  <c r="B947" i="15" s="1"/>
  <c r="B948" i="15" s="1"/>
  <c r="B949" i="15" s="1"/>
  <c r="B950" i="15" s="1"/>
  <c r="B951" i="15" s="1"/>
  <c r="B952" i="15" s="1"/>
  <c r="B953" i="15" s="1"/>
  <c r="B954" i="15" s="1"/>
  <c r="B955" i="15" s="1"/>
  <c r="B956" i="15" s="1"/>
  <c r="B957" i="15" s="1"/>
  <c r="B958" i="15" s="1"/>
  <c r="B959" i="15" s="1"/>
  <c r="B960" i="15" s="1"/>
  <c r="B961" i="15" s="1"/>
  <c r="B962" i="15" s="1"/>
  <c r="B963" i="15" s="1"/>
  <c r="B964" i="15" s="1"/>
  <c r="B965" i="15" s="1"/>
  <c r="B966" i="15" s="1"/>
  <c r="B967" i="15" s="1"/>
  <c r="B968" i="15" s="1"/>
  <c r="B969" i="15" s="1"/>
  <c r="B970" i="15" s="1"/>
  <c r="B971" i="15" s="1"/>
  <c r="B972" i="15" s="1"/>
  <c r="B973" i="15" s="1"/>
  <c r="B974" i="15" s="1"/>
  <c r="B975" i="15" s="1"/>
  <c r="B976" i="15" s="1"/>
  <c r="B977" i="15" s="1"/>
  <c r="B978" i="15" s="1"/>
  <c r="B979" i="15" s="1"/>
  <c r="B980" i="15" s="1"/>
  <c r="B981" i="15" s="1"/>
  <c r="B982" i="15" s="1"/>
  <c r="B983" i="15" s="1"/>
  <c r="B984" i="15" s="1"/>
  <c r="B985" i="15" s="1"/>
  <c r="B986" i="15" s="1"/>
  <c r="B987" i="15" s="1"/>
  <c r="B988" i="15" s="1"/>
  <c r="B989" i="15" s="1"/>
  <c r="B990" i="15" s="1"/>
  <c r="B991" i="15" s="1"/>
  <c r="B992" i="15" s="1"/>
  <c r="B993" i="15" s="1"/>
  <c r="B994" i="15" s="1"/>
  <c r="B995" i="15" s="1"/>
  <c r="B996" i="15" s="1"/>
  <c r="B997" i="15" s="1"/>
  <c r="B998" i="15" s="1"/>
  <c r="B999" i="15" s="1"/>
  <c r="B1000" i="15" s="1"/>
  <c r="B1001" i="15" s="1"/>
  <c r="B1002" i="15" s="1"/>
  <c r="B1003" i="15" s="1"/>
  <c r="B1004" i="15" s="1"/>
  <c r="B1005" i="15" s="1"/>
  <c r="B1006" i="15" s="1"/>
  <c r="B1007" i="15" s="1"/>
  <c r="B1008" i="15" s="1"/>
  <c r="B1009" i="15" s="1"/>
  <c r="B1010" i="15" s="1"/>
  <c r="B1011" i="15" s="1"/>
  <c r="B1012" i="15" s="1"/>
  <c r="B1013" i="15" s="1"/>
  <c r="B1014" i="15" s="1"/>
  <c r="B1015" i="15" s="1"/>
  <c r="B1016" i="15" s="1"/>
  <c r="B1017" i="15" s="1"/>
  <c r="B1018" i="15" s="1"/>
  <c r="B1019" i="15" s="1"/>
  <c r="B1020" i="15" s="1"/>
  <c r="B1021" i="15" s="1"/>
  <c r="B1022" i="15" s="1"/>
  <c r="B1023" i="15" s="1"/>
  <c r="B1024" i="15" s="1"/>
  <c r="B1025" i="15" s="1"/>
  <c r="B1026" i="15" s="1"/>
  <c r="B1027" i="15" s="1"/>
  <c r="B1028" i="15" s="1"/>
  <c r="B1029" i="15" s="1"/>
  <c r="B1030" i="15" s="1"/>
  <c r="B1031" i="15" s="1"/>
  <c r="B1032" i="15" s="1"/>
  <c r="B1033" i="15" s="1"/>
  <c r="B1034" i="15" s="1"/>
  <c r="B1035" i="15" s="1"/>
  <c r="B1036" i="15" s="1"/>
  <c r="B1037" i="15" s="1"/>
  <c r="B1038" i="15" s="1"/>
  <c r="B1039" i="15" s="1"/>
  <c r="B1040" i="15" s="1"/>
  <c r="B1041" i="15" s="1"/>
  <c r="B1042" i="15" s="1"/>
  <c r="B1043" i="15" s="1"/>
  <c r="B1044" i="15" s="1"/>
  <c r="B1045" i="15" s="1"/>
  <c r="B1046" i="15" s="1"/>
  <c r="B1047" i="15" s="1"/>
  <c r="B1048" i="15" s="1"/>
  <c r="B1049" i="15" s="1"/>
  <c r="B1050" i="15" s="1"/>
  <c r="B1051" i="15" s="1"/>
  <c r="B1052" i="15" s="1"/>
  <c r="B1053" i="15" s="1"/>
  <c r="B1054" i="15" s="1"/>
  <c r="B1055" i="15" s="1"/>
  <c r="B1056" i="15" s="1"/>
  <c r="B1057" i="15" s="1"/>
  <c r="B1058" i="15" s="1"/>
  <c r="B1059" i="15" s="1"/>
  <c r="B1060" i="15" s="1"/>
  <c r="B1061" i="15" s="1"/>
  <c r="B1062" i="15" s="1"/>
  <c r="B1063" i="15" s="1"/>
  <c r="B1064" i="15" s="1"/>
  <c r="B1065" i="15" s="1"/>
  <c r="B1066" i="15" s="1"/>
  <c r="B1067" i="15" s="1"/>
  <c r="B1068" i="15" s="1"/>
  <c r="B1069" i="15" s="1"/>
  <c r="B1070" i="15" s="1"/>
  <c r="B1071" i="15" s="1"/>
  <c r="B1072" i="15" s="1"/>
  <c r="B1073" i="15" s="1"/>
  <c r="B1074" i="15" s="1"/>
  <c r="B1075" i="15" s="1"/>
  <c r="B1076" i="15" s="1"/>
  <c r="B1077" i="15" s="1"/>
  <c r="B1078" i="15" s="1"/>
  <c r="B1079" i="15" s="1"/>
  <c r="B1080" i="15" s="1"/>
  <c r="B1081" i="15" s="1"/>
  <c r="B1082" i="15" s="1"/>
  <c r="B1083" i="15" s="1"/>
  <c r="B1084" i="15" s="1"/>
  <c r="B1085" i="15" s="1"/>
  <c r="B1086" i="15" s="1"/>
  <c r="B1087" i="15" s="1"/>
  <c r="B1088" i="15" s="1"/>
  <c r="B1089" i="15" s="1"/>
  <c r="B1090" i="15" s="1"/>
  <c r="B1091" i="15" s="1"/>
  <c r="B1092" i="15" s="1"/>
  <c r="B1093" i="15" s="1"/>
  <c r="B1094" i="15" s="1"/>
  <c r="B1095" i="15" s="1"/>
  <c r="B1096" i="15" s="1"/>
  <c r="B1097" i="15" s="1"/>
  <c r="B1098" i="15" s="1"/>
  <c r="B1099" i="15" s="1"/>
  <c r="B1100" i="15" s="1"/>
  <c r="B1101" i="15" s="1"/>
  <c r="B1102" i="15" s="1"/>
  <c r="B1103" i="15" s="1"/>
  <c r="B1104" i="15" s="1"/>
  <c r="B1105" i="15" s="1"/>
  <c r="B1106" i="15" s="1"/>
  <c r="B1107" i="15" s="1"/>
  <c r="B1108" i="15" s="1"/>
  <c r="B1109" i="15" s="1"/>
  <c r="B1110" i="15" s="1"/>
  <c r="B1111" i="15" s="1"/>
  <c r="B1112" i="15" s="1"/>
  <c r="B1113" i="15" s="1"/>
  <c r="B1114" i="15" s="1"/>
  <c r="B1115" i="15" s="1"/>
  <c r="B1116" i="15" s="1"/>
  <c r="B1117" i="15" s="1"/>
  <c r="B1118" i="15" s="1"/>
  <c r="B1119" i="15" s="1"/>
  <c r="B1120" i="15" s="1"/>
  <c r="B1121" i="15" s="1"/>
  <c r="B1122" i="15" s="1"/>
  <c r="B1123" i="15" s="1"/>
  <c r="B1124" i="15" s="1"/>
  <c r="B1125" i="15" s="1"/>
  <c r="B1126" i="15" s="1"/>
  <c r="B1127" i="15" s="1"/>
  <c r="B1128" i="15" s="1"/>
  <c r="B1129" i="15" s="1"/>
  <c r="B1130" i="15" s="1"/>
  <c r="B1131" i="15" s="1"/>
  <c r="B1132" i="15" s="1"/>
  <c r="B1133" i="15" s="1"/>
  <c r="B1134" i="15" s="1"/>
  <c r="B1135" i="15" s="1"/>
  <c r="B1136" i="15" s="1"/>
  <c r="B1137" i="15" s="1"/>
  <c r="B1138" i="15" s="1"/>
  <c r="B1139" i="15" s="1"/>
  <c r="B1140" i="15" s="1"/>
  <c r="B1141" i="15" s="1"/>
  <c r="B1142" i="15" s="1"/>
  <c r="B1143" i="15" s="1"/>
  <c r="B1144" i="15" s="1"/>
  <c r="B1145" i="15" s="1"/>
  <c r="B1146" i="15" s="1"/>
  <c r="B1147" i="15" s="1"/>
  <c r="B1148" i="15" s="1"/>
  <c r="B1149" i="15" s="1"/>
  <c r="B1150" i="15" s="1"/>
  <c r="B1151" i="15" s="1"/>
  <c r="B1152" i="15" s="1"/>
  <c r="B1153" i="15" s="1"/>
  <c r="B1154" i="15" s="1"/>
  <c r="B1155" i="15" s="1"/>
  <c r="B1156" i="15" s="1"/>
  <c r="B1157" i="15" s="1"/>
  <c r="B1158" i="15" s="1"/>
  <c r="B1159" i="15" s="1"/>
  <c r="B1160" i="15" s="1"/>
  <c r="B1161" i="15" s="1"/>
  <c r="B1162" i="15" s="1"/>
  <c r="B1163" i="15" s="1"/>
  <c r="B1164" i="15" s="1"/>
  <c r="B1165" i="15" s="1"/>
  <c r="B1166" i="15" s="1"/>
  <c r="B1167" i="15" s="1"/>
  <c r="B1168" i="15" s="1"/>
  <c r="B1169" i="15" s="1"/>
  <c r="B1170" i="15" s="1"/>
  <c r="B1171" i="15" s="1"/>
  <c r="B1172" i="15" s="1"/>
  <c r="B1173" i="15" s="1"/>
  <c r="B1174" i="15" s="1"/>
  <c r="B1175" i="15" s="1"/>
  <c r="B1176" i="15" s="1"/>
  <c r="B1177" i="15" s="1"/>
  <c r="B1178" i="15" s="1"/>
  <c r="B1179" i="15" s="1"/>
  <c r="B1180" i="15" s="1"/>
  <c r="B1181" i="15" s="1"/>
  <c r="B1182" i="15" s="1"/>
  <c r="B1183" i="15" s="1"/>
  <c r="B1184" i="15" s="1"/>
  <c r="B1185" i="15" s="1"/>
  <c r="B1186" i="15" s="1"/>
  <c r="B1187" i="15" s="1"/>
  <c r="B1188" i="15" s="1"/>
  <c r="B1189" i="15" s="1"/>
  <c r="B1190" i="15" s="1"/>
  <c r="B1191" i="15" s="1"/>
  <c r="B1192" i="15" s="1"/>
  <c r="B1193" i="15" s="1"/>
  <c r="B1194" i="15" s="1"/>
  <c r="B1195" i="15" s="1"/>
  <c r="B1196" i="15" s="1"/>
  <c r="B1197" i="15" s="1"/>
  <c r="B1198" i="15" s="1"/>
  <c r="B1199" i="15" s="1"/>
  <c r="B1200" i="15" s="1"/>
  <c r="B1201" i="15" s="1"/>
  <c r="B1202" i="15" s="1"/>
  <c r="B1203" i="15" s="1"/>
  <c r="B1204" i="15" s="1"/>
  <c r="B1205" i="15" s="1"/>
  <c r="B1206" i="15" s="1"/>
  <c r="B1207" i="15" s="1"/>
  <c r="B1208" i="15" s="1"/>
  <c r="B1209" i="15" s="1"/>
  <c r="B1210" i="15" s="1"/>
  <c r="B1211" i="15" s="1"/>
  <c r="B1212" i="15" s="1"/>
  <c r="B1213" i="15" s="1"/>
  <c r="B1214" i="15" s="1"/>
  <c r="B1215" i="15" s="1"/>
  <c r="B1216" i="15" s="1"/>
  <c r="B1217" i="15" s="1"/>
  <c r="B1218" i="15" s="1"/>
  <c r="B1219" i="15" s="1"/>
  <c r="B1220" i="15" s="1"/>
  <c r="B1221" i="15" s="1"/>
  <c r="B1222" i="15" s="1"/>
  <c r="B1223" i="15" s="1"/>
  <c r="B1224" i="15" s="1"/>
  <c r="B1225" i="15" s="1"/>
  <c r="B1226" i="15" s="1"/>
  <c r="B1227" i="15" s="1"/>
  <c r="B1228" i="15" s="1"/>
  <c r="B1229" i="15" s="1"/>
  <c r="B1230" i="15" s="1"/>
  <c r="B1231" i="15" s="1"/>
  <c r="B1232" i="15" s="1"/>
  <c r="B1233" i="15" s="1"/>
  <c r="B1234" i="15" s="1"/>
  <c r="B1235" i="15" s="1"/>
  <c r="B1236" i="15" s="1"/>
  <c r="B1237" i="15" s="1"/>
  <c r="B1238" i="15" s="1"/>
  <c r="B1239" i="15" s="1"/>
  <c r="B1240" i="15" s="1"/>
  <c r="B1241" i="15" s="1"/>
  <c r="B1242" i="15" s="1"/>
  <c r="B1243" i="15" s="1"/>
  <c r="B1244" i="15" s="1"/>
  <c r="B1245" i="15" s="1"/>
  <c r="B1246" i="15" s="1"/>
  <c r="B1247" i="15" s="1"/>
  <c r="B1248" i="15" s="1"/>
  <c r="B1249" i="15" s="1"/>
  <c r="B1250" i="15" s="1"/>
  <c r="B1251" i="15" s="1"/>
  <c r="B1252" i="15" s="1"/>
  <c r="B1253" i="15" s="1"/>
  <c r="B1254" i="15" s="1"/>
  <c r="B1255" i="15" s="1"/>
  <c r="B1256" i="15" s="1"/>
  <c r="B1257" i="15" s="1"/>
  <c r="B1258" i="15" s="1"/>
  <c r="B1259" i="15" s="1"/>
  <c r="B1260" i="15" s="1"/>
  <c r="B1261" i="15" s="1"/>
  <c r="B1262" i="15" s="1"/>
  <c r="B1263" i="15" s="1"/>
  <c r="B1264" i="15" s="1"/>
  <c r="B1265" i="15" s="1"/>
  <c r="B1266" i="15" s="1"/>
  <c r="B1267" i="15" s="1"/>
  <c r="B1268" i="15" s="1"/>
  <c r="B1269" i="15" s="1"/>
  <c r="B1270" i="15" s="1"/>
  <c r="B1271" i="15" s="1"/>
  <c r="B1272" i="15" s="1"/>
  <c r="B1273" i="15" s="1"/>
  <c r="B1274" i="15" s="1"/>
  <c r="B1275" i="15" s="1"/>
  <c r="B1276" i="15" s="1"/>
  <c r="B1277" i="15" s="1"/>
  <c r="B1278" i="15" s="1"/>
  <c r="B1279" i="15" s="1"/>
  <c r="B1280" i="15" s="1"/>
  <c r="B1281" i="15" s="1"/>
  <c r="B1282" i="15" s="1"/>
  <c r="B1283" i="15" s="1"/>
  <c r="B1284" i="15" s="1"/>
  <c r="B1285" i="15" s="1"/>
  <c r="B1286" i="15" s="1"/>
  <c r="B1287" i="15" s="1"/>
  <c r="B1288" i="15" s="1"/>
  <c r="B1289" i="15" s="1"/>
  <c r="B1290" i="15" s="1"/>
  <c r="B1291" i="15" s="1"/>
  <c r="B1292" i="15" s="1"/>
  <c r="B1293" i="15" s="1"/>
  <c r="B1294" i="15" s="1"/>
  <c r="B1295" i="15" s="1"/>
  <c r="B1296" i="15" s="1"/>
  <c r="B1297" i="15" s="1"/>
  <c r="B1298" i="15" s="1"/>
  <c r="B1299" i="15" s="1"/>
  <c r="B1300" i="15" s="1"/>
  <c r="B1301" i="15" s="1"/>
  <c r="B1302" i="15" s="1"/>
  <c r="B1303" i="15" s="1"/>
  <c r="B1304" i="15" s="1"/>
  <c r="B1305" i="15" s="1"/>
  <c r="B1306" i="15" s="1"/>
  <c r="B1307" i="15" s="1"/>
  <c r="B1308" i="15" s="1"/>
  <c r="B1309" i="15" s="1"/>
  <c r="B1310" i="15" s="1"/>
  <c r="B1311" i="15" s="1"/>
  <c r="B1312" i="15" s="1"/>
  <c r="B1313" i="15" s="1"/>
  <c r="B1314" i="15" s="1"/>
  <c r="B1315" i="15" s="1"/>
  <c r="B1316" i="15" s="1"/>
  <c r="B1317" i="15" s="1"/>
  <c r="B1318" i="15" s="1"/>
  <c r="B1319" i="15" s="1"/>
  <c r="B1320" i="15" s="1"/>
  <c r="B1321" i="15" s="1"/>
  <c r="B1322" i="15" s="1"/>
  <c r="B1323" i="15" s="1"/>
  <c r="B1324" i="15" s="1"/>
  <c r="B1325" i="15" s="1"/>
  <c r="B1326" i="15" s="1"/>
  <c r="B1327" i="15" s="1"/>
  <c r="B1328" i="15" s="1"/>
  <c r="B1329" i="15" s="1"/>
  <c r="B1330" i="15" s="1"/>
  <c r="B1331" i="15" s="1"/>
  <c r="B1332" i="15" s="1"/>
  <c r="B1333" i="15" s="1"/>
  <c r="B1334" i="15" s="1"/>
  <c r="B1335" i="15" s="1"/>
  <c r="B1336" i="15" s="1"/>
  <c r="B1337" i="15" s="1"/>
  <c r="B1338" i="15" s="1"/>
  <c r="B1339" i="15" s="1"/>
  <c r="B1340" i="15" s="1"/>
  <c r="B1341" i="15" s="1"/>
  <c r="B1342" i="15" s="1"/>
  <c r="B1343" i="15" s="1"/>
  <c r="B1344" i="15" s="1"/>
  <c r="B1345" i="15" s="1"/>
  <c r="B1346" i="15" s="1"/>
  <c r="B1347" i="15" s="1"/>
  <c r="B1348" i="15" s="1"/>
  <c r="B1349" i="15" s="1"/>
  <c r="B1350" i="15" s="1"/>
  <c r="B1351" i="15" s="1"/>
  <c r="B1352" i="15" s="1"/>
  <c r="B1353" i="15" s="1"/>
  <c r="B1354" i="15" s="1"/>
  <c r="B1355" i="15" s="1"/>
  <c r="B1356" i="15" s="1"/>
  <c r="B1357" i="15" s="1"/>
  <c r="B1358" i="15" s="1"/>
  <c r="B1359" i="15" s="1"/>
  <c r="B1360" i="15" s="1"/>
  <c r="B1361" i="15" s="1"/>
  <c r="B1362" i="15" s="1"/>
  <c r="B1363" i="15" s="1"/>
  <c r="B1364" i="15" s="1"/>
  <c r="B1365" i="15" s="1"/>
  <c r="B1366" i="15" s="1"/>
  <c r="B1367" i="15" s="1"/>
  <c r="B1368" i="15" s="1"/>
  <c r="B1369" i="15" s="1"/>
  <c r="B1370" i="15" s="1"/>
  <c r="B1371" i="15" s="1"/>
  <c r="B1372" i="15" s="1"/>
  <c r="B1373" i="15" s="1"/>
  <c r="B1374" i="15" s="1"/>
  <c r="B1375" i="15" s="1"/>
  <c r="B1376" i="15" s="1"/>
  <c r="B1377" i="15" s="1"/>
  <c r="B1378" i="15" s="1"/>
  <c r="B1379" i="15" s="1"/>
  <c r="B1380" i="15" s="1"/>
  <c r="B1381" i="15" s="1"/>
  <c r="B1382" i="15" s="1"/>
  <c r="B1383" i="15" s="1"/>
  <c r="B1384" i="15" s="1"/>
  <c r="B1385" i="15" s="1"/>
  <c r="B1386" i="15" s="1"/>
  <c r="B1387" i="15" s="1"/>
  <c r="B1388" i="15" s="1"/>
  <c r="B1389" i="15" s="1"/>
  <c r="B1390" i="15" s="1"/>
  <c r="B1391" i="15" s="1"/>
  <c r="B1392" i="15" s="1"/>
  <c r="B1393" i="15" s="1"/>
  <c r="B1394" i="15" s="1"/>
  <c r="B1395" i="15" s="1"/>
  <c r="B1396" i="15" s="1"/>
  <c r="B1397" i="15" s="1"/>
  <c r="B1398" i="15" s="1"/>
  <c r="B1399" i="15" s="1"/>
  <c r="B1400" i="15" s="1"/>
  <c r="B1401" i="15" s="1"/>
  <c r="B1402" i="15" s="1"/>
  <c r="B1403" i="15" s="1"/>
  <c r="B1404" i="15" s="1"/>
  <c r="B1405" i="15" s="1"/>
  <c r="B1406" i="15" s="1"/>
  <c r="B1407" i="15" s="1"/>
  <c r="B1408" i="15" s="1"/>
  <c r="B1409" i="15" s="1"/>
  <c r="B1410" i="15" s="1"/>
  <c r="B1411" i="15" s="1"/>
  <c r="B1412" i="15" s="1"/>
  <c r="B1413" i="15" s="1"/>
  <c r="B1414" i="15" s="1"/>
  <c r="B1415" i="15" s="1"/>
  <c r="B1416" i="15" s="1"/>
  <c r="B1417" i="15" s="1"/>
  <c r="B1418" i="15" s="1"/>
  <c r="B1419" i="15" s="1"/>
  <c r="B1420" i="15" s="1"/>
  <c r="B1421" i="15" s="1"/>
  <c r="B1422" i="15" s="1"/>
  <c r="B1423" i="15" s="1"/>
  <c r="B1424" i="15" s="1"/>
  <c r="B1425" i="15" s="1"/>
  <c r="B1426" i="15" s="1"/>
  <c r="B1427" i="15" s="1"/>
  <c r="B1428" i="15" s="1"/>
  <c r="B1429" i="15" s="1"/>
  <c r="B1430" i="15" s="1"/>
  <c r="B1431" i="15" s="1"/>
  <c r="B1432" i="15" s="1"/>
  <c r="B1433" i="15" s="1"/>
  <c r="B1434" i="15" s="1"/>
  <c r="B1435" i="15" s="1"/>
  <c r="B1436" i="15" s="1"/>
  <c r="B1437" i="15" s="1"/>
  <c r="B1438" i="15" s="1"/>
  <c r="B1439" i="15" s="1"/>
  <c r="B1440" i="15" s="1"/>
  <c r="B1441" i="15" s="1"/>
  <c r="B1442" i="15" s="1"/>
  <c r="B1443" i="15" s="1"/>
  <c r="B1444" i="15" s="1"/>
  <c r="B1445" i="15" s="1"/>
  <c r="B1446" i="15" s="1"/>
  <c r="B1447" i="15" s="1"/>
  <c r="B1448" i="15" s="1"/>
  <c r="B1449" i="15" s="1"/>
  <c r="B1450" i="15" s="1"/>
  <c r="B1451" i="15" s="1"/>
  <c r="B1452" i="15" s="1"/>
  <c r="B1453" i="15" s="1"/>
  <c r="B1454" i="15" s="1"/>
  <c r="B1455" i="15" s="1"/>
  <c r="B1456" i="15" s="1"/>
  <c r="B1457" i="15" s="1"/>
  <c r="B1458" i="15" s="1"/>
  <c r="B1459" i="15" s="1"/>
  <c r="B1460" i="15" s="1"/>
  <c r="B1461" i="15" s="1"/>
  <c r="B1462" i="15" s="1"/>
  <c r="B1463" i="15" s="1"/>
  <c r="B1464" i="15" s="1"/>
  <c r="B1465" i="15" s="1"/>
  <c r="B1466" i="15" s="1"/>
  <c r="B1467" i="15" s="1"/>
  <c r="B1468" i="15" s="1"/>
  <c r="B1469" i="15" s="1"/>
  <c r="B1470" i="15" s="1"/>
  <c r="B1471" i="15" s="1"/>
  <c r="B1472" i="15" s="1"/>
  <c r="B1473" i="15" s="1"/>
  <c r="B1474" i="15" s="1"/>
  <c r="B1475" i="15" s="1"/>
  <c r="B1476" i="15" s="1"/>
  <c r="B1477" i="15" s="1"/>
  <c r="B1478" i="15" s="1"/>
  <c r="B1479" i="15" s="1"/>
  <c r="B1480" i="15" s="1"/>
  <c r="B1481" i="15" s="1"/>
  <c r="B1482" i="15" s="1"/>
  <c r="B1483" i="15" s="1"/>
  <c r="B1484" i="15" s="1"/>
  <c r="B1485" i="15" s="1"/>
  <c r="B1486" i="15" s="1"/>
  <c r="B1487" i="15" s="1"/>
  <c r="B1488" i="15" s="1"/>
  <c r="B1489" i="15" s="1"/>
  <c r="B1490" i="15" s="1"/>
  <c r="B1491" i="15" s="1"/>
  <c r="B1492" i="15" s="1"/>
  <c r="B1493" i="15" s="1"/>
  <c r="B1494" i="15" s="1"/>
  <c r="B1495" i="15" s="1"/>
  <c r="B1496" i="15" s="1"/>
  <c r="B1497" i="15" s="1"/>
  <c r="B1498" i="15" s="1"/>
  <c r="B1499" i="15" s="1"/>
  <c r="B1500" i="15" s="1"/>
  <c r="B1501" i="15" s="1"/>
  <c r="B1502" i="15" s="1"/>
  <c r="B1503" i="15" s="1"/>
  <c r="B1504" i="15" s="1"/>
  <c r="B1505" i="15" s="1"/>
  <c r="B1506" i="15" s="1"/>
  <c r="B1507" i="15" s="1"/>
  <c r="B1508" i="15" s="1"/>
  <c r="B1509" i="15" s="1"/>
  <c r="B1510" i="15" s="1"/>
  <c r="B1511" i="15" s="1"/>
  <c r="B1512" i="15" s="1"/>
  <c r="B1513" i="15" s="1"/>
  <c r="B1514" i="15" s="1"/>
  <c r="B1515" i="15" s="1"/>
  <c r="B1516" i="15" s="1"/>
  <c r="B1517" i="15" s="1"/>
  <c r="B1518" i="15" s="1"/>
  <c r="B1519" i="15" s="1"/>
  <c r="B1520" i="15" s="1"/>
  <c r="B1521" i="15" s="1"/>
  <c r="B1522" i="15" s="1"/>
  <c r="B1523" i="15" s="1"/>
  <c r="B1524" i="15" s="1"/>
  <c r="B1525" i="15" s="1"/>
  <c r="B1526" i="15" s="1"/>
  <c r="B1527" i="15" s="1"/>
  <c r="B1528" i="15" s="1"/>
  <c r="B1529" i="15" s="1"/>
  <c r="B1530" i="15" s="1"/>
  <c r="B1531" i="15" s="1"/>
  <c r="B1532" i="15" s="1"/>
  <c r="B1533" i="15" s="1"/>
  <c r="B1534" i="15" s="1"/>
  <c r="B1535" i="15" s="1"/>
  <c r="B1536" i="15" s="1"/>
  <c r="B1537" i="15" s="1"/>
  <c r="B1538" i="15" s="1"/>
  <c r="B1539" i="15" s="1"/>
  <c r="B1540" i="15" s="1"/>
  <c r="B1541" i="15" s="1"/>
  <c r="B1542" i="15" s="1"/>
  <c r="B1543" i="15" s="1"/>
  <c r="B1544" i="15" s="1"/>
  <c r="B1545" i="15" s="1"/>
  <c r="B1546" i="15" s="1"/>
  <c r="B1547" i="15" s="1"/>
  <c r="B1548" i="15" s="1"/>
  <c r="B1549" i="15" s="1"/>
  <c r="B1550" i="15" s="1"/>
  <c r="B1551" i="15" s="1"/>
  <c r="B1552" i="15" s="1"/>
  <c r="B1553" i="15" s="1"/>
  <c r="B1554" i="15" s="1"/>
  <c r="B1555" i="15" s="1"/>
  <c r="B1556" i="15" s="1"/>
  <c r="B1557" i="15" s="1"/>
  <c r="B1558" i="15" s="1"/>
  <c r="B1559" i="15" s="1"/>
  <c r="B1560" i="15" s="1"/>
  <c r="B1561" i="15" s="1"/>
  <c r="B1562" i="15" s="1"/>
  <c r="B1563" i="15" s="1"/>
  <c r="B1564" i="15" s="1"/>
  <c r="B1565" i="15" s="1"/>
  <c r="B1566" i="15" s="1"/>
  <c r="B1567" i="15" s="1"/>
  <c r="B1568" i="15" s="1"/>
  <c r="B1569" i="15" s="1"/>
  <c r="B1570" i="15" s="1"/>
  <c r="B1571" i="15" s="1"/>
  <c r="B1572" i="15" s="1"/>
  <c r="B1573" i="15" s="1"/>
  <c r="B1574" i="15" s="1"/>
  <c r="B1575" i="15" s="1"/>
  <c r="B1576" i="15" s="1"/>
  <c r="B1577" i="15" s="1"/>
  <c r="B1578" i="15" s="1"/>
  <c r="B1579" i="15" s="1"/>
  <c r="B1580" i="15" s="1"/>
  <c r="B1581" i="15" s="1"/>
  <c r="B1582" i="15" s="1"/>
  <c r="B1583" i="15" s="1"/>
  <c r="B1584" i="15" s="1"/>
  <c r="B1585" i="15" s="1"/>
  <c r="B1586" i="15" s="1"/>
  <c r="B1587" i="15" s="1"/>
  <c r="B1588" i="15" s="1"/>
  <c r="B1589" i="15" s="1"/>
  <c r="B1590" i="15" s="1"/>
  <c r="B1591" i="15" s="1"/>
  <c r="B1592" i="15" s="1"/>
  <c r="B1593" i="15" s="1"/>
  <c r="B1594" i="15" s="1"/>
  <c r="B1595" i="15" s="1"/>
  <c r="B1596" i="15" s="1"/>
  <c r="B1597" i="15" s="1"/>
  <c r="B1598" i="15" s="1"/>
  <c r="B1599" i="15" s="1"/>
  <c r="B1600" i="15" s="1"/>
  <c r="B1601" i="15" s="1"/>
  <c r="B1602" i="15" s="1"/>
  <c r="B1603" i="15" s="1"/>
  <c r="B1604" i="15" s="1"/>
  <c r="B1605" i="15" s="1"/>
  <c r="B1606" i="15" s="1"/>
  <c r="B1607" i="15" s="1"/>
  <c r="B1608" i="15" s="1"/>
  <c r="B1609" i="15" s="1"/>
  <c r="B1610" i="15" s="1"/>
  <c r="B1611" i="15" s="1"/>
  <c r="B1612" i="15" s="1"/>
  <c r="B1613" i="15" s="1"/>
  <c r="B1614" i="15" s="1"/>
  <c r="B1615" i="15" s="1"/>
  <c r="B1616" i="15" s="1"/>
  <c r="B1617" i="15" s="1"/>
  <c r="B1618" i="15" s="1"/>
  <c r="B1619" i="15" s="1"/>
  <c r="B1620" i="15" s="1"/>
  <c r="B1621" i="15" s="1"/>
  <c r="B1622" i="15" s="1"/>
  <c r="B1623" i="15" s="1"/>
  <c r="B1624" i="15" s="1"/>
  <c r="B1625" i="15" s="1"/>
  <c r="B1626" i="15" s="1"/>
  <c r="B1627" i="15" s="1"/>
  <c r="B1628" i="15" s="1"/>
  <c r="B1629" i="15" s="1"/>
  <c r="B1630" i="15" s="1"/>
  <c r="B1631" i="15" s="1"/>
  <c r="B1632" i="15" s="1"/>
  <c r="B1633" i="15" s="1"/>
  <c r="B1634" i="15" s="1"/>
  <c r="B1635" i="15" s="1"/>
  <c r="B1636" i="15" s="1"/>
  <c r="B1637" i="15" s="1"/>
  <c r="B1638" i="15" s="1"/>
  <c r="B1639" i="15" s="1"/>
  <c r="B1640" i="15" s="1"/>
  <c r="B1641" i="15" s="1"/>
  <c r="B1642" i="15" s="1"/>
  <c r="B1643" i="15" s="1"/>
  <c r="B1644" i="15" s="1"/>
  <c r="B1645" i="15" s="1"/>
  <c r="B1646" i="15" s="1"/>
  <c r="B1647" i="15" s="1"/>
  <c r="B1648" i="15" s="1"/>
  <c r="B1649" i="15" s="1"/>
  <c r="B1650" i="15" s="1"/>
  <c r="B1651" i="15" s="1"/>
  <c r="B1652" i="15" s="1"/>
  <c r="B1653" i="15" s="1"/>
  <c r="B1654" i="15" s="1"/>
  <c r="B1655" i="15" s="1"/>
  <c r="B1656" i="15" s="1"/>
  <c r="B1657" i="15" s="1"/>
  <c r="B1658" i="15" s="1"/>
  <c r="B1659" i="15" s="1"/>
  <c r="B1660" i="15" s="1"/>
  <c r="B1661" i="15" s="1"/>
  <c r="B1662" i="15" s="1"/>
  <c r="B1663" i="15" s="1"/>
  <c r="B1664" i="15" s="1"/>
  <c r="B1665" i="15" s="1"/>
  <c r="B1666" i="15" s="1"/>
  <c r="B1667" i="15" s="1"/>
  <c r="B1668" i="15" s="1"/>
  <c r="B1669" i="15" s="1"/>
  <c r="B1670" i="15" s="1"/>
  <c r="B1671" i="15" s="1"/>
  <c r="B1672" i="15" s="1"/>
  <c r="B1673" i="15" s="1"/>
  <c r="B1674" i="15" s="1"/>
  <c r="B1675" i="15" s="1"/>
  <c r="B1676" i="15" s="1"/>
  <c r="B1677" i="15" s="1"/>
  <c r="B1678" i="15" s="1"/>
  <c r="B1679" i="15" s="1"/>
  <c r="B1680" i="15" s="1"/>
  <c r="B1681" i="15" s="1"/>
  <c r="B1682" i="15" s="1"/>
  <c r="B1683" i="15" s="1"/>
  <c r="B1684" i="15" s="1"/>
  <c r="B1685" i="15" s="1"/>
  <c r="B1686" i="15" s="1"/>
  <c r="B1687" i="15" s="1"/>
  <c r="B1688" i="15" s="1"/>
  <c r="B1689" i="15" s="1"/>
  <c r="B1690" i="15" s="1"/>
  <c r="B1691" i="15" s="1"/>
  <c r="B1692" i="15" s="1"/>
  <c r="B1693" i="15" s="1"/>
  <c r="B1694" i="15" s="1"/>
  <c r="B1695" i="15" s="1"/>
  <c r="B1696" i="15" s="1"/>
  <c r="B1697" i="15" s="1"/>
  <c r="B1698" i="15" s="1"/>
  <c r="B1699" i="15" s="1"/>
  <c r="B1700" i="15" s="1"/>
  <c r="B1701" i="15" s="1"/>
  <c r="B1702" i="15" s="1"/>
  <c r="B1703" i="15" s="1"/>
  <c r="B1704" i="15" s="1"/>
  <c r="B1705" i="15" s="1"/>
  <c r="B1706" i="15" s="1"/>
  <c r="B1707" i="15" s="1"/>
  <c r="B1708" i="15" s="1"/>
  <c r="B1709" i="15" s="1"/>
  <c r="B1710" i="15" s="1"/>
  <c r="B1711" i="15" s="1"/>
  <c r="B1712" i="15" s="1"/>
  <c r="B1713" i="15" s="1"/>
  <c r="B1714" i="15" s="1"/>
  <c r="B1715" i="15" s="1"/>
  <c r="B1716" i="15" s="1"/>
  <c r="B1717" i="15" s="1"/>
  <c r="B1718" i="15" s="1"/>
  <c r="B1719" i="15" s="1"/>
  <c r="B1720" i="15" s="1"/>
  <c r="B1721" i="15" s="1"/>
  <c r="B1722" i="15" s="1"/>
  <c r="B1723" i="15" s="1"/>
  <c r="B1724" i="15" s="1"/>
  <c r="B1725" i="15" s="1"/>
  <c r="B1726" i="15" s="1"/>
  <c r="B1727" i="15" s="1"/>
  <c r="B1728" i="15" s="1"/>
  <c r="B1729" i="15" s="1"/>
  <c r="B1730" i="15" s="1"/>
  <c r="B1731" i="15" s="1"/>
  <c r="B1732" i="15" s="1"/>
  <c r="B1733" i="15" s="1"/>
  <c r="B1734" i="15" s="1"/>
  <c r="B1735" i="15" s="1"/>
  <c r="B1736" i="15" s="1"/>
  <c r="B1737" i="15" s="1"/>
  <c r="B1738" i="15" s="1"/>
  <c r="B1739" i="15" s="1"/>
  <c r="B1740" i="15" s="1"/>
  <c r="B1741" i="15" s="1"/>
  <c r="B1742" i="15" s="1"/>
  <c r="B1743" i="15" s="1"/>
  <c r="B1744" i="15" s="1"/>
  <c r="B1745" i="15" s="1"/>
  <c r="B1746" i="15" s="1"/>
  <c r="B1747" i="15" s="1"/>
  <c r="B1748" i="15" s="1"/>
  <c r="B1749" i="15" s="1"/>
  <c r="B1750" i="15" s="1"/>
  <c r="B1751" i="15" s="1"/>
  <c r="B1752" i="15" s="1"/>
  <c r="B1753" i="15" s="1"/>
  <c r="B1754" i="15" s="1"/>
  <c r="B1755" i="15" s="1"/>
  <c r="B1756" i="15" s="1"/>
  <c r="B1757" i="15" s="1"/>
  <c r="B1758" i="15" s="1"/>
  <c r="B1759" i="15" s="1"/>
  <c r="B1760" i="15" s="1"/>
  <c r="B1761" i="15" s="1"/>
  <c r="B1762" i="15" s="1"/>
  <c r="B1763" i="15" s="1"/>
  <c r="B1764" i="15" s="1"/>
  <c r="B1765" i="15" s="1"/>
  <c r="B1766" i="15" s="1"/>
  <c r="B1767" i="15" s="1"/>
  <c r="B1768" i="15" s="1"/>
  <c r="B1769" i="15" s="1"/>
  <c r="B1770" i="15" s="1"/>
  <c r="B1771" i="15" s="1"/>
  <c r="B1772" i="15" s="1"/>
  <c r="B1773" i="15" s="1"/>
  <c r="B1774" i="15" s="1"/>
  <c r="B1775" i="15" s="1"/>
  <c r="B1776" i="15" s="1"/>
  <c r="B1777" i="15" s="1"/>
  <c r="B1778" i="15" s="1"/>
  <c r="B1779" i="15" s="1"/>
  <c r="B1780" i="15" s="1"/>
  <c r="B1781" i="15" s="1"/>
  <c r="B1782" i="15" s="1"/>
  <c r="B1783" i="15" s="1"/>
  <c r="B1784" i="15" s="1"/>
  <c r="B1785" i="15" s="1"/>
  <c r="B1786" i="15" s="1"/>
  <c r="B1787" i="15" s="1"/>
  <c r="B1788" i="15" s="1"/>
  <c r="B1789" i="15" s="1"/>
  <c r="B1790" i="15" s="1"/>
  <c r="B1791" i="15" s="1"/>
  <c r="B1792" i="15" s="1"/>
  <c r="B1793" i="15" s="1"/>
  <c r="B1794" i="15" s="1"/>
  <c r="B1795" i="15" s="1"/>
  <c r="B1796" i="15" s="1"/>
  <c r="B1797" i="15" s="1"/>
  <c r="B1798" i="15" s="1"/>
  <c r="B1799" i="15" s="1"/>
  <c r="B1800" i="15" s="1"/>
  <c r="B1801" i="15" s="1"/>
  <c r="B1802" i="15" s="1"/>
  <c r="B1803" i="15" s="1"/>
  <c r="B1804" i="15" s="1"/>
  <c r="B1805" i="15" s="1"/>
  <c r="B1806" i="15" s="1"/>
  <c r="B1807" i="15" s="1"/>
  <c r="B1808" i="15" s="1"/>
  <c r="B1809" i="15" s="1"/>
  <c r="B1810" i="15" s="1"/>
  <c r="B1811" i="15" s="1"/>
  <c r="B1812" i="15" s="1"/>
  <c r="B1813" i="15" s="1"/>
  <c r="B1814" i="15" s="1"/>
  <c r="B1815" i="15" s="1"/>
  <c r="B1816" i="15" s="1"/>
  <c r="B1817" i="15" s="1"/>
  <c r="B1818" i="15" s="1"/>
  <c r="B1819" i="15" s="1"/>
  <c r="B1820" i="15" s="1"/>
  <c r="B1821" i="15" s="1"/>
  <c r="B1822" i="15" s="1"/>
  <c r="B1823" i="15" s="1"/>
  <c r="B1824" i="15" s="1"/>
  <c r="B1825" i="15" s="1"/>
  <c r="B1826" i="15" s="1"/>
  <c r="B1827" i="15" s="1"/>
  <c r="B1828" i="15" s="1"/>
  <c r="B1829" i="15" s="1"/>
  <c r="B1830" i="15" s="1"/>
  <c r="B1831" i="15" s="1"/>
  <c r="B1832" i="15" s="1"/>
  <c r="B1833" i="15" s="1"/>
  <c r="B1834" i="15" s="1"/>
  <c r="B1835" i="15" s="1"/>
  <c r="B1836" i="15" s="1"/>
  <c r="B1837" i="15" s="1"/>
  <c r="B1838" i="15" s="1"/>
  <c r="B1839" i="15" s="1"/>
  <c r="B1840" i="15" s="1"/>
  <c r="B1841" i="15" s="1"/>
  <c r="B1842" i="15" s="1"/>
  <c r="B1843" i="15" s="1"/>
  <c r="B1844" i="15" s="1"/>
  <c r="B1845" i="15" s="1"/>
  <c r="B1846" i="15" s="1"/>
  <c r="B1847" i="15" s="1"/>
  <c r="B1848" i="15" s="1"/>
  <c r="B1849" i="15" s="1"/>
  <c r="B1850" i="15" s="1"/>
  <c r="B1851" i="15" s="1"/>
  <c r="B1852" i="15" s="1"/>
  <c r="B1853" i="15" s="1"/>
  <c r="B1854" i="15" s="1"/>
  <c r="B1855" i="15" s="1"/>
  <c r="B1856" i="15" s="1"/>
  <c r="B1857" i="15" s="1"/>
  <c r="B1858" i="15" s="1"/>
  <c r="B1859" i="15" s="1"/>
  <c r="B1860" i="15" s="1"/>
  <c r="B1861" i="15" s="1"/>
  <c r="B1862" i="15" s="1"/>
  <c r="B1863" i="15" s="1"/>
  <c r="B1864" i="15" s="1"/>
  <c r="B1865" i="15" s="1"/>
  <c r="B1866" i="15" s="1"/>
  <c r="B1867" i="15" s="1"/>
  <c r="B1868" i="15" s="1"/>
  <c r="B1869" i="15" s="1"/>
  <c r="B1870" i="15" s="1"/>
  <c r="B1871" i="15" s="1"/>
  <c r="B1872" i="15" s="1"/>
  <c r="B1873" i="15" s="1"/>
  <c r="B1874" i="15" s="1"/>
  <c r="B1875" i="15" s="1"/>
  <c r="B1876" i="15" s="1"/>
  <c r="B1877" i="15" s="1"/>
  <c r="B1878" i="15" s="1"/>
  <c r="B1879" i="15" s="1"/>
  <c r="B1880" i="15" s="1"/>
  <c r="B1881" i="15" s="1"/>
  <c r="B1882" i="15" s="1"/>
  <c r="B1883" i="15" s="1"/>
  <c r="B1884" i="15" s="1"/>
  <c r="B1885" i="15" s="1"/>
  <c r="B1886" i="15" s="1"/>
  <c r="B1887" i="15" s="1"/>
  <c r="B1888" i="15" s="1"/>
  <c r="B1889" i="15" s="1"/>
  <c r="B1890" i="15" s="1"/>
  <c r="B1891" i="15" s="1"/>
  <c r="B1892" i="15" s="1"/>
  <c r="B1893" i="15" s="1"/>
  <c r="B1894" i="15" s="1"/>
  <c r="B1895" i="15" s="1"/>
  <c r="B1896" i="15" s="1"/>
  <c r="B1897" i="15" s="1"/>
  <c r="B1898" i="15" s="1"/>
  <c r="B1899" i="15" s="1"/>
  <c r="B1900" i="15" s="1"/>
  <c r="B1901" i="15" s="1"/>
  <c r="B1902" i="15" s="1"/>
  <c r="B1903" i="15" s="1"/>
  <c r="B1904" i="15" s="1"/>
  <c r="B1905" i="15" s="1"/>
  <c r="B1906" i="15" s="1"/>
  <c r="B1907" i="15" s="1"/>
  <c r="B1908" i="15" s="1"/>
  <c r="B1909" i="15" s="1"/>
  <c r="B1910" i="15" s="1"/>
  <c r="B1911" i="15" s="1"/>
  <c r="B1912" i="15" s="1"/>
  <c r="B1913" i="15" s="1"/>
  <c r="B1914" i="15" s="1"/>
  <c r="B1915" i="15" s="1"/>
  <c r="B1916" i="15" s="1"/>
  <c r="B1917" i="15" s="1"/>
  <c r="B1918" i="15" s="1"/>
  <c r="B1919" i="15" s="1"/>
  <c r="B1920" i="15" s="1"/>
  <c r="B1921" i="15" s="1"/>
  <c r="B1922" i="15" s="1"/>
  <c r="B1923" i="15" s="1"/>
  <c r="B1924" i="15" s="1"/>
  <c r="B1925" i="15" s="1"/>
  <c r="B1926" i="15" s="1"/>
  <c r="B1927" i="15" s="1"/>
  <c r="B1928" i="15" s="1"/>
  <c r="B1929" i="15" s="1"/>
  <c r="B1930" i="15" s="1"/>
  <c r="B1931" i="15" s="1"/>
  <c r="B1932" i="15" s="1"/>
  <c r="B1933" i="15" s="1"/>
  <c r="B1934" i="15" s="1"/>
  <c r="B1935" i="15" s="1"/>
  <c r="B1936" i="15" s="1"/>
  <c r="B1937" i="15" s="1"/>
  <c r="B1938" i="15" s="1"/>
  <c r="B1939" i="15" s="1"/>
  <c r="B1940" i="15" s="1"/>
  <c r="B1941" i="15" s="1"/>
  <c r="B1942" i="15" s="1"/>
  <c r="B1943" i="15" s="1"/>
  <c r="B1944" i="15" s="1"/>
  <c r="B1945" i="15" s="1"/>
  <c r="B1946" i="15" s="1"/>
  <c r="B1947" i="15" s="1"/>
  <c r="B1948" i="15" s="1"/>
  <c r="B1949" i="15" s="1"/>
  <c r="B1950" i="15" s="1"/>
  <c r="B1951" i="15" s="1"/>
  <c r="B1952" i="15" s="1"/>
  <c r="B1953" i="15" s="1"/>
  <c r="B1954" i="15" s="1"/>
  <c r="B1955" i="15" s="1"/>
  <c r="B1956" i="15" s="1"/>
  <c r="B1957" i="15" s="1"/>
  <c r="B1958" i="15" s="1"/>
  <c r="B1959" i="15" s="1"/>
  <c r="B1960" i="15" s="1"/>
  <c r="B1961" i="15" s="1"/>
  <c r="B1962" i="15" s="1"/>
  <c r="B1963" i="15" s="1"/>
  <c r="B1964" i="15" s="1"/>
  <c r="B1965" i="15" s="1"/>
  <c r="B1966" i="15" s="1"/>
  <c r="B1967" i="15" s="1"/>
  <c r="B1968" i="15" s="1"/>
  <c r="B1969" i="15" s="1"/>
  <c r="B1970" i="15" s="1"/>
  <c r="B1971" i="15" s="1"/>
  <c r="B1972" i="15" s="1"/>
  <c r="B1973" i="15" s="1"/>
  <c r="B1974" i="15" s="1"/>
  <c r="B1975" i="15" s="1"/>
  <c r="B1976" i="15" s="1"/>
  <c r="B1977" i="15" s="1"/>
  <c r="B1978" i="15" s="1"/>
  <c r="B1979" i="15" s="1"/>
  <c r="B1980" i="15" s="1"/>
  <c r="B1981" i="15" s="1"/>
  <c r="B1982" i="15" s="1"/>
  <c r="B1983" i="15" s="1"/>
  <c r="B1984" i="15" s="1"/>
  <c r="B1985" i="15" s="1"/>
  <c r="B1986" i="15" s="1"/>
  <c r="B1987" i="15" s="1"/>
  <c r="B1988" i="15" s="1"/>
  <c r="B1989" i="15" s="1"/>
  <c r="B1990" i="15" s="1"/>
  <c r="B1991" i="15" s="1"/>
  <c r="B1992" i="15" s="1"/>
  <c r="B1993" i="15" s="1"/>
  <c r="B1994" i="15" s="1"/>
  <c r="B1995" i="15" s="1"/>
  <c r="B1996" i="15" s="1"/>
  <c r="B1997" i="15" s="1"/>
  <c r="B1998" i="15" s="1"/>
  <c r="B1999" i="15" s="1"/>
  <c r="B2000" i="15" s="1"/>
  <c r="B2001" i="15" s="1"/>
  <c r="B2002" i="15" s="1"/>
  <c r="B2003" i="15" s="1"/>
  <c r="B2004" i="15" s="1"/>
  <c r="B2005" i="15" s="1"/>
  <c r="B2006" i="15" s="1"/>
  <c r="B2007" i="15" s="1"/>
  <c r="B2008" i="15" s="1"/>
  <c r="B2009" i="15" s="1"/>
  <c r="B2010" i="15" s="1"/>
  <c r="B2011" i="15" s="1"/>
  <c r="B2012" i="15" s="1"/>
  <c r="B2013" i="15" s="1"/>
  <c r="B2014" i="15" s="1"/>
  <c r="B2015" i="15" s="1"/>
  <c r="B2016" i="15" s="1"/>
  <c r="B2017" i="15" s="1"/>
  <c r="B2018" i="15" s="1"/>
  <c r="B2019" i="15" s="1"/>
  <c r="B2020" i="15" s="1"/>
  <c r="B2021" i="15" s="1"/>
  <c r="B2022" i="15" s="1"/>
  <c r="B2023" i="15" s="1"/>
  <c r="B2024" i="15" s="1"/>
  <c r="B2025" i="15" s="1"/>
  <c r="B2026" i="15" s="1"/>
  <c r="B2027" i="15" s="1"/>
  <c r="B2028" i="15" s="1"/>
  <c r="B2029" i="15" s="1"/>
  <c r="B2030" i="15" s="1"/>
  <c r="B2031" i="15" s="1"/>
  <c r="B2032" i="15" s="1"/>
  <c r="B2033" i="15" s="1"/>
  <c r="B2034" i="15" s="1"/>
  <c r="B2035" i="15" s="1"/>
  <c r="B2036" i="15" s="1"/>
  <c r="B2037" i="15" s="1"/>
  <c r="B2038" i="15" s="1"/>
  <c r="B2039" i="15" s="1"/>
  <c r="B2040" i="15" s="1"/>
  <c r="B2041" i="15" s="1"/>
  <c r="B2042" i="15" s="1"/>
  <c r="B2043" i="15" s="1"/>
  <c r="B2044" i="15" s="1"/>
  <c r="B2045" i="15" s="1"/>
  <c r="B2046" i="15" s="1"/>
  <c r="B2047" i="15" s="1"/>
  <c r="B2048" i="15" s="1"/>
  <c r="B2049" i="15" s="1"/>
  <c r="B2050" i="15" s="1"/>
  <c r="B2051" i="15" s="1"/>
  <c r="B2052" i="15" s="1"/>
  <c r="B2053" i="15" s="1"/>
  <c r="B2054" i="15" s="1"/>
  <c r="B2055" i="15" s="1"/>
  <c r="B2056" i="15" s="1"/>
  <c r="B2057" i="15" s="1"/>
  <c r="B2058" i="15" s="1"/>
  <c r="B2059" i="15" s="1"/>
  <c r="B2060" i="15" s="1"/>
  <c r="B2061" i="15" s="1"/>
  <c r="B2062" i="15" s="1"/>
  <c r="B2063" i="15" s="1"/>
  <c r="B2064" i="15" s="1"/>
  <c r="B2065" i="15" s="1"/>
  <c r="B2066" i="15" s="1"/>
  <c r="B2067" i="15" s="1"/>
  <c r="B2068" i="15" s="1"/>
  <c r="B2069" i="15" s="1"/>
  <c r="B2070" i="15" s="1"/>
  <c r="B2071" i="15" s="1"/>
  <c r="B2072" i="15" s="1"/>
  <c r="B2073" i="15" s="1"/>
  <c r="B2074" i="15" s="1"/>
  <c r="B2075" i="15" s="1"/>
  <c r="B2076" i="15" s="1"/>
  <c r="B2077" i="15" s="1"/>
  <c r="B2078" i="15" s="1"/>
  <c r="B2079" i="15" s="1"/>
  <c r="B2080" i="15" s="1"/>
  <c r="B2081" i="15" s="1"/>
  <c r="B2082" i="15" s="1"/>
  <c r="B2083" i="15" s="1"/>
  <c r="B2084" i="15" s="1"/>
  <c r="B2085" i="15" s="1"/>
  <c r="B2086" i="15" s="1"/>
  <c r="B2087" i="15" s="1"/>
  <c r="B2088" i="15" s="1"/>
  <c r="B2089" i="15" s="1"/>
  <c r="B2090" i="15" s="1"/>
  <c r="B2091" i="15" s="1"/>
  <c r="B2092" i="15" s="1"/>
  <c r="B2093" i="15" s="1"/>
  <c r="B2094" i="15" s="1"/>
  <c r="B2095" i="15" s="1"/>
  <c r="B2096" i="15" s="1"/>
  <c r="B2097" i="15" s="1"/>
  <c r="B2098" i="15" s="1"/>
  <c r="B2099" i="15" s="1"/>
  <c r="B2100" i="15" s="1"/>
  <c r="B2101" i="15" s="1"/>
  <c r="B2102" i="15" s="1"/>
  <c r="B2103" i="15" s="1"/>
  <c r="B2104" i="15" s="1"/>
  <c r="B2105" i="15" s="1"/>
  <c r="B2106" i="15" s="1"/>
  <c r="B2107" i="15" s="1"/>
  <c r="B2108" i="15" s="1"/>
  <c r="B2109" i="15" s="1"/>
  <c r="B2110" i="15" s="1"/>
  <c r="B2111" i="15" s="1"/>
  <c r="K152" i="15" l="1"/>
  <c r="K229" i="15"/>
  <c r="H440" i="15"/>
  <c r="K445" i="15"/>
  <c r="K450" i="15"/>
  <c r="K606" i="15"/>
  <c r="H974" i="15"/>
  <c r="H1325" i="15"/>
  <c r="K1469" i="15"/>
  <c r="K1643" i="15"/>
  <c r="I1732" i="15"/>
  <c r="K1783" i="15"/>
  <c r="I33" i="15"/>
  <c r="K33" i="15" s="1"/>
  <c r="K66" i="15"/>
  <c r="K78" i="15"/>
  <c r="J80" i="15"/>
  <c r="I100" i="15"/>
  <c r="I123" i="15"/>
  <c r="K123" i="15" s="1"/>
  <c r="I186" i="15"/>
  <c r="J260" i="15"/>
  <c r="K271" i="15"/>
  <c r="K311" i="15"/>
  <c r="K317" i="15"/>
  <c r="I357" i="15"/>
  <c r="K357" i="15" s="1"/>
  <c r="I387" i="15"/>
  <c r="I416" i="15"/>
  <c r="K416" i="15" s="1"/>
  <c r="K424" i="15"/>
  <c r="H443" i="15"/>
  <c r="I448" i="15"/>
  <c r="K448" i="15" s="1"/>
  <c r="K532" i="15"/>
  <c r="I537" i="15"/>
  <c r="E550" i="15"/>
  <c r="I585" i="15"/>
  <c r="K585" i="15" s="1"/>
  <c r="I592" i="15"/>
  <c r="K600" i="15"/>
  <c r="I616" i="15"/>
  <c r="I619" i="15"/>
  <c r="K619" i="15" s="1"/>
  <c r="I650" i="15"/>
  <c r="K650" i="15" s="1"/>
  <c r="I684" i="15"/>
  <c r="I753" i="15"/>
  <c r="K753" i="15" s="1"/>
  <c r="E768" i="15"/>
  <c r="I815" i="15"/>
  <c r="K862" i="15"/>
  <c r="I891" i="15"/>
  <c r="K891" i="15" s="1"/>
  <c r="E964" i="15"/>
  <c r="J964" i="15" s="1"/>
  <c r="I1048" i="15"/>
  <c r="I1163" i="15"/>
  <c r="E1256" i="15"/>
  <c r="I1256" i="15" s="1"/>
  <c r="I1299" i="15"/>
  <c r="I1339" i="15"/>
  <c r="I1346" i="15"/>
  <c r="I1438" i="15"/>
  <c r="K1530" i="15"/>
  <c r="E1647" i="15"/>
  <c r="I1710" i="15"/>
  <c r="K1710" i="15" s="1"/>
  <c r="E1717" i="15"/>
  <c r="J1717" i="15" s="1"/>
  <c r="E1778" i="15"/>
  <c r="J1778" i="15" s="1"/>
  <c r="J1825" i="15"/>
  <c r="I1946" i="15"/>
  <c r="I1981" i="15"/>
  <c r="K1981" i="15" s="1"/>
  <c r="I2024" i="15"/>
  <c r="K2024" i="15" s="1"/>
  <c r="E2062" i="15"/>
  <c r="I1303" i="15"/>
  <c r="I30" i="15"/>
  <c r="J33" i="15"/>
  <c r="I39" i="15"/>
  <c r="I75" i="15"/>
  <c r="I89" i="15"/>
  <c r="K89" i="15" s="1"/>
  <c r="J126" i="15"/>
  <c r="J131" i="15"/>
  <c r="J194" i="15"/>
  <c r="I306" i="15"/>
  <c r="K326" i="15"/>
  <c r="K385" i="15"/>
  <c r="J387" i="15"/>
  <c r="I413" i="15"/>
  <c r="K413" i="15" s="1"/>
  <c r="I428" i="15"/>
  <c r="I432" i="15"/>
  <c r="K492" i="15"/>
  <c r="K523" i="15"/>
  <c r="K526" i="15"/>
  <c r="K577" i="15"/>
  <c r="K588" i="15"/>
  <c r="E676" i="15"/>
  <c r="I676" i="15" s="1"/>
  <c r="J684" i="15"/>
  <c r="I765" i="15"/>
  <c r="K765" i="15" s="1"/>
  <c r="J815" i="15"/>
  <c r="K889" i="15"/>
  <c r="K914" i="15"/>
  <c r="K923" i="15"/>
  <c r="E1018" i="15"/>
  <c r="J1018" i="15" s="1"/>
  <c r="K1025" i="15"/>
  <c r="H1031" i="15"/>
  <c r="E1056" i="15"/>
  <c r="I1080" i="15"/>
  <c r="I1133" i="15"/>
  <c r="K1160" i="15"/>
  <c r="K1173" i="15"/>
  <c r="K1192" i="15"/>
  <c r="K1200" i="15"/>
  <c r="K1203" i="15"/>
  <c r="J1212" i="15"/>
  <c r="K1246" i="15"/>
  <c r="K1279" i="15"/>
  <c r="H1370" i="15"/>
  <c r="K1382" i="15"/>
  <c r="K1424" i="15"/>
  <c r="I1460" i="15"/>
  <c r="K1460" i="15" s="1"/>
  <c r="K1492" i="15"/>
  <c r="K1515" i="15"/>
  <c r="I1533" i="15"/>
  <c r="I1538" i="15"/>
  <c r="K1574" i="15"/>
  <c r="K1577" i="15"/>
  <c r="K1593" i="15"/>
  <c r="I1596" i="15"/>
  <c r="K1596" i="15" s="1"/>
  <c r="I1769" i="15"/>
  <c r="K1769" i="15" s="1"/>
  <c r="K1772" i="15"/>
  <c r="K1775" i="15"/>
  <c r="K1781" i="15"/>
  <c r="J1880" i="15"/>
  <c r="K1884" i="15"/>
  <c r="K1895" i="15"/>
  <c r="K1904" i="15"/>
  <c r="K1932" i="15"/>
  <c r="J1935" i="15"/>
  <c r="J1946" i="15"/>
  <c r="I1967" i="15"/>
  <c r="K1967" i="15" s="1"/>
  <c r="H1988" i="15"/>
  <c r="K1999" i="15"/>
  <c r="K2002" i="15"/>
  <c r="I2098" i="15"/>
  <c r="K2098" i="15" s="1"/>
  <c r="J2106" i="15"/>
  <c r="K2111" i="15"/>
  <c r="J1303" i="15"/>
  <c r="J30" i="15"/>
  <c r="K30" i="15" s="1"/>
  <c r="K109" i="15"/>
  <c r="K124" i="15"/>
  <c r="K277" i="15"/>
  <c r="J413" i="15"/>
  <c r="J428" i="15"/>
  <c r="H481" i="15"/>
  <c r="I495" i="15"/>
  <c r="K538" i="15"/>
  <c r="J592" i="15"/>
  <c r="I659" i="15"/>
  <c r="H662" i="15"/>
  <c r="K699" i="15"/>
  <c r="K843" i="15"/>
  <c r="K846" i="15"/>
  <c r="I860" i="15"/>
  <c r="J1080" i="15"/>
  <c r="K1122" i="15"/>
  <c r="J1130" i="15"/>
  <c r="K1130" i="15" s="1"/>
  <c r="J1133" i="15"/>
  <c r="K1133" i="15" s="1"/>
  <c r="J1153" i="15"/>
  <c r="E1210" i="15"/>
  <c r="I1210" i="15" s="1"/>
  <c r="J1218" i="15"/>
  <c r="K1329" i="15"/>
  <c r="J1334" i="15"/>
  <c r="K1449" i="15"/>
  <c r="J1488" i="15"/>
  <c r="K1531" i="15"/>
  <c r="K1536" i="15"/>
  <c r="E1730" i="15"/>
  <c r="J1730" i="15" s="1"/>
  <c r="J1733" i="15"/>
  <c r="K1832" i="15"/>
  <c r="I1838" i="15"/>
  <c r="K1891" i="15"/>
  <c r="I1898" i="15"/>
  <c r="I1959" i="15"/>
  <c r="K1959" i="15" s="1"/>
  <c r="I2031" i="15"/>
  <c r="K2031" i="15" s="1"/>
  <c r="K2034" i="15"/>
  <c r="J2102" i="15"/>
  <c r="J37" i="15"/>
  <c r="K37" i="15" s="1"/>
  <c r="I96" i="15"/>
  <c r="H139" i="15"/>
  <c r="J478" i="15"/>
  <c r="K563" i="15"/>
  <c r="K657" i="15"/>
  <c r="K668" i="15"/>
  <c r="I709" i="15"/>
  <c r="K811" i="15"/>
  <c r="E825" i="15"/>
  <c r="K849" i="15"/>
  <c r="K854" i="15"/>
  <c r="K918" i="15"/>
  <c r="K1213" i="15"/>
  <c r="K1266" i="15"/>
  <c r="K1283" i="15"/>
  <c r="I1320" i="15"/>
  <c r="K1320" i="15" s="1"/>
  <c r="K1332" i="15"/>
  <c r="K1416" i="15"/>
  <c r="K1434" i="15"/>
  <c r="K1461" i="15"/>
  <c r="I1668" i="15"/>
  <c r="K1668" i="15" s="1"/>
  <c r="J1838" i="15"/>
  <c r="H1891" i="15"/>
  <c r="E1899" i="15"/>
  <c r="J1899" i="15" s="1"/>
  <c r="J1959" i="15"/>
  <c r="K154" i="15"/>
  <c r="K193" i="15"/>
  <c r="K198" i="15"/>
  <c r="I219" i="15"/>
  <c r="J262" i="15"/>
  <c r="K278" i="15"/>
  <c r="I304" i="15"/>
  <c r="J324" i="15"/>
  <c r="K327" i="15"/>
  <c r="I332" i="15"/>
  <c r="I417" i="15"/>
  <c r="K436" i="15"/>
  <c r="K484" i="15"/>
  <c r="K498" i="15"/>
  <c r="E510" i="15"/>
  <c r="J541" i="15"/>
  <c r="K541" i="15" s="1"/>
  <c r="K556" i="15"/>
  <c r="K569" i="15"/>
  <c r="K584" i="15"/>
  <c r="K620" i="15"/>
  <c r="I731" i="15"/>
  <c r="J821" i="15"/>
  <c r="K828" i="15"/>
  <c r="I1441" i="15"/>
  <c r="E1669" i="15"/>
  <c r="J1669" i="15" s="1"/>
  <c r="E1809" i="15"/>
  <c r="J1809" i="15" s="1"/>
  <c r="E1852" i="15"/>
  <c r="I1888" i="15"/>
  <c r="K1888" i="15" s="1"/>
  <c r="K1971" i="15"/>
  <c r="H1980" i="15"/>
  <c r="K2068" i="15"/>
  <c r="J2075" i="15"/>
  <c r="H2085" i="15"/>
  <c r="K2099" i="15"/>
  <c r="K20" i="15"/>
  <c r="K44" i="15"/>
  <c r="K47" i="15"/>
  <c r="K50" i="15"/>
  <c r="I143" i="15"/>
  <c r="K235" i="15"/>
  <c r="K302" i="15"/>
  <c r="E305" i="15"/>
  <c r="J305" i="15" s="1"/>
  <c r="E333" i="15"/>
  <c r="J333" i="15" s="1"/>
  <c r="K345" i="15"/>
  <c r="K362" i="15"/>
  <c r="K491" i="15"/>
  <c r="K494" i="15"/>
  <c r="K522" i="15"/>
  <c r="J548" i="15"/>
  <c r="K548" i="15" s="1"/>
  <c r="K573" i="15"/>
  <c r="I576" i="15"/>
  <c r="K612" i="15"/>
  <c r="K618" i="15"/>
  <c r="K652" i="15"/>
  <c r="E725" i="15"/>
  <c r="K729" i="15"/>
  <c r="I737" i="15"/>
  <c r="K766" i="15"/>
  <c r="J781" i="15"/>
  <c r="I803" i="15"/>
  <c r="K847" i="15"/>
  <c r="K852" i="15"/>
  <c r="K861" i="15"/>
  <c r="K867" i="15"/>
  <c r="K887" i="15"/>
  <c r="J906" i="15"/>
  <c r="K919" i="15"/>
  <c r="K933" i="15"/>
  <c r="I949" i="15"/>
  <c r="K949" i="15" s="1"/>
  <c r="K970" i="15"/>
  <c r="I1026" i="15"/>
  <c r="K1050" i="15"/>
  <c r="I1054" i="15"/>
  <c r="K1054" i="15" s="1"/>
  <c r="J1198" i="15"/>
  <c r="K1198" i="15" s="1"/>
  <c r="I1204" i="15"/>
  <c r="K1211" i="15"/>
  <c r="K1293" i="15"/>
  <c r="I1330" i="15"/>
  <c r="E1362" i="15"/>
  <c r="J1362" i="15" s="1"/>
  <c r="K1493" i="15"/>
  <c r="K1532" i="15"/>
  <c r="J1547" i="15"/>
  <c r="K1552" i="15"/>
  <c r="J1701" i="15"/>
  <c r="K1701" i="15" s="1"/>
  <c r="K1706" i="15"/>
  <c r="I1764" i="15"/>
  <c r="K1849" i="15"/>
  <c r="K1875" i="15"/>
  <c r="I1882" i="15"/>
  <c r="K1882" i="15" s="1"/>
  <c r="K1989" i="15"/>
  <c r="K2032" i="15"/>
  <c r="K2065" i="15"/>
  <c r="K51" i="15"/>
  <c r="J91" i="15"/>
  <c r="K97" i="15"/>
  <c r="K105" i="15"/>
  <c r="I126" i="15"/>
  <c r="K126" i="15" s="1"/>
  <c r="K131" i="15"/>
  <c r="H134" i="15"/>
  <c r="I134" i="15"/>
  <c r="I157" i="15"/>
  <c r="E225" i="15"/>
  <c r="I225" i="15" s="1"/>
  <c r="J224" i="15"/>
  <c r="I224" i="15"/>
  <c r="I255" i="15"/>
  <c r="J255" i="15"/>
  <c r="I352" i="15"/>
  <c r="K352" i="15" s="1"/>
  <c r="I376" i="15"/>
  <c r="J376" i="15"/>
  <c r="J462" i="15"/>
  <c r="I462" i="15"/>
  <c r="I503" i="15"/>
  <c r="J503" i="15"/>
  <c r="I1030" i="15"/>
  <c r="K1030" i="15" s="1"/>
  <c r="H1030" i="15"/>
  <c r="I28" i="15"/>
  <c r="I73" i="15"/>
  <c r="H141" i="15"/>
  <c r="I141" i="15"/>
  <c r="K141" i="15" s="1"/>
  <c r="J628" i="15"/>
  <c r="I628" i="15"/>
  <c r="K108" i="15"/>
  <c r="J147" i="15"/>
  <c r="I147" i="15"/>
  <c r="J162" i="15"/>
  <c r="I162" i="15"/>
  <c r="E174" i="15"/>
  <c r="I174" i="15" s="1"/>
  <c r="J173" i="15"/>
  <c r="I173" i="15"/>
  <c r="K173" i="15" s="1"/>
  <c r="E1170" i="15"/>
  <c r="J1170" i="15" s="1"/>
  <c r="J1169" i="15"/>
  <c r="I1169" i="15"/>
  <c r="J1196" i="15"/>
  <c r="E1197" i="15"/>
  <c r="J1197" i="15" s="1"/>
  <c r="J1974" i="15"/>
  <c r="I1974" i="15"/>
  <c r="J507" i="15"/>
  <c r="I507" i="15"/>
  <c r="K23" i="15"/>
  <c r="I13" i="15"/>
  <c r="E74" i="15"/>
  <c r="K98" i="15"/>
  <c r="I113" i="15"/>
  <c r="K122" i="15"/>
  <c r="J127" i="15"/>
  <c r="E132" i="15"/>
  <c r="I170" i="15"/>
  <c r="K170" i="15" s="1"/>
  <c r="I276" i="15"/>
  <c r="K276" i="15" s="1"/>
  <c r="H276" i="15"/>
  <c r="K475" i="15"/>
  <c r="J479" i="15"/>
  <c r="I479" i="15"/>
  <c r="K479" i="15" s="1"/>
  <c r="H487" i="15"/>
  <c r="K495" i="15"/>
  <c r="J501" i="15"/>
  <c r="I501" i="15"/>
  <c r="I566" i="15"/>
  <c r="H566" i="15"/>
  <c r="J935" i="15"/>
  <c r="E1445" i="15"/>
  <c r="J1445" i="15" s="1"/>
  <c r="J1444" i="15"/>
  <c r="I1444" i="15"/>
  <c r="J13" i="15"/>
  <c r="K24" i="15"/>
  <c r="I71" i="15"/>
  <c r="K71" i="15" s="1"/>
  <c r="I82" i="15"/>
  <c r="K87" i="15"/>
  <c r="K90" i="15"/>
  <c r="E114" i="15"/>
  <c r="I114" i="15" s="1"/>
  <c r="K125" i="15"/>
  <c r="J163" i="15"/>
  <c r="I163" i="15"/>
  <c r="J209" i="15"/>
  <c r="I209" i="15"/>
  <c r="J365" i="15"/>
  <c r="I365" i="15"/>
  <c r="J431" i="15"/>
  <c r="I431" i="15"/>
  <c r="E594" i="15"/>
  <c r="J594" i="15" s="1"/>
  <c r="J593" i="15"/>
  <c r="I593" i="15"/>
  <c r="I831" i="15"/>
  <c r="J831" i="15"/>
  <c r="H1422" i="15"/>
  <c r="I1422" i="15"/>
  <c r="K1422" i="15" s="1"/>
  <c r="J160" i="15"/>
  <c r="E161" i="15"/>
  <c r="I161" i="15" s="1"/>
  <c r="I160" i="15"/>
  <c r="I110" i="15"/>
  <c r="J297" i="15"/>
  <c r="E298" i="15"/>
  <c r="J298" i="15" s="1"/>
  <c r="I297" i="15"/>
  <c r="K297" i="15" s="1"/>
  <c r="J607" i="15"/>
  <c r="I607" i="15"/>
  <c r="I856" i="15"/>
  <c r="K856" i="15" s="1"/>
  <c r="H856" i="15"/>
  <c r="E72" i="15"/>
  <c r="I72" i="15" s="1"/>
  <c r="J82" i="15"/>
  <c r="E266" i="15"/>
  <c r="I266" i="15" s="1"/>
  <c r="J265" i="15"/>
  <c r="I265" i="15"/>
  <c r="J323" i="15"/>
  <c r="I323" i="15"/>
  <c r="K323" i="15" s="1"/>
  <c r="J404" i="15"/>
  <c r="I404" i="15"/>
  <c r="K404" i="15" s="1"/>
  <c r="J1007" i="15"/>
  <c r="I1007" i="15"/>
  <c r="I1038" i="15"/>
  <c r="K1038" i="15" s="1"/>
  <c r="J1038" i="15"/>
  <c r="J1109" i="15"/>
  <c r="I1109" i="15"/>
  <c r="J1383" i="15"/>
  <c r="I1383" i="15"/>
  <c r="J28" i="15"/>
  <c r="I43" i="15"/>
  <c r="K43" i="15" s="1"/>
  <c r="K22" i="15"/>
  <c r="K27" i="15"/>
  <c r="K197" i="15"/>
  <c r="I210" i="15"/>
  <c r="E211" i="15"/>
  <c r="J210" i="15"/>
  <c r="K258" i="15"/>
  <c r="K303" i="15"/>
  <c r="K320" i="15"/>
  <c r="E381" i="15"/>
  <c r="J380" i="15"/>
  <c r="I380" i="15"/>
  <c r="J511" i="15"/>
  <c r="I511" i="15"/>
  <c r="J634" i="15"/>
  <c r="I634" i="15"/>
  <c r="H976" i="15"/>
  <c r="I976" i="15"/>
  <c r="J1365" i="15"/>
  <c r="I1365" i="15"/>
  <c r="I402" i="15"/>
  <c r="H402" i="15"/>
  <c r="J591" i="15"/>
  <c r="I591" i="15"/>
  <c r="J1082" i="15"/>
  <c r="E1083" i="15"/>
  <c r="I1327" i="15"/>
  <c r="H1327" i="15"/>
  <c r="I1358" i="15"/>
  <c r="J1358" i="15"/>
  <c r="K169" i="15"/>
  <c r="E179" i="15"/>
  <c r="K187" i="15"/>
  <c r="J208" i="15"/>
  <c r="K208" i="15" s="1"/>
  <c r="K232" i="15"/>
  <c r="K234" i="15"/>
  <c r="I260" i="15"/>
  <c r="K260" i="15" s="1"/>
  <c r="K267" i="15"/>
  <c r="K270" i="15"/>
  <c r="K354" i="15"/>
  <c r="I359" i="15"/>
  <c r="K359" i="15" s="1"/>
  <c r="K364" i="15"/>
  <c r="K372" i="15"/>
  <c r="J374" i="15"/>
  <c r="E393" i="15"/>
  <c r="K432" i="15"/>
  <c r="K453" i="15"/>
  <c r="K471" i="15"/>
  <c r="K488" i="15"/>
  <c r="K500" i="15"/>
  <c r="K516" i="15"/>
  <c r="K609" i="15"/>
  <c r="K614" i="15"/>
  <c r="K616" i="15"/>
  <c r="K695" i="15"/>
  <c r="K698" i="15"/>
  <c r="K788" i="15"/>
  <c r="K805" i="15"/>
  <c r="K808" i="15"/>
  <c r="K863" i="15"/>
  <c r="K967" i="15"/>
  <c r="K978" i="15"/>
  <c r="K987" i="15"/>
  <c r="K1000" i="15"/>
  <c r="E1009" i="15"/>
  <c r="K1035" i="15"/>
  <c r="K1040" i="15"/>
  <c r="K1046" i="15"/>
  <c r="K1075" i="15"/>
  <c r="E1234" i="15"/>
  <c r="J1233" i="15"/>
  <c r="K1433" i="15"/>
  <c r="J1462" i="15"/>
  <c r="J1699" i="15"/>
  <c r="E1700" i="15"/>
  <c r="J1700" i="15" s="1"/>
  <c r="I1699" i="15"/>
  <c r="I1737" i="15"/>
  <c r="J1737" i="15"/>
  <c r="K1786" i="15"/>
  <c r="K1796" i="15"/>
  <c r="K1806" i="15"/>
  <c r="K1906" i="15"/>
  <c r="K1995" i="15"/>
  <c r="K625" i="15"/>
  <c r="K654" i="15"/>
  <c r="K659" i="15"/>
  <c r="K734" i="15"/>
  <c r="K737" i="15"/>
  <c r="K794" i="15"/>
  <c r="K803" i="15"/>
  <c r="I1134" i="15"/>
  <c r="J1134" i="15"/>
  <c r="I1227" i="15"/>
  <c r="J1227" i="15"/>
  <c r="J1479" i="15"/>
  <c r="I1479" i="15"/>
  <c r="K1479" i="15" s="1"/>
  <c r="E1499" i="15"/>
  <c r="J1499" i="15" s="1"/>
  <c r="J1498" i="15"/>
  <c r="I1498" i="15"/>
  <c r="E1625" i="15"/>
  <c r="J1625" i="15" s="1"/>
  <c r="J1624" i="15"/>
  <c r="K1624" i="15" s="1"/>
  <c r="I1624" i="15"/>
  <c r="I1642" i="15"/>
  <c r="H1642" i="15"/>
  <c r="J2049" i="15"/>
  <c r="I2049" i="15"/>
  <c r="I2084" i="15"/>
  <c r="K2084" i="15" s="1"/>
  <c r="H2084" i="15"/>
  <c r="K138" i="15"/>
  <c r="K149" i="15"/>
  <c r="K159" i="15"/>
  <c r="K195" i="15"/>
  <c r="K233" i="15"/>
  <c r="K281" i="15"/>
  <c r="E307" i="15"/>
  <c r="E308" i="15" s="1"/>
  <c r="K318" i="15"/>
  <c r="K325" i="15"/>
  <c r="K360" i="15"/>
  <c r="K373" i="15"/>
  <c r="J383" i="15"/>
  <c r="K383" i="15" s="1"/>
  <c r="K396" i="15"/>
  <c r="K399" i="15"/>
  <c r="K412" i="15"/>
  <c r="K435" i="15"/>
  <c r="J464" i="15"/>
  <c r="K464" i="15" s="1"/>
  <c r="E517" i="15"/>
  <c r="K557" i="15"/>
  <c r="K560" i="15"/>
  <c r="H571" i="15"/>
  <c r="H573" i="15"/>
  <c r="H610" i="15"/>
  <c r="H615" i="15"/>
  <c r="K688" i="15"/>
  <c r="H749" i="15"/>
  <c r="K809" i="15"/>
  <c r="E836" i="15"/>
  <c r="I836" i="15" s="1"/>
  <c r="E892" i="15"/>
  <c r="K920" i="15"/>
  <c r="K976" i="15"/>
  <c r="K979" i="15"/>
  <c r="K982" i="15"/>
  <c r="K985" i="15"/>
  <c r="K1047" i="15"/>
  <c r="J1064" i="15"/>
  <c r="K1064" i="15" s="1"/>
  <c r="E1065" i="15"/>
  <c r="J1065" i="15" s="1"/>
  <c r="I1073" i="15"/>
  <c r="J1073" i="15"/>
  <c r="J1098" i="15"/>
  <c r="E1099" i="15"/>
  <c r="I1098" i="15"/>
  <c r="K1123" i="15"/>
  <c r="J1184" i="15"/>
  <c r="E1185" i="15"/>
  <c r="J1185" i="15" s="1"/>
  <c r="K1215" i="15"/>
  <c r="K1264" i="15"/>
  <c r="I1268" i="15"/>
  <c r="E1269" i="15"/>
  <c r="J1269" i="15" s="1"/>
  <c r="J1268" i="15"/>
  <c r="K1375" i="15"/>
  <c r="I1393" i="15"/>
  <c r="J1393" i="15"/>
  <c r="K1476" i="15"/>
  <c r="K1510" i="15"/>
  <c r="I1639" i="15"/>
  <c r="K1639" i="15" s="1"/>
  <c r="K1823" i="15"/>
  <c r="E1921" i="15"/>
  <c r="I1920" i="15"/>
  <c r="K2043" i="15"/>
  <c r="J1140" i="15"/>
  <c r="K1140" i="15" s="1"/>
  <c r="J2012" i="15"/>
  <c r="K433" i="15"/>
  <c r="K444" i="15"/>
  <c r="K449" i="15"/>
  <c r="K535" i="15"/>
  <c r="K566" i="15"/>
  <c r="I581" i="15"/>
  <c r="K581" i="15" s="1"/>
  <c r="K605" i="15"/>
  <c r="K655" i="15"/>
  <c r="K665" i="15"/>
  <c r="K752" i="15"/>
  <c r="K783" i="15"/>
  <c r="H795" i="15"/>
  <c r="I875" i="15"/>
  <c r="K875" i="15" s="1"/>
  <c r="E901" i="15"/>
  <c r="J901" i="15" s="1"/>
  <c r="E908" i="15"/>
  <c r="J910" i="15"/>
  <c r="I931" i="15"/>
  <c r="K931" i="15" s="1"/>
  <c r="J940" i="15"/>
  <c r="K940" i="15" s="1"/>
  <c r="I988" i="15"/>
  <c r="K988" i="15" s="1"/>
  <c r="J1001" i="15"/>
  <c r="E1014" i="15"/>
  <c r="I1019" i="15"/>
  <c r="K1019" i="15" s="1"/>
  <c r="J1180" i="15"/>
  <c r="E1181" i="15"/>
  <c r="J1181" i="15" s="1"/>
  <c r="I1453" i="15"/>
  <c r="E1686" i="15"/>
  <c r="J1685" i="15"/>
  <c r="I1685" i="15"/>
  <c r="K1685" i="15" s="1"/>
  <c r="E1756" i="15"/>
  <c r="J1755" i="15"/>
  <c r="I1755" i="15"/>
  <c r="J1941" i="15"/>
  <c r="I1941" i="15"/>
  <c r="H312" i="15"/>
  <c r="H317" i="15"/>
  <c r="H319" i="15"/>
  <c r="K368" i="15"/>
  <c r="K717" i="15"/>
  <c r="J769" i="15"/>
  <c r="H857" i="15"/>
  <c r="K924" i="15"/>
  <c r="K929" i="15"/>
  <c r="I934" i="15"/>
  <c r="I937" i="15"/>
  <c r="E941" i="15"/>
  <c r="J941" i="15" s="1"/>
  <c r="I955" i="15"/>
  <c r="K955" i="15" s="1"/>
  <c r="I962" i="15"/>
  <c r="K962" i="15" s="1"/>
  <c r="I965" i="15"/>
  <c r="K986" i="15"/>
  <c r="I991" i="15"/>
  <c r="K991" i="15" s="1"/>
  <c r="J999" i="15"/>
  <c r="K999" i="15" s="1"/>
  <c r="E1005" i="15"/>
  <c r="J1005" i="15" s="1"/>
  <c r="E1011" i="15"/>
  <c r="J1011" i="15" s="1"/>
  <c r="K1031" i="15"/>
  <c r="I1057" i="15"/>
  <c r="I1064" i="15"/>
  <c r="E1074" i="15"/>
  <c r="J1074" i="15" s="1"/>
  <c r="K1087" i="15"/>
  <c r="H1090" i="15"/>
  <c r="E1125" i="15"/>
  <c r="J1124" i="15"/>
  <c r="I1124" i="15"/>
  <c r="K1171" i="15"/>
  <c r="K1174" i="15"/>
  <c r="J1210" i="15"/>
  <c r="K1210" i="15" s="1"/>
  <c r="I1222" i="15"/>
  <c r="K1222" i="15" s="1"/>
  <c r="K1297" i="15"/>
  <c r="J1300" i="15"/>
  <c r="I1300" i="15"/>
  <c r="J1343" i="15"/>
  <c r="E1344" i="15"/>
  <c r="J1344" i="15" s="1"/>
  <c r="J1352" i="15"/>
  <c r="E1353" i="15"/>
  <c r="J1353" i="15" s="1"/>
  <c r="I1352" i="15"/>
  <c r="I1378" i="15"/>
  <c r="K1450" i="15"/>
  <c r="K1533" i="15"/>
  <c r="E1571" i="15"/>
  <c r="J1571" i="15" s="1"/>
  <c r="J1570" i="15"/>
  <c r="I1570" i="15"/>
  <c r="H1712" i="15"/>
  <c r="I1852" i="15"/>
  <c r="J1852" i="15"/>
  <c r="J1912" i="15"/>
  <c r="E1913" i="15"/>
  <c r="I1986" i="15"/>
  <c r="K1986" i="15" s="1"/>
  <c r="H1986" i="15"/>
  <c r="J2060" i="15"/>
  <c r="I2060" i="15"/>
  <c r="J2072" i="15"/>
  <c r="K2072" i="15" s="1"/>
  <c r="I2072" i="15"/>
  <c r="K142" i="15"/>
  <c r="K150" i="15"/>
  <c r="I181" i="15"/>
  <c r="K181" i="15" s="1"/>
  <c r="H189" i="15"/>
  <c r="J221" i="15"/>
  <c r="K221" i="15" s="1"/>
  <c r="I228" i="15"/>
  <c r="K228" i="15" s="1"/>
  <c r="H234" i="15"/>
  <c r="I239" i="15"/>
  <c r="K239" i="15" s="1"/>
  <c r="J346" i="15"/>
  <c r="K346" i="15" s="1"/>
  <c r="H361" i="15"/>
  <c r="K363" i="15"/>
  <c r="I392" i="15"/>
  <c r="K392" i="15" s="1"/>
  <c r="H395" i="15"/>
  <c r="H434" i="15"/>
  <c r="K480" i="15"/>
  <c r="H488" i="15"/>
  <c r="H490" i="15"/>
  <c r="K515" i="15"/>
  <c r="K576" i="15"/>
  <c r="I653" i="15"/>
  <c r="K709" i="15"/>
  <c r="H793" i="15"/>
  <c r="K810" i="15"/>
  <c r="K815" i="15"/>
  <c r="K850" i="15"/>
  <c r="K890" i="15"/>
  <c r="I913" i="15"/>
  <c r="J934" i="15"/>
  <c r="E948" i="15"/>
  <c r="J948" i="15" s="1"/>
  <c r="K959" i="15"/>
  <c r="I969" i="15"/>
  <c r="K969" i="15" s="1"/>
  <c r="J991" i="15"/>
  <c r="I1008" i="15"/>
  <c r="K1008" i="15" s="1"/>
  <c r="I1022" i="15"/>
  <c r="K1022" i="15" s="1"/>
  <c r="J1057" i="15"/>
  <c r="I1289" i="15"/>
  <c r="E1290" i="15"/>
  <c r="J1290" i="15" s="1"/>
  <c r="J1289" i="15"/>
  <c r="K1289" i="15" s="1"/>
  <c r="I1468" i="15"/>
  <c r="H1468" i="15"/>
  <c r="J1528" i="15"/>
  <c r="K1528" i="15" s="1"/>
  <c r="E1529" i="15"/>
  <c r="J1529" i="15" s="1"/>
  <c r="E1703" i="15"/>
  <c r="J1702" i="15"/>
  <c r="I1744" i="15"/>
  <c r="J1744" i="15"/>
  <c r="I1816" i="15"/>
  <c r="K1816" i="15" s="1"/>
  <c r="H1816" i="15"/>
  <c r="E1938" i="15"/>
  <c r="J1937" i="15"/>
  <c r="I1937" i="15"/>
  <c r="J1954" i="15"/>
  <c r="I1954" i="15"/>
  <c r="K1954" i="15" s="1"/>
  <c r="K145" i="15"/>
  <c r="K171" i="15"/>
  <c r="J178" i="15"/>
  <c r="K178" i="15" s="1"/>
  <c r="K191" i="15"/>
  <c r="E222" i="15"/>
  <c r="J222" i="15" s="1"/>
  <c r="K344" i="15"/>
  <c r="E347" i="15"/>
  <c r="K356" i="15"/>
  <c r="J366" i="15"/>
  <c r="K366" i="15" s="1"/>
  <c r="K369" i="15"/>
  <c r="I374" i="15"/>
  <c r="I509" i="15"/>
  <c r="K509" i="15" s="1"/>
  <c r="J512" i="15"/>
  <c r="K512" i="15" s="1"/>
  <c r="I558" i="15"/>
  <c r="K565" i="15"/>
  <c r="K567" i="15"/>
  <c r="K574" i="15"/>
  <c r="E590" i="15"/>
  <c r="K611" i="15"/>
  <c r="K629" i="15"/>
  <c r="E633" i="15"/>
  <c r="J633" i="15" s="1"/>
  <c r="K653" i="15"/>
  <c r="K656" i="15"/>
  <c r="K707" i="15"/>
  <c r="K778" i="15"/>
  <c r="K784" i="15"/>
  <c r="K842" i="15"/>
  <c r="K845" i="15"/>
  <c r="K866" i="15"/>
  <c r="K871" i="15"/>
  <c r="K876" i="15"/>
  <c r="K906" i="15"/>
  <c r="K927" i="15"/>
  <c r="K945" i="15"/>
  <c r="K984" i="15"/>
  <c r="I1017" i="15"/>
  <c r="K1017" i="15" s="1"/>
  <c r="J1022" i="15"/>
  <c r="J1178" i="15"/>
  <c r="I1178" i="15"/>
  <c r="K1178" i="15" s="1"/>
  <c r="E1405" i="15"/>
  <c r="I1405" i="15" s="1"/>
  <c r="J1404" i="15"/>
  <c r="E1452" i="15"/>
  <c r="J1452" i="15" s="1"/>
  <c r="J1451" i="15"/>
  <c r="I1451" i="15"/>
  <c r="H1465" i="15"/>
  <c r="E1482" i="15"/>
  <c r="J1482" i="15" s="1"/>
  <c r="J1481" i="15"/>
  <c r="K1481" i="15" s="1"/>
  <c r="I1559" i="15"/>
  <c r="J1559" i="15"/>
  <c r="J1563" i="15"/>
  <c r="E1564" i="15"/>
  <c r="J1564" i="15" s="1"/>
  <c r="I1563" i="15"/>
  <c r="K1563" i="15" s="1"/>
  <c r="I1581" i="15"/>
  <c r="K1581" i="15" s="1"/>
  <c r="I1628" i="15"/>
  <c r="J1628" i="15"/>
  <c r="K1728" i="15"/>
  <c r="J1909" i="15"/>
  <c r="I1909" i="15"/>
  <c r="K1931" i="15"/>
  <c r="K1998" i="15"/>
  <c r="J2007" i="15"/>
  <c r="I2007" i="15"/>
  <c r="I1092" i="15"/>
  <c r="J1141" i="15"/>
  <c r="K1153" i="15"/>
  <c r="K1179" i="15"/>
  <c r="I1182" i="15"/>
  <c r="K1182" i="15" s="1"/>
  <c r="K1191" i="15"/>
  <c r="J1209" i="15"/>
  <c r="K1209" i="15" s="1"/>
  <c r="K1218" i="15"/>
  <c r="J1224" i="15"/>
  <c r="K1238" i="15"/>
  <c r="J1255" i="15"/>
  <c r="K1255" i="15" s="1"/>
  <c r="K1270" i="15"/>
  <c r="K1282" i="15"/>
  <c r="K1364" i="15"/>
  <c r="I1372" i="15"/>
  <c r="J1415" i="15"/>
  <c r="K1415" i="15" s="1"/>
  <c r="K1427" i="15"/>
  <c r="H1464" i="15"/>
  <c r="E1491" i="15"/>
  <c r="J1491" i="15" s="1"/>
  <c r="K1535" i="15"/>
  <c r="I1547" i="15"/>
  <c r="K1547" i="15" s="1"/>
  <c r="J1551" i="15"/>
  <c r="K1565" i="15"/>
  <c r="J1614" i="15"/>
  <c r="I1638" i="15"/>
  <c r="K1638" i="15" s="1"/>
  <c r="K1671" i="15"/>
  <c r="K1698" i="15"/>
  <c r="K1714" i="15"/>
  <c r="J1716" i="15"/>
  <c r="K1716" i="15" s="1"/>
  <c r="K1725" i="15"/>
  <c r="E1761" i="15"/>
  <c r="J1761" i="15" s="1"/>
  <c r="J1766" i="15"/>
  <c r="K1766" i="15" s="1"/>
  <c r="J1808" i="15"/>
  <c r="K1815" i="15"/>
  <c r="I1825" i="15"/>
  <c r="J1854" i="15"/>
  <c r="K1863" i="15"/>
  <c r="H1885" i="15"/>
  <c r="K1898" i="15"/>
  <c r="I1908" i="15"/>
  <c r="J1923" i="15"/>
  <c r="J1926" i="15"/>
  <c r="K1926" i="15" s="1"/>
  <c r="I1933" i="15"/>
  <c r="K1933" i="15" s="1"/>
  <c r="E1953" i="15"/>
  <c r="J1955" i="15"/>
  <c r="K1970" i="15"/>
  <c r="E1976" i="15"/>
  <c r="I1985" i="15"/>
  <c r="K1985" i="15" s="1"/>
  <c r="J2011" i="15"/>
  <c r="I2040" i="15"/>
  <c r="K2040" i="15" s="1"/>
  <c r="K2048" i="15"/>
  <c r="J2055" i="15"/>
  <c r="K2055" i="15" s="1"/>
  <c r="J2061" i="15"/>
  <c r="K2061" i="15" s="1"/>
  <c r="I2106" i="15"/>
  <c r="K2106" i="15" s="1"/>
  <c r="K1678" i="15"/>
  <c r="K1740" i="15"/>
  <c r="K1784" i="15"/>
  <c r="I1841" i="15"/>
  <c r="K1896" i="15"/>
  <c r="K1901" i="15"/>
  <c r="K1944" i="15"/>
  <c r="K2021" i="15"/>
  <c r="K2056" i="15"/>
  <c r="K2075" i="15"/>
  <c r="I832" i="15"/>
  <c r="K1096" i="15"/>
  <c r="K1158" i="15"/>
  <c r="K1175" i="15"/>
  <c r="K1205" i="15"/>
  <c r="K1216" i="15"/>
  <c r="K1271" i="15"/>
  <c r="K1274" i="15"/>
  <c r="K1284" i="15"/>
  <c r="K1292" i="15"/>
  <c r="K1295" i="15"/>
  <c r="K1338" i="15"/>
  <c r="K1376" i="15"/>
  <c r="K1381" i="15"/>
  <c r="K1420" i="15"/>
  <c r="K1474" i="15"/>
  <c r="K2095" i="15"/>
  <c r="K1245" i="15"/>
  <c r="H1582" i="15"/>
  <c r="K1650" i="15"/>
  <c r="H1768" i="15"/>
  <c r="K1779" i="15"/>
  <c r="K2029" i="15"/>
  <c r="H2037" i="15"/>
  <c r="K2047" i="15"/>
  <c r="K2090" i="15"/>
  <c r="I2100" i="15"/>
  <c r="K1091" i="15"/>
  <c r="I1094" i="15"/>
  <c r="J1113" i="15"/>
  <c r="K1113" i="15" s="1"/>
  <c r="E1118" i="15"/>
  <c r="I1118" i="15" s="1"/>
  <c r="J1137" i="15"/>
  <c r="I1152" i="15"/>
  <c r="K1152" i="15" s="1"/>
  <c r="J1263" i="15"/>
  <c r="K1263" i="15" s="1"/>
  <c r="H1282" i="15"/>
  <c r="K1327" i="15"/>
  <c r="E1360" i="15"/>
  <c r="J1360" i="15" s="1"/>
  <c r="I1374" i="15"/>
  <c r="K1374" i="15" s="1"/>
  <c r="I1412" i="15"/>
  <c r="K1417" i="15"/>
  <c r="I1426" i="15"/>
  <c r="K1426" i="15" s="1"/>
  <c r="I1477" i="15"/>
  <c r="I1490" i="15"/>
  <c r="K1490" i="15" s="1"/>
  <c r="I1496" i="15"/>
  <c r="K1496" i="15" s="1"/>
  <c r="I1502" i="15"/>
  <c r="K1502" i="15" s="1"/>
  <c r="I1509" i="15"/>
  <c r="K1509" i="15" s="1"/>
  <c r="J1511" i="15"/>
  <c r="K1511" i="15" s="1"/>
  <c r="H1515" i="15"/>
  <c r="I1521" i="15"/>
  <c r="K1521" i="15" s="1"/>
  <c r="I1539" i="15"/>
  <c r="H1580" i="15"/>
  <c r="J1617" i="15"/>
  <c r="K1617" i="15" s="1"/>
  <c r="H1640" i="15"/>
  <c r="K1642" i="15"/>
  <c r="J1656" i="15"/>
  <c r="K1656" i="15" s="1"/>
  <c r="E1660" i="15"/>
  <c r="J1660" i="15" s="1"/>
  <c r="J1662" i="15"/>
  <c r="I1727" i="15"/>
  <c r="J1782" i="15"/>
  <c r="I1830" i="15"/>
  <c r="K1830" i="15" s="1"/>
  <c r="I1870" i="15"/>
  <c r="I1877" i="15"/>
  <c r="H1890" i="15"/>
  <c r="K1994" i="15"/>
  <c r="I2079" i="15"/>
  <c r="K2079" i="15" s="1"/>
  <c r="K1062" i="15"/>
  <c r="E1138" i="15"/>
  <c r="J1138" i="15" s="1"/>
  <c r="I1141" i="15"/>
  <c r="K1141" i="15" s="1"/>
  <c r="K1149" i="15"/>
  <c r="K1162" i="15"/>
  <c r="K1232" i="15"/>
  <c r="K1275" i="15"/>
  <c r="I1285" i="15"/>
  <c r="K1328" i="15"/>
  <c r="K1333" i="15"/>
  <c r="K1342" i="15"/>
  <c r="E1357" i="15"/>
  <c r="J1357" i="15" s="1"/>
  <c r="J1379" i="15"/>
  <c r="K1379" i="15" s="1"/>
  <c r="K1421" i="15"/>
  <c r="I1454" i="15"/>
  <c r="K1464" i="15"/>
  <c r="K1475" i="15"/>
  <c r="E1568" i="15"/>
  <c r="J1568" i="15" s="1"/>
  <c r="K1622" i="15"/>
  <c r="I1632" i="15"/>
  <c r="K1632" i="15" s="1"/>
  <c r="E1739" i="15"/>
  <c r="J1739" i="15" s="1"/>
  <c r="J1760" i="15"/>
  <c r="K1788" i="15"/>
  <c r="I1836" i="15"/>
  <c r="I1842" i="15"/>
  <c r="I1866" i="15"/>
  <c r="K1866" i="15" s="1"/>
  <c r="J1870" i="15"/>
  <c r="K1870" i="15" s="1"/>
  <c r="J1877" i="15"/>
  <c r="J1922" i="15"/>
  <c r="J1952" i="15"/>
  <c r="K1952" i="15" s="1"/>
  <c r="I1955" i="15"/>
  <c r="J1975" i="15"/>
  <c r="K1975" i="15" s="1"/>
  <c r="K2059" i="15"/>
  <c r="I2070" i="15"/>
  <c r="K2082" i="15"/>
  <c r="K2102" i="15"/>
  <c r="I2109" i="15"/>
  <c r="I1962" i="15"/>
  <c r="J1792" i="15"/>
  <c r="I1792" i="15"/>
  <c r="I1903" i="15"/>
  <c r="J1903" i="15"/>
  <c r="I250" i="15"/>
  <c r="K250" i="15" s="1"/>
  <c r="K41" i="15"/>
  <c r="K146" i="15"/>
  <c r="K202" i="15"/>
  <c r="K282" i="15"/>
  <c r="K401" i="15"/>
  <c r="K528" i="15"/>
  <c r="J597" i="15"/>
  <c r="I597" i="15"/>
  <c r="J719" i="15"/>
  <c r="I719" i="15"/>
  <c r="J830" i="15"/>
  <c r="I830" i="15"/>
  <c r="I1146" i="15"/>
  <c r="J1146" i="15"/>
  <c r="J1309" i="15"/>
  <c r="I1309" i="15"/>
  <c r="E1310" i="15"/>
  <c r="J1310" i="15" s="1"/>
  <c r="J1696" i="15"/>
  <c r="I1696" i="15"/>
  <c r="K21" i="15"/>
  <c r="K26" i="15"/>
  <c r="K35" i="15"/>
  <c r="K42" i="15"/>
  <c r="K53" i="15"/>
  <c r="K92" i="15"/>
  <c r="K95" i="15"/>
  <c r="K100" i="15"/>
  <c r="K103" i="15"/>
  <c r="K134" i="15"/>
  <c r="K144" i="15"/>
  <c r="K183" i="15"/>
  <c r="K200" i="15"/>
  <c r="J214" i="15"/>
  <c r="K218" i="15"/>
  <c r="K237" i="15"/>
  <c r="K242" i="15"/>
  <c r="I253" i="15"/>
  <c r="K253" i="15" s="1"/>
  <c r="J266" i="15"/>
  <c r="K266" i="15" s="1"/>
  <c r="K269" i="15"/>
  <c r="K280" i="15"/>
  <c r="K285" i="15"/>
  <c r="K316" i="15"/>
  <c r="K322" i="15"/>
  <c r="K331" i="15"/>
  <c r="I334" i="15"/>
  <c r="K343" i="15"/>
  <c r="K361" i="15"/>
  <c r="K371" i="15"/>
  <c r="K402" i="15"/>
  <c r="K409" i="15"/>
  <c r="J422" i="15"/>
  <c r="K422" i="15" s="1"/>
  <c r="K425" i="15"/>
  <c r="K438" i="15"/>
  <c r="K441" i="15"/>
  <c r="K446" i="15"/>
  <c r="K458" i="15"/>
  <c r="K460" i="15"/>
  <c r="K478" i="15"/>
  <c r="K483" i="15"/>
  <c r="K486" i="15"/>
  <c r="K496" i="15"/>
  <c r="K503" i="15"/>
  <c r="K518" i="15"/>
  <c r="K529" i="15"/>
  <c r="I547" i="15"/>
  <c r="K547" i="15" s="1"/>
  <c r="K591" i="15"/>
  <c r="K593" i="15"/>
  <c r="K715" i="15"/>
  <c r="I816" i="15"/>
  <c r="J816" i="15"/>
  <c r="K848" i="15"/>
  <c r="K853" i="15"/>
  <c r="K858" i="15"/>
  <c r="K913" i="15"/>
  <c r="K916" i="15"/>
  <c r="K935" i="15"/>
  <c r="J951" i="15"/>
  <c r="K951" i="15" s="1"/>
  <c r="K1095" i="15"/>
  <c r="J1115" i="15"/>
  <c r="E1116" i="15"/>
  <c r="J1172" i="15"/>
  <c r="K1172" i="15" s="1"/>
  <c r="J1189" i="15"/>
  <c r="E1190" i="15"/>
  <c r="J1190" i="15" s="1"/>
  <c r="K1470" i="15"/>
  <c r="J1860" i="15"/>
  <c r="E1861" i="15"/>
  <c r="I1861" i="15" s="1"/>
  <c r="K1861" i="15" s="1"/>
  <c r="J1868" i="15"/>
  <c r="E1869" i="15"/>
  <c r="K214" i="15"/>
  <c r="J893" i="15"/>
  <c r="I893" i="15"/>
  <c r="I1234" i="15"/>
  <c r="J1234" i="15"/>
  <c r="K1234" i="15" s="1"/>
  <c r="I825" i="15"/>
  <c r="K825" i="15" s="1"/>
  <c r="J825" i="15"/>
  <c r="I899" i="15"/>
  <c r="J899" i="15"/>
  <c r="E952" i="15"/>
  <c r="J952" i="15" s="1"/>
  <c r="I1261" i="15"/>
  <c r="J1261" i="15"/>
  <c r="E1262" i="15"/>
  <c r="J1262" i="15" s="1"/>
  <c r="I1484" i="15"/>
  <c r="K1484" i="15" s="1"/>
  <c r="J1484" i="15"/>
  <c r="E1501" i="15"/>
  <c r="J1500" i="15"/>
  <c r="I1500" i="15"/>
  <c r="K398" i="15"/>
  <c r="I40" i="15"/>
  <c r="K40" i="15" s="1"/>
  <c r="J77" i="15"/>
  <c r="K77" i="15" s="1"/>
  <c r="I115" i="15"/>
  <c r="K115" i="15" s="1"/>
  <c r="I137" i="15"/>
  <c r="K137" i="15" s="1"/>
  <c r="J253" i="15"/>
  <c r="I295" i="15"/>
  <c r="K295" i="15" s="1"/>
  <c r="I463" i="15"/>
  <c r="K463" i="15" s="1"/>
  <c r="K245" i="15"/>
  <c r="K394" i="15"/>
  <c r="K451" i="15"/>
  <c r="I992" i="15"/>
  <c r="J992" i="15"/>
  <c r="K1084" i="15"/>
  <c r="J1143" i="15"/>
  <c r="E1144" i="15"/>
  <c r="E1147" i="15"/>
  <c r="J1147" i="15" s="1"/>
  <c r="J1349" i="15"/>
  <c r="E1350" i="15"/>
  <c r="J1350" i="15" s="1"/>
  <c r="K1371" i="15"/>
  <c r="J1399" i="15"/>
  <c r="I1399" i="15"/>
  <c r="I1601" i="15"/>
  <c r="J1601" i="15"/>
  <c r="J1853" i="15"/>
  <c r="I1853" i="15"/>
  <c r="J2081" i="15"/>
  <c r="I2081" i="15"/>
  <c r="K2081" i="15" s="1"/>
  <c r="K38" i="15"/>
  <c r="K62" i="15"/>
  <c r="J230" i="15"/>
  <c r="K230" i="15" s="1"/>
  <c r="E296" i="15"/>
  <c r="K355" i="15"/>
  <c r="I15" i="15"/>
  <c r="K15" i="15" s="1"/>
  <c r="K56" i="15"/>
  <c r="K59" i="15"/>
  <c r="K106" i="15"/>
  <c r="K194" i="15"/>
  <c r="I212" i="15"/>
  <c r="I249" i="15"/>
  <c r="K249" i="15" s="1"/>
  <c r="J251" i="15"/>
  <c r="K251" i="15" s="1"/>
  <c r="K286" i="15"/>
  <c r="K289" i="15"/>
  <c r="I340" i="15"/>
  <c r="K340" i="15" s="1"/>
  <c r="K367" i="15"/>
  <c r="K410" i="15"/>
  <c r="I415" i="15"/>
  <c r="J417" i="15"/>
  <c r="K417" i="15" s="1"/>
  <c r="I421" i="15"/>
  <c r="K421" i="15" s="1"/>
  <c r="J469" i="15"/>
  <c r="E508" i="15"/>
  <c r="J640" i="15"/>
  <c r="K640" i="15" s="1"/>
  <c r="I640" i="15"/>
  <c r="J677" i="15"/>
  <c r="I677" i="15"/>
  <c r="K769" i="15"/>
  <c r="I895" i="15"/>
  <c r="K895" i="15" s="1"/>
  <c r="J895" i="15"/>
  <c r="J1006" i="15"/>
  <c r="I1006" i="15"/>
  <c r="J1635" i="15"/>
  <c r="I1635" i="15"/>
  <c r="I1651" i="15"/>
  <c r="J1651" i="15"/>
  <c r="K205" i="15"/>
  <c r="K485" i="15"/>
  <c r="J72" i="15"/>
  <c r="K72" i="15" s="1"/>
  <c r="E423" i="15"/>
  <c r="K469" i="15"/>
  <c r="E552" i="15"/>
  <c r="I552" i="15" s="1"/>
  <c r="I551" i="15"/>
  <c r="J598" i="15"/>
  <c r="E599" i="15"/>
  <c r="I599" i="15" s="1"/>
  <c r="I681" i="15"/>
  <c r="E682" i="15"/>
  <c r="K162" i="15"/>
  <c r="K209" i="15"/>
  <c r="E16" i="15"/>
  <c r="E17" i="15" s="1"/>
  <c r="K63" i="15"/>
  <c r="K73" i="15"/>
  <c r="K80" i="15"/>
  <c r="K91" i="15"/>
  <c r="K153" i="15"/>
  <c r="I184" i="15"/>
  <c r="K184" i="15" s="1"/>
  <c r="K192" i="15"/>
  <c r="K201" i="15"/>
  <c r="K204" i="15"/>
  <c r="J212" i="15"/>
  <c r="K219" i="15"/>
  <c r="K226" i="15"/>
  <c r="K231" i="15"/>
  <c r="E252" i="15"/>
  <c r="K262" i="15"/>
  <c r="K284" i="15"/>
  <c r="I299" i="15"/>
  <c r="K299" i="15" s="1"/>
  <c r="K330" i="15"/>
  <c r="K351" i="15"/>
  <c r="K397" i="15"/>
  <c r="K408" i="15"/>
  <c r="K442" i="15"/>
  <c r="K447" i="15"/>
  <c r="K452" i="15"/>
  <c r="E470" i="15"/>
  <c r="J470" i="15" s="1"/>
  <c r="K472" i="15"/>
  <c r="K482" i="15"/>
  <c r="K487" i="15"/>
  <c r="I499" i="15"/>
  <c r="K499" i="15" s="1"/>
  <c r="K501" i="15"/>
  <c r="I519" i="15"/>
  <c r="I635" i="15"/>
  <c r="K663" i="15"/>
  <c r="K691" i="15"/>
  <c r="K801" i="15"/>
  <c r="K943" i="15"/>
  <c r="K946" i="15"/>
  <c r="I950" i="15"/>
  <c r="J950" i="15"/>
  <c r="J1127" i="15"/>
  <c r="I1127" i="15"/>
  <c r="K1212" i="15"/>
  <c r="I1265" i="15"/>
  <c r="K1265" i="15" s="1"/>
  <c r="J1265" i="15"/>
  <c r="J1602" i="15"/>
  <c r="E1603" i="15"/>
  <c r="J1603" i="15" s="1"/>
  <c r="E1848" i="15"/>
  <c r="J1848" i="15" s="1"/>
  <c r="I1847" i="15"/>
  <c r="J1847" i="15"/>
  <c r="E1930" i="15"/>
  <c r="J1930" i="15" s="1"/>
  <c r="I1929" i="15"/>
  <c r="K25" i="15"/>
  <c r="K57" i="15"/>
  <c r="K60" i="15"/>
  <c r="K94" i="15"/>
  <c r="K107" i="15"/>
  <c r="K136" i="15"/>
  <c r="K143" i="15"/>
  <c r="K151" i="15"/>
  <c r="K172" i="15"/>
  <c r="J174" i="15"/>
  <c r="K186" i="15"/>
  <c r="K199" i="15"/>
  <c r="K217" i="15"/>
  <c r="K236" i="15"/>
  <c r="K259" i="15"/>
  <c r="K279" i="15"/>
  <c r="K287" i="15"/>
  <c r="K290" i="15"/>
  <c r="K313" i="15"/>
  <c r="K319" i="15"/>
  <c r="K370" i="15"/>
  <c r="K376" i="15"/>
  <c r="K395" i="15"/>
  <c r="K411" i="15"/>
  <c r="K431" i="15"/>
  <c r="K437" i="15"/>
  <c r="K443" i="15"/>
  <c r="J519" i="15"/>
  <c r="K543" i="15"/>
  <c r="K627" i="15"/>
  <c r="E637" i="15"/>
  <c r="J637" i="15" s="1"/>
  <c r="J636" i="15"/>
  <c r="K636" i="15" s="1"/>
  <c r="I636" i="15"/>
  <c r="J641" i="15"/>
  <c r="E642" i="15"/>
  <c r="J642" i="15" s="1"/>
  <c r="K648" i="15"/>
  <c r="K686" i="15"/>
  <c r="J722" i="15"/>
  <c r="E723" i="15"/>
  <c r="J723" i="15" s="1"/>
  <c r="J833" i="15"/>
  <c r="E834" i="15"/>
  <c r="K1012" i="15"/>
  <c r="I1023" i="15"/>
  <c r="K1023" i="15" s="1"/>
  <c r="J1117" i="15"/>
  <c r="K1117" i="15" s="1"/>
  <c r="I1142" i="15"/>
  <c r="J1142" i="15"/>
  <c r="J1145" i="15"/>
  <c r="I1145" i="15"/>
  <c r="J1183" i="15"/>
  <c r="I1183" i="15"/>
  <c r="I1446" i="15"/>
  <c r="J1446" i="15"/>
  <c r="J1676" i="15"/>
  <c r="I1676" i="15"/>
  <c r="E1677" i="15"/>
  <c r="J1677" i="15" s="1"/>
  <c r="E1915" i="15"/>
  <c r="I1915" i="15" s="1"/>
  <c r="J1914" i="15"/>
  <c r="I1914" i="15"/>
  <c r="K527" i="15"/>
  <c r="K626" i="15"/>
  <c r="J683" i="15"/>
  <c r="K683" i="15" s="1"/>
  <c r="J685" i="15"/>
  <c r="K685" i="15" s="1"/>
  <c r="I724" i="15"/>
  <c r="K724" i="15" s="1"/>
  <c r="K821" i="15"/>
  <c r="K824" i="15"/>
  <c r="K835" i="15"/>
  <c r="K1204" i="15"/>
  <c r="E1260" i="15"/>
  <c r="I1260" i="15" s="1"/>
  <c r="J1259" i="15"/>
  <c r="I1259" i="15"/>
  <c r="E1348" i="15"/>
  <c r="J1348" i="15" s="1"/>
  <c r="I1347" i="15"/>
  <c r="E1398" i="15"/>
  <c r="J1397" i="15"/>
  <c r="I1397" i="15"/>
  <c r="K1462" i="15"/>
  <c r="J1483" i="15"/>
  <c r="I1483" i="15"/>
  <c r="J1680" i="15"/>
  <c r="K1680" i="15" s="1"/>
  <c r="I1680" i="15"/>
  <c r="J1855" i="15"/>
  <c r="I1855" i="15"/>
  <c r="E1856" i="15"/>
  <c r="J1856" i="15" s="1"/>
  <c r="K1892" i="15"/>
  <c r="I1917" i="15"/>
  <c r="J1917" i="15"/>
  <c r="K1988" i="15"/>
  <c r="K1993" i="15"/>
  <c r="K502" i="15"/>
  <c r="K531" i="15"/>
  <c r="K533" i="15"/>
  <c r="K583" i="15"/>
  <c r="K621" i="15"/>
  <c r="K674" i="15"/>
  <c r="J680" i="15"/>
  <c r="K680" i="15" s="1"/>
  <c r="K696" i="15"/>
  <c r="K705" i="15"/>
  <c r="K712" i="15"/>
  <c r="K731" i="15"/>
  <c r="K748" i="15"/>
  <c r="K759" i="15"/>
  <c r="K762" i="15"/>
  <c r="K795" i="15"/>
  <c r="K798" i="15"/>
  <c r="K814" i="15"/>
  <c r="K827" i="15"/>
  <c r="K855" i="15"/>
  <c r="K860" i="15"/>
  <c r="K873" i="15"/>
  <c r="K928" i="15"/>
  <c r="K958" i="15"/>
  <c r="K990" i="15"/>
  <c r="K1002" i="15"/>
  <c r="K1080" i="15"/>
  <c r="K1092" i="15"/>
  <c r="K1100" i="15"/>
  <c r="K1105" i="15"/>
  <c r="K1110" i="15"/>
  <c r="K1135" i="15"/>
  <c r="K1164" i="15"/>
  <c r="K1167" i="15"/>
  <c r="K1277" i="15"/>
  <c r="K1340" i="15"/>
  <c r="K1383" i="15"/>
  <c r="K1402" i="15"/>
  <c r="K1404" i="15"/>
  <c r="K1414" i="15"/>
  <c r="J1447" i="15"/>
  <c r="I1447" i="15"/>
  <c r="K1684" i="15"/>
  <c r="J1687" i="15"/>
  <c r="I1687" i="15"/>
  <c r="K1711" i="15"/>
  <c r="J1731" i="15"/>
  <c r="I1731" i="15"/>
  <c r="K1838" i="15"/>
  <c r="J1846" i="15"/>
  <c r="I1846" i="15"/>
  <c r="K1890" i="15"/>
  <c r="K2004" i="15"/>
  <c r="J2033" i="15"/>
  <c r="I2033" i="15"/>
  <c r="K2033" i="15" s="1"/>
  <c r="K2041" i="15"/>
  <c r="K539" i="15"/>
  <c r="K586" i="15"/>
  <c r="K643" i="15"/>
  <c r="K669" i="15"/>
  <c r="K672" i="15"/>
  <c r="K694" i="15"/>
  <c r="K697" i="15"/>
  <c r="K702" i="15"/>
  <c r="K706" i="15"/>
  <c r="K710" i="15"/>
  <c r="K735" i="15"/>
  <c r="K757" i="15"/>
  <c r="K763" i="15"/>
  <c r="K793" i="15"/>
  <c r="K799" i="15"/>
  <c r="K812" i="15"/>
  <c r="K841" i="15"/>
  <c r="K851" i="15"/>
  <c r="K869" i="15"/>
  <c r="K909" i="15"/>
  <c r="K917" i="15"/>
  <c r="K977" i="15"/>
  <c r="K1003" i="15"/>
  <c r="K1048" i="15"/>
  <c r="K1090" i="15"/>
  <c r="K1093" i="15"/>
  <c r="K1101" i="15"/>
  <c r="K1124" i="15"/>
  <c r="K1136" i="15"/>
  <c r="K1168" i="15"/>
  <c r="J1251" i="15"/>
  <c r="I1251" i="15"/>
  <c r="K1444" i="15"/>
  <c r="K1463" i="15"/>
  <c r="K1468" i="15"/>
  <c r="J1489" i="15"/>
  <c r="I1489" i="15"/>
  <c r="I1667" i="15"/>
  <c r="J1667" i="15"/>
  <c r="K1732" i="15"/>
  <c r="E1940" i="15"/>
  <c r="I1939" i="15"/>
  <c r="K568" i="15"/>
  <c r="K570" i="15"/>
  <c r="K572" i="15"/>
  <c r="K617" i="15"/>
  <c r="K649" i="15"/>
  <c r="K1001" i="15"/>
  <c r="K1098" i="15"/>
  <c r="K1134" i="15"/>
  <c r="E1396" i="15"/>
  <c r="J1395" i="15"/>
  <c r="I1395" i="15"/>
  <c r="J1485" i="15"/>
  <c r="K1485" i="15" s="1"/>
  <c r="I1485" i="15"/>
  <c r="J1600" i="15"/>
  <c r="I1600" i="15"/>
  <c r="E1605" i="15"/>
  <c r="I1604" i="15"/>
  <c r="E1749" i="15"/>
  <c r="J1748" i="15"/>
  <c r="I1748" i="15"/>
  <c r="J1840" i="15"/>
  <c r="I1840" i="15"/>
  <c r="I1873" i="15"/>
  <c r="J1873" i="15"/>
  <c r="J2000" i="15"/>
  <c r="K2000" i="15" s="1"/>
  <c r="I2000" i="15"/>
  <c r="K575" i="15"/>
  <c r="K615" i="15"/>
  <c r="K664" i="15"/>
  <c r="K692" i="15"/>
  <c r="K711" i="15"/>
  <c r="K733" i="15"/>
  <c r="K743" i="15"/>
  <c r="K747" i="15"/>
  <c r="K755" i="15"/>
  <c r="K761" i="15"/>
  <c r="E772" i="15"/>
  <c r="J772" i="15" s="1"/>
  <c r="K779" i="15"/>
  <c r="K826" i="15"/>
  <c r="K831" i="15"/>
  <c r="K910" i="15"/>
  <c r="K912" i="15"/>
  <c r="K925" i="15"/>
  <c r="K930" i="15"/>
  <c r="E957" i="15"/>
  <c r="J957" i="15" s="1"/>
  <c r="K972" i="15"/>
  <c r="K975" i="15"/>
  <c r="K1036" i="15"/>
  <c r="K1049" i="15"/>
  <c r="K1104" i="15"/>
  <c r="K1109" i="15"/>
  <c r="K1137" i="15"/>
  <c r="K1148" i="15"/>
  <c r="K1163" i="15"/>
  <c r="K1166" i="15"/>
  <c r="K1176" i="15"/>
  <c r="K1201" i="15"/>
  <c r="K1231" i="15"/>
  <c r="J1351" i="15"/>
  <c r="I1351" i="15"/>
  <c r="K1585" i="15"/>
  <c r="K1649" i="15"/>
  <c r="K1683" i="15"/>
  <c r="J1721" i="15"/>
  <c r="I1721" i="15"/>
  <c r="K1813" i="15"/>
  <c r="K1834" i="15"/>
  <c r="I1927" i="15"/>
  <c r="J1927" i="15"/>
  <c r="E1964" i="15"/>
  <c r="I1963" i="15"/>
  <c r="K1963" i="15" s="1"/>
  <c r="K2050" i="15"/>
  <c r="K1219" i="15"/>
  <c r="I1226" i="15"/>
  <c r="K1240" i="15"/>
  <c r="K1243" i="15"/>
  <c r="K1276" i="15"/>
  <c r="K1294" i="15"/>
  <c r="K1312" i="15"/>
  <c r="I1323" i="15"/>
  <c r="K1323" i="15" s="1"/>
  <c r="K1334" i="15"/>
  <c r="K1377" i="15"/>
  <c r="K1454" i="15"/>
  <c r="K1458" i="15"/>
  <c r="K1505" i="15"/>
  <c r="K1520" i="15"/>
  <c r="K1539" i="15"/>
  <c r="K1579" i="15"/>
  <c r="E1618" i="15"/>
  <c r="J1618" i="15" s="1"/>
  <c r="K1653" i="15"/>
  <c r="K1658" i="15"/>
  <c r="E1679" i="15"/>
  <c r="K1727" i="15"/>
  <c r="K1836" i="15"/>
  <c r="E1845" i="15"/>
  <c r="I1859" i="15"/>
  <c r="K1859" i="15" s="1"/>
  <c r="K1957" i="15"/>
  <c r="E1969" i="15"/>
  <c r="J1969" i="15" s="1"/>
  <c r="K1974" i="15"/>
  <c r="K1992" i="15"/>
  <c r="K2003" i="15"/>
  <c r="K2008" i="15"/>
  <c r="K2011" i="15"/>
  <c r="J1258" i="15"/>
  <c r="J1441" i="15"/>
  <c r="K1441" i="15" s="1"/>
  <c r="J1557" i="15"/>
  <c r="J1911" i="15"/>
  <c r="J1962" i="15"/>
  <c r="K1962" i="15" s="1"/>
  <c r="J1226" i="15"/>
  <c r="K1241" i="15"/>
  <c r="K1250" i="15"/>
  <c r="K1272" i="15"/>
  <c r="K1281" i="15"/>
  <c r="K1286" i="15"/>
  <c r="K1299" i="15"/>
  <c r="K1326" i="15"/>
  <c r="K1331" i="15"/>
  <c r="K1343" i="15"/>
  <c r="K1365" i="15"/>
  <c r="K1373" i="15"/>
  <c r="K1380" i="15"/>
  <c r="K1385" i="15"/>
  <c r="K1429" i="15"/>
  <c r="K1432" i="15"/>
  <c r="K1465" i="15"/>
  <c r="K1514" i="15"/>
  <c r="K1517" i="15"/>
  <c r="K1523" i="15"/>
  <c r="K1553" i="15"/>
  <c r="K1570" i="15"/>
  <c r="K1634" i="15"/>
  <c r="K1641" i="15"/>
  <c r="K1662" i="15"/>
  <c r="K1713" i="15"/>
  <c r="K1733" i="15"/>
  <c r="K1737" i="15"/>
  <c r="K1825" i="15"/>
  <c r="K1831" i="15"/>
  <c r="K1862" i="15"/>
  <c r="K1885" i="15"/>
  <c r="K1905" i="15"/>
  <c r="K1997" i="15"/>
  <c r="K2083" i="15"/>
  <c r="I1688" i="15"/>
  <c r="K1688" i="15" s="1"/>
  <c r="E1225" i="15"/>
  <c r="J1225" i="15" s="1"/>
  <c r="K1267" i="15"/>
  <c r="K1526" i="15"/>
  <c r="E1734" i="15"/>
  <c r="J1734" i="15" s="1"/>
  <c r="K1755" i="15"/>
  <c r="K1762" i="15"/>
  <c r="K1765" i="15"/>
  <c r="K1810" i="15"/>
  <c r="K1829" i="15"/>
  <c r="J1842" i="15"/>
  <c r="K1842" i="15" s="1"/>
  <c r="K1880" i="15"/>
  <c r="K2046" i="15"/>
  <c r="K2091" i="15"/>
  <c r="K2094" i="15"/>
  <c r="J832" i="15"/>
  <c r="K832" i="15" s="1"/>
  <c r="K1268" i="15"/>
  <c r="K1273" i="15"/>
  <c r="K1280" i="15"/>
  <c r="K1285" i="15"/>
  <c r="K1298" i="15"/>
  <c r="K1330" i="15"/>
  <c r="K1354" i="15"/>
  <c r="K1386" i="15"/>
  <c r="K1412" i="15"/>
  <c r="K1435" i="15"/>
  <c r="K1471" i="15"/>
  <c r="K1477" i="15"/>
  <c r="K1534" i="15"/>
  <c r="K1554" i="15"/>
  <c r="K1575" i="15"/>
  <c r="K1586" i="15"/>
  <c r="K1623" i="15"/>
  <c r="K1640" i="15"/>
  <c r="K1709" i="15"/>
  <c r="K1753" i="15"/>
  <c r="K1768" i="15"/>
  <c r="K1782" i="15"/>
  <c r="K1819" i="15"/>
  <c r="K1824" i="15"/>
  <c r="K1827" i="15"/>
  <c r="K1897" i="15"/>
  <c r="K1922" i="15"/>
  <c r="K2027" i="15"/>
  <c r="I1394" i="15"/>
  <c r="K1394" i="15" s="1"/>
  <c r="K1254" i="15"/>
  <c r="J1256" i="15"/>
  <c r="K1256" i="15" s="1"/>
  <c r="K1278" i="15"/>
  <c r="K1291" i="15"/>
  <c r="K1296" i="15"/>
  <c r="E1307" i="15"/>
  <c r="J1307" i="15" s="1"/>
  <c r="K1336" i="15"/>
  <c r="K1358" i="15"/>
  <c r="K1384" i="15"/>
  <c r="K1428" i="15"/>
  <c r="K1431" i="15"/>
  <c r="J1442" i="15"/>
  <c r="K1467" i="15"/>
  <c r="E1546" i="15"/>
  <c r="J1546" i="15" s="1"/>
  <c r="K1592" i="15"/>
  <c r="K1595" i="15"/>
  <c r="K1610" i="15"/>
  <c r="I1620" i="15"/>
  <c r="K1655" i="15"/>
  <c r="K1694" i="15"/>
  <c r="K1697" i="15"/>
  <c r="K1712" i="15"/>
  <c r="K1715" i="15"/>
  <c r="K1760" i="15"/>
  <c r="K1808" i="15"/>
  <c r="K1889" i="15"/>
  <c r="K1893" i="15"/>
  <c r="K1946" i="15"/>
  <c r="K1980" i="15"/>
  <c r="E2014" i="15"/>
  <c r="J2014" i="15" s="1"/>
  <c r="K2035" i="15"/>
  <c r="K2042" i="15"/>
  <c r="K2051" i="15"/>
  <c r="K2053" i="15"/>
  <c r="I2063" i="15"/>
  <c r="J1114" i="15"/>
  <c r="I1793" i="15"/>
  <c r="K2012" i="15"/>
  <c r="K1854" i="15"/>
  <c r="H1962" i="15"/>
  <c r="K1614" i="15"/>
  <c r="K1601" i="15"/>
  <c r="I1675" i="15"/>
  <c r="K1497" i="15"/>
  <c r="I1223" i="15"/>
  <c r="K1223" i="15" s="1"/>
  <c r="K1114" i="15"/>
  <c r="K1127" i="15"/>
  <c r="K1183" i="15"/>
  <c r="K635" i="15"/>
  <c r="K894" i="15"/>
  <c r="I678" i="15"/>
  <c r="K592" i="15"/>
  <c r="E68" i="15"/>
  <c r="I67" i="15"/>
  <c r="J215" i="15"/>
  <c r="I215" i="15"/>
  <c r="E216" i="15"/>
  <c r="J338" i="15"/>
  <c r="I338" i="15"/>
  <c r="K338" i="15" s="1"/>
  <c r="E339" i="15"/>
  <c r="J19" i="15"/>
  <c r="I19" i="15"/>
  <c r="H42" i="15"/>
  <c r="K49" i="15"/>
  <c r="K82" i="15"/>
  <c r="K113" i="15"/>
  <c r="K157" i="15"/>
  <c r="K210" i="15"/>
  <c r="J225" i="15"/>
  <c r="K255" i="15"/>
  <c r="J261" i="15"/>
  <c r="I261" i="15"/>
  <c r="I268" i="15"/>
  <c r="K268" i="15" s="1"/>
  <c r="H268" i="15"/>
  <c r="K283" i="15"/>
  <c r="E292" i="15"/>
  <c r="I291" i="15"/>
  <c r="K291" i="15" s="1"/>
  <c r="K324" i="15"/>
  <c r="J335" i="15"/>
  <c r="K335" i="15" s="1"/>
  <c r="J461" i="15"/>
  <c r="I461" i="15"/>
  <c r="J85" i="15"/>
  <c r="I85" i="15"/>
  <c r="K85" i="15" s="1"/>
  <c r="E86" i="15"/>
  <c r="J117" i="15"/>
  <c r="I117" i="15"/>
  <c r="E118" i="15"/>
  <c r="J206" i="15"/>
  <c r="I206" i="15"/>
  <c r="E207" i="15"/>
  <c r="J252" i="15"/>
  <c r="I252" i="15"/>
  <c r="J341" i="15"/>
  <c r="I341" i="15"/>
  <c r="K341" i="15" s="1"/>
  <c r="E342" i="15"/>
  <c r="E390" i="15"/>
  <c r="J389" i="15"/>
  <c r="I389" i="15"/>
  <c r="J14" i="15"/>
  <c r="I14" i="15"/>
  <c r="I16" i="15"/>
  <c r="J29" i="15"/>
  <c r="I29" i="15"/>
  <c r="J34" i="15"/>
  <c r="J67" i="15"/>
  <c r="J74" i="15"/>
  <c r="I74" i="15"/>
  <c r="I88" i="15"/>
  <c r="K88" i="15" s="1"/>
  <c r="H88" i="15"/>
  <c r="J101" i="15"/>
  <c r="I101" i="15"/>
  <c r="J263" i="15"/>
  <c r="I263" i="15"/>
  <c r="E264" i="15"/>
  <c r="J288" i="15"/>
  <c r="K288" i="15" s="1"/>
  <c r="E603" i="15"/>
  <c r="J602" i="15"/>
  <c r="I602" i="15"/>
  <c r="K602" i="15" s="1"/>
  <c r="J639" i="15"/>
  <c r="I639" i="15"/>
  <c r="J16" i="15"/>
  <c r="E337" i="15"/>
  <c r="I336" i="15"/>
  <c r="K28" i="15"/>
  <c r="K39" i="15"/>
  <c r="J58" i="15"/>
  <c r="K58" i="15" s="1"/>
  <c r="E61" i="15"/>
  <c r="J81" i="15"/>
  <c r="I81" i="15"/>
  <c r="J114" i="15"/>
  <c r="K114" i="15" s="1"/>
  <c r="J128" i="15"/>
  <c r="I128" i="15"/>
  <c r="E129" i="15"/>
  <c r="K160" i="15"/>
  <c r="J211" i="15"/>
  <c r="I211" i="15"/>
  <c r="J256" i="15"/>
  <c r="I256" i="15"/>
  <c r="E257" i="15"/>
  <c r="K306" i="15"/>
  <c r="J630" i="15"/>
  <c r="I630" i="15"/>
  <c r="K630" i="15" s="1"/>
  <c r="J48" i="15"/>
  <c r="I48" i="15"/>
  <c r="K110" i="15"/>
  <c r="E120" i="15"/>
  <c r="I119" i="15"/>
  <c r="K127" i="15"/>
  <c r="J175" i="15"/>
  <c r="I175" i="15"/>
  <c r="E176" i="15"/>
  <c r="J220" i="15"/>
  <c r="I220" i="15"/>
  <c r="I227" i="15"/>
  <c r="K227" i="15" s="1"/>
  <c r="H227" i="15"/>
  <c r="J247" i="15"/>
  <c r="I247" i="15"/>
  <c r="E248" i="15"/>
  <c r="K304" i="15"/>
  <c r="J336" i="15"/>
  <c r="J384" i="15"/>
  <c r="I384" i="15"/>
  <c r="I530" i="15"/>
  <c r="K530" i="15" s="1"/>
  <c r="H530" i="15"/>
  <c r="E18" i="15"/>
  <c r="J17" i="15"/>
  <c r="I17" i="15"/>
  <c r="J31" i="15"/>
  <c r="I31" i="15"/>
  <c r="E32" i="15"/>
  <c r="I36" i="15"/>
  <c r="K36" i="15" s="1"/>
  <c r="H36" i="15"/>
  <c r="K102" i="15"/>
  <c r="I116" i="15"/>
  <c r="K116" i="15" s="1"/>
  <c r="J132" i="15"/>
  <c r="I132" i="15"/>
  <c r="E167" i="15"/>
  <c r="I166" i="15"/>
  <c r="K166" i="15" s="1"/>
  <c r="K174" i="15"/>
  <c r="E223" i="15"/>
  <c r="E301" i="15"/>
  <c r="I300" i="15"/>
  <c r="K300" i="15" s="1"/>
  <c r="K334" i="15"/>
  <c r="J375" i="15"/>
  <c r="I375" i="15"/>
  <c r="J418" i="15"/>
  <c r="I418" i="15"/>
  <c r="J517" i="15"/>
  <c r="I517" i="15"/>
  <c r="K34" i="15"/>
  <c r="I45" i="15"/>
  <c r="K45" i="15" s="1"/>
  <c r="H45" i="15"/>
  <c r="I70" i="15"/>
  <c r="K70" i="15" s="1"/>
  <c r="H70" i="15"/>
  <c r="I93" i="15"/>
  <c r="K93" i="15" s="1"/>
  <c r="H93" i="15"/>
  <c r="I140" i="15"/>
  <c r="K140" i="15" s="1"/>
  <c r="H140" i="15"/>
  <c r="K225" i="15"/>
  <c r="J254" i="15"/>
  <c r="I254" i="15"/>
  <c r="I294" i="15"/>
  <c r="K294" i="15" s="1"/>
  <c r="H294" i="15"/>
  <c r="J429" i="15"/>
  <c r="I429" i="15"/>
  <c r="E430" i="15"/>
  <c r="K13" i="15"/>
  <c r="K46" i="15"/>
  <c r="J69" i="15"/>
  <c r="I69" i="15"/>
  <c r="K75" i="15"/>
  <c r="E84" i="15"/>
  <c r="J83" i="15"/>
  <c r="I83" i="15"/>
  <c r="K83" i="15" s="1"/>
  <c r="K96" i="15"/>
  <c r="J119" i="15"/>
  <c r="J161" i="15"/>
  <c r="K161" i="15" s="1"/>
  <c r="J179" i="15"/>
  <c r="I179" i="15"/>
  <c r="J203" i="15"/>
  <c r="I203" i="15"/>
  <c r="K203" i="15" s="1"/>
  <c r="J213" i="15"/>
  <c r="I213" i="15"/>
  <c r="K332" i="15"/>
  <c r="I377" i="15"/>
  <c r="K377" i="15" s="1"/>
  <c r="H377" i="15"/>
  <c r="J382" i="15"/>
  <c r="I382" i="15"/>
  <c r="K382" i="15" s="1"/>
  <c r="J388" i="15"/>
  <c r="I388" i="15"/>
  <c r="K406" i="15"/>
  <c r="K415" i="15"/>
  <c r="J536" i="15"/>
  <c r="I536" i="15"/>
  <c r="E165" i="15"/>
  <c r="E310" i="15"/>
  <c r="K374" i="15"/>
  <c r="J381" i="15"/>
  <c r="I381" i="15"/>
  <c r="J505" i="15"/>
  <c r="I505" i="15"/>
  <c r="K505" i="15" s="1"/>
  <c r="J510" i="15"/>
  <c r="I510" i="15"/>
  <c r="K525" i="15"/>
  <c r="K534" i="15"/>
  <c r="E546" i="15"/>
  <c r="J545" i="15"/>
  <c r="I545" i="15"/>
  <c r="J552" i="15"/>
  <c r="K552" i="15" s="1"/>
  <c r="E562" i="15"/>
  <c r="J561" i="15"/>
  <c r="I561" i="15"/>
  <c r="K561" i="15" s="1"/>
  <c r="I746" i="15"/>
  <c r="K746" i="15" s="1"/>
  <c r="H746" i="15"/>
  <c r="E350" i="15"/>
  <c r="I349" i="15"/>
  <c r="K349" i="15" s="1"/>
  <c r="J393" i="15"/>
  <c r="I393" i="15"/>
  <c r="E474" i="15"/>
  <c r="J473" i="15"/>
  <c r="I473" i="15"/>
  <c r="J521" i="15"/>
  <c r="I521" i="15"/>
  <c r="J550" i="15"/>
  <c r="I550" i="15"/>
  <c r="J590" i="15"/>
  <c r="I590" i="15"/>
  <c r="J646" i="15"/>
  <c r="I646" i="15"/>
  <c r="J682" i="15"/>
  <c r="I682" i="15"/>
  <c r="H232" i="15"/>
  <c r="J347" i="15"/>
  <c r="E379" i="15"/>
  <c r="J378" i="15"/>
  <c r="I378" i="15"/>
  <c r="J414" i="15"/>
  <c r="I414" i="15"/>
  <c r="J423" i="15"/>
  <c r="I423" i="15"/>
  <c r="J457" i="15"/>
  <c r="I457" i="15"/>
  <c r="E467" i="15"/>
  <c r="J466" i="15"/>
  <c r="I466" i="15"/>
  <c r="E477" i="15"/>
  <c r="J476" i="15"/>
  <c r="I476" i="15"/>
  <c r="K493" i="15"/>
  <c r="I506" i="15"/>
  <c r="K506" i="15" s="1"/>
  <c r="H506" i="15"/>
  <c r="J520" i="15"/>
  <c r="I520" i="15"/>
  <c r="K537" i="15"/>
  <c r="J559" i="15"/>
  <c r="K559" i="15" s="1"/>
  <c r="K587" i="15"/>
  <c r="I121" i="15"/>
  <c r="K121" i="15" s="1"/>
  <c r="I135" i="15"/>
  <c r="K135" i="15" s="1"/>
  <c r="I148" i="15"/>
  <c r="K148" i="15" s="1"/>
  <c r="I164" i="15"/>
  <c r="K164" i="15" s="1"/>
  <c r="I168" i="15"/>
  <c r="K168" i="15" s="1"/>
  <c r="I182" i="15"/>
  <c r="K182" i="15" s="1"/>
  <c r="I238" i="15"/>
  <c r="K238" i="15" s="1"/>
  <c r="I293" i="15"/>
  <c r="K293" i="15" s="1"/>
  <c r="I298" i="15"/>
  <c r="K298" i="15" s="1"/>
  <c r="I305" i="15"/>
  <c r="K305" i="15" s="1"/>
  <c r="I309" i="15"/>
  <c r="K309" i="15" s="1"/>
  <c r="I333" i="15"/>
  <c r="K333" i="15" s="1"/>
  <c r="J349" i="15"/>
  <c r="J405" i="15"/>
  <c r="I405" i="15"/>
  <c r="K405" i="15" s="1"/>
  <c r="E427" i="15"/>
  <c r="J426" i="15"/>
  <c r="I426" i="15"/>
  <c r="I439" i="15"/>
  <c r="K439" i="15" s="1"/>
  <c r="H439" i="15"/>
  <c r="J465" i="15"/>
  <c r="I465" i="15"/>
  <c r="K511" i="15"/>
  <c r="J624" i="15"/>
  <c r="I624" i="15"/>
  <c r="K386" i="15"/>
  <c r="E420" i="15"/>
  <c r="J419" i="15"/>
  <c r="I419" i="15"/>
  <c r="K455" i="15"/>
  <c r="K462" i="15"/>
  <c r="H486" i="15"/>
  <c r="I524" i="15"/>
  <c r="K524" i="15" s="1"/>
  <c r="H524" i="15"/>
  <c r="K540" i="15"/>
  <c r="J555" i="15"/>
  <c r="I555" i="15"/>
  <c r="E596" i="15"/>
  <c r="J595" i="15"/>
  <c r="I595" i="15"/>
  <c r="E898" i="15"/>
  <c r="J897" i="15"/>
  <c r="I897" i="15"/>
  <c r="J667" i="15"/>
  <c r="I667" i="15"/>
  <c r="I721" i="15"/>
  <c r="H721" i="15"/>
  <c r="I739" i="15"/>
  <c r="K739" i="15" s="1"/>
  <c r="H739" i="15"/>
  <c r="J764" i="15"/>
  <c r="I764" i="15"/>
  <c r="E839" i="15"/>
  <c r="E840" i="15"/>
  <c r="J838" i="15"/>
  <c r="I838" i="15"/>
  <c r="K838" i="15" s="1"/>
  <c r="J942" i="15"/>
  <c r="I942" i="15"/>
  <c r="I1258" i="15"/>
  <c r="K1258" i="15" s="1"/>
  <c r="H1258" i="15"/>
  <c r="J551" i="15"/>
  <c r="J558" i="15"/>
  <c r="K558" i="15" s="1"/>
  <c r="H574" i="15"/>
  <c r="J721" i="15"/>
  <c r="I881" i="15"/>
  <c r="K881" i="15" s="1"/>
  <c r="H881" i="15"/>
  <c r="E905" i="15"/>
  <c r="J904" i="15"/>
  <c r="I904" i="15"/>
  <c r="J1079" i="15"/>
  <c r="I1079" i="15"/>
  <c r="E504" i="15"/>
  <c r="E513" i="15"/>
  <c r="I554" i="15"/>
  <c r="I580" i="15"/>
  <c r="K580" i="15" s="1"/>
  <c r="I608" i="15"/>
  <c r="K608" i="15" s="1"/>
  <c r="H617" i="15"/>
  <c r="I633" i="15"/>
  <c r="K633" i="15" s="1"/>
  <c r="I638" i="15"/>
  <c r="I642" i="15"/>
  <c r="K642" i="15" s="1"/>
  <c r="I645" i="15"/>
  <c r="I679" i="15"/>
  <c r="I689" i="15"/>
  <c r="K689" i="15" s="1"/>
  <c r="H696" i="15"/>
  <c r="H701" i="15"/>
  <c r="I714" i="15"/>
  <c r="K714" i="15" s="1"/>
  <c r="J725" i="15"/>
  <c r="I725" i="15"/>
  <c r="I727" i="15"/>
  <c r="I818" i="15"/>
  <c r="K950" i="15"/>
  <c r="I968" i="15"/>
  <c r="K968" i="15" s="1"/>
  <c r="H968" i="15"/>
  <c r="J981" i="15"/>
  <c r="I981" i="15"/>
  <c r="H529" i="15"/>
  <c r="J554" i="15"/>
  <c r="I564" i="15"/>
  <c r="K564" i="15" s="1"/>
  <c r="I589" i="15"/>
  <c r="K589" i="15" s="1"/>
  <c r="I594" i="15"/>
  <c r="K594" i="15" s="1"/>
  <c r="I598" i="15"/>
  <c r="I623" i="15"/>
  <c r="K623" i="15" s="1"/>
  <c r="J638" i="15"/>
  <c r="J645" i="15"/>
  <c r="I651" i="15"/>
  <c r="K651" i="15" s="1"/>
  <c r="H660" i="15"/>
  <c r="I671" i="15"/>
  <c r="K671" i="15" s="1"/>
  <c r="J673" i="15"/>
  <c r="I673" i="15"/>
  <c r="K673" i="15" s="1"/>
  <c r="J676" i="15"/>
  <c r="K676" i="15" s="1"/>
  <c r="J679" i="15"/>
  <c r="I693" i="15"/>
  <c r="K693" i="15" s="1"/>
  <c r="J716" i="15"/>
  <c r="K716" i="15" s="1"/>
  <c r="I718" i="15"/>
  <c r="J720" i="15"/>
  <c r="I720" i="15"/>
  <c r="J727" i="15"/>
  <c r="K740" i="15"/>
  <c r="J818" i="15"/>
  <c r="J908" i="15"/>
  <c r="I908" i="15"/>
  <c r="J915" i="15"/>
  <c r="I915" i="15"/>
  <c r="K922" i="15"/>
  <c r="I994" i="15"/>
  <c r="J998" i="15"/>
  <c r="I998" i="15"/>
  <c r="E1052" i="15"/>
  <c r="J1051" i="15"/>
  <c r="I1051" i="15"/>
  <c r="I549" i="15"/>
  <c r="K549" i="15" s="1"/>
  <c r="I553" i="15"/>
  <c r="K553" i="15" s="1"/>
  <c r="I632" i="15"/>
  <c r="K632" i="15" s="1"/>
  <c r="I641" i="15"/>
  <c r="K641" i="15" s="1"/>
  <c r="I666" i="15"/>
  <c r="K666" i="15" s="1"/>
  <c r="J678" i="15"/>
  <c r="J681" i="15"/>
  <c r="K681" i="15" s="1"/>
  <c r="J718" i="15"/>
  <c r="I796" i="15"/>
  <c r="K796" i="15" s="1"/>
  <c r="H796" i="15"/>
  <c r="K806" i="15"/>
  <c r="E820" i="15"/>
  <c r="J819" i="15"/>
  <c r="I819" i="15"/>
  <c r="J834" i="15"/>
  <c r="I834" i="15"/>
  <c r="K937" i="15"/>
  <c r="J994" i="15"/>
  <c r="H400" i="15"/>
  <c r="H441" i="15"/>
  <c r="H678" i="15"/>
  <c r="I728" i="15"/>
  <c r="K728" i="15" s="1"/>
  <c r="J736" i="15"/>
  <c r="I736" i="15"/>
  <c r="I745" i="15"/>
  <c r="K745" i="15" s="1"/>
  <c r="H745" i="15"/>
  <c r="J758" i="15"/>
  <c r="I758" i="15"/>
  <c r="J768" i="15"/>
  <c r="I768" i="15"/>
  <c r="K774" i="15"/>
  <c r="J802" i="15"/>
  <c r="I802" i="15"/>
  <c r="J823" i="15"/>
  <c r="I823" i="15"/>
  <c r="K823" i="15" s="1"/>
  <c r="E878" i="15"/>
  <c r="J877" i="15"/>
  <c r="I877" i="15"/>
  <c r="E996" i="15"/>
  <c r="J995" i="15"/>
  <c r="I995" i="15"/>
  <c r="J1014" i="15"/>
  <c r="I1014" i="15"/>
  <c r="I722" i="15"/>
  <c r="J726" i="15"/>
  <c r="I726" i="15"/>
  <c r="K730" i="15"/>
  <c r="K770" i="15"/>
  <c r="K781" i="15"/>
  <c r="J786" i="15"/>
  <c r="I786" i="15"/>
  <c r="J883" i="15"/>
  <c r="K883" i="15" s="1"/>
  <c r="J892" i="15"/>
  <c r="I892" i="15"/>
  <c r="E939" i="15"/>
  <c r="J938" i="15"/>
  <c r="I938" i="15"/>
  <c r="K938" i="15" s="1"/>
  <c r="J966" i="15"/>
  <c r="K966" i="15" s="1"/>
  <c r="I1034" i="15"/>
  <c r="K1034" i="15" s="1"/>
  <c r="H1034" i="15"/>
  <c r="E777" i="15"/>
  <c r="E954" i="15"/>
  <c r="E961" i="15"/>
  <c r="K1042" i="15"/>
  <c r="K1044" i="15"/>
  <c r="J1194" i="15"/>
  <c r="K1194" i="15" s="1"/>
  <c r="I773" i="15"/>
  <c r="I780" i="15"/>
  <c r="I874" i="15"/>
  <c r="K874" i="15" s="1"/>
  <c r="I882" i="15"/>
  <c r="I886" i="15"/>
  <c r="K886" i="15" s="1"/>
  <c r="K1026" i="15"/>
  <c r="J1056" i="15"/>
  <c r="I1056" i="15"/>
  <c r="J1072" i="15"/>
  <c r="I1072" i="15"/>
  <c r="J1099" i="15"/>
  <c r="I1099" i="15"/>
  <c r="E1121" i="15"/>
  <c r="J1120" i="15"/>
  <c r="I1120" i="15"/>
  <c r="J1144" i="15"/>
  <c r="I1144" i="15"/>
  <c r="J773" i="15"/>
  <c r="J780" i="15"/>
  <c r="E822" i="15"/>
  <c r="J882" i="15"/>
  <c r="E896" i="15"/>
  <c r="J965" i="15"/>
  <c r="K965" i="15" s="1"/>
  <c r="K1045" i="15"/>
  <c r="K1094" i="15"/>
  <c r="E1129" i="15"/>
  <c r="J1128" i="15"/>
  <c r="I1128" i="15"/>
  <c r="J1139" i="15"/>
  <c r="I1139" i="15"/>
  <c r="K1139" i="15" s="1"/>
  <c r="E1156" i="15"/>
  <c r="J1155" i="15"/>
  <c r="I1155" i="15"/>
  <c r="I1221" i="15"/>
  <c r="J1221" i="15"/>
  <c r="I767" i="15"/>
  <c r="K767" i="15" s="1"/>
  <c r="I776" i="15"/>
  <c r="K776" i="15" s="1"/>
  <c r="H818" i="15"/>
  <c r="I844" i="15"/>
  <c r="K844" i="15" s="1"/>
  <c r="I865" i="15"/>
  <c r="K865" i="15" s="1"/>
  <c r="I880" i="15"/>
  <c r="K880" i="15" s="1"/>
  <c r="I885" i="15"/>
  <c r="K885" i="15" s="1"/>
  <c r="I921" i="15"/>
  <c r="K921" i="15" s="1"/>
  <c r="H937" i="15"/>
  <c r="I948" i="15"/>
  <c r="K948" i="15" s="1"/>
  <c r="I953" i="15"/>
  <c r="K953" i="15" s="1"/>
  <c r="I960" i="15"/>
  <c r="K960" i="15" s="1"/>
  <c r="I971" i="15"/>
  <c r="K971" i="15" s="1"/>
  <c r="H994" i="15"/>
  <c r="I1005" i="15"/>
  <c r="K1005" i="15" s="1"/>
  <c r="I1028" i="15"/>
  <c r="K1028" i="15" s="1"/>
  <c r="I1032" i="15"/>
  <c r="K1032" i="15" s="1"/>
  <c r="H1032" i="15"/>
  <c r="J1043" i="15"/>
  <c r="K1043" i="15" s="1"/>
  <c r="H1206" i="15"/>
  <c r="I1206" i="15"/>
  <c r="K1206" i="15" s="1"/>
  <c r="H744" i="15"/>
  <c r="I785" i="15"/>
  <c r="K785" i="15" s="1"/>
  <c r="H788" i="15"/>
  <c r="H798" i="15"/>
  <c r="I817" i="15"/>
  <c r="K817" i="15" s="1"/>
  <c r="I833" i="15"/>
  <c r="K833" i="15" s="1"/>
  <c r="I837" i="15"/>
  <c r="K837" i="15" s="1"/>
  <c r="H858" i="15"/>
  <c r="I888" i="15"/>
  <c r="K888" i="15" s="1"/>
  <c r="I900" i="15"/>
  <c r="K900" i="15" s="1"/>
  <c r="I907" i="15"/>
  <c r="K907" i="15" s="1"/>
  <c r="H917" i="15"/>
  <c r="I936" i="15"/>
  <c r="K936" i="15" s="1"/>
  <c r="I941" i="15"/>
  <c r="K941" i="15" s="1"/>
  <c r="I980" i="15"/>
  <c r="K980" i="15" s="1"/>
  <c r="I993" i="15"/>
  <c r="K993" i="15" s="1"/>
  <c r="I1018" i="15"/>
  <c r="K1018" i="15" s="1"/>
  <c r="I1021" i="15"/>
  <c r="K1021" i="15" s="1"/>
  <c r="I1039" i="15"/>
  <c r="K1039" i="15" s="1"/>
  <c r="K1041" i="15"/>
  <c r="I1067" i="15"/>
  <c r="H1067" i="15"/>
  <c r="J1083" i="15"/>
  <c r="I1083" i="15"/>
  <c r="J1132" i="15"/>
  <c r="I1132" i="15"/>
  <c r="I732" i="15"/>
  <c r="K732" i="15" s="1"/>
  <c r="I754" i="15"/>
  <c r="K754" i="15" s="1"/>
  <c r="I760" i="15"/>
  <c r="K760" i="15" s="1"/>
  <c r="I771" i="15"/>
  <c r="K771" i="15" s="1"/>
  <c r="I775" i="15"/>
  <c r="K775" i="15" s="1"/>
  <c r="I791" i="15"/>
  <c r="K791" i="15" s="1"/>
  <c r="H794" i="15"/>
  <c r="I807" i="15"/>
  <c r="K807" i="15" s="1"/>
  <c r="I813" i="15"/>
  <c r="K813" i="15" s="1"/>
  <c r="H832" i="15"/>
  <c r="I864" i="15"/>
  <c r="K864" i="15" s="1"/>
  <c r="I884" i="15"/>
  <c r="K884" i="15" s="1"/>
  <c r="I932" i="15"/>
  <c r="K932" i="15" s="1"/>
  <c r="I944" i="15"/>
  <c r="K944" i="15" s="1"/>
  <c r="I947" i="15"/>
  <c r="K947" i="15" s="1"/>
  <c r="I952" i="15"/>
  <c r="K952" i="15" s="1"/>
  <c r="I956" i="15"/>
  <c r="K956" i="15" s="1"/>
  <c r="I963" i="15"/>
  <c r="K963" i="15" s="1"/>
  <c r="H973" i="15"/>
  <c r="I983" i="15"/>
  <c r="K983" i="15" s="1"/>
  <c r="I989" i="15"/>
  <c r="K989" i="15" s="1"/>
  <c r="J997" i="15"/>
  <c r="K997" i="15" s="1"/>
  <c r="H1007" i="15"/>
  <c r="J1013" i="15"/>
  <c r="K1013" i="15" s="1"/>
  <c r="H1025" i="15"/>
  <c r="E1061" i="15"/>
  <c r="J1060" i="15"/>
  <c r="I1060" i="15"/>
  <c r="J1067" i="15"/>
  <c r="J1116" i="15"/>
  <c r="I1116" i="15"/>
  <c r="J1177" i="15"/>
  <c r="I1177" i="15"/>
  <c r="J1187" i="15"/>
  <c r="K1187" i="15" s="1"/>
  <c r="J1004" i="15"/>
  <c r="K1004" i="15" s="1"/>
  <c r="I1010" i="15"/>
  <c r="K1010" i="15" s="1"/>
  <c r="K1029" i="15"/>
  <c r="K1033" i="15"/>
  <c r="E1069" i="15"/>
  <c r="J1068" i="15"/>
  <c r="I1068" i="15"/>
  <c r="J1086" i="15"/>
  <c r="I1086" i="15"/>
  <c r="K1086" i="15" s="1"/>
  <c r="K1103" i="15"/>
  <c r="E1112" i="15"/>
  <c r="J1111" i="15"/>
  <c r="I1111" i="15"/>
  <c r="J1151" i="15"/>
  <c r="I1151" i="15"/>
  <c r="I1165" i="15"/>
  <c r="K1165" i="15" s="1"/>
  <c r="H1165" i="15"/>
  <c r="I1108" i="15"/>
  <c r="K1108" i="15" s="1"/>
  <c r="H1140" i="15"/>
  <c r="I1159" i="15"/>
  <c r="K1159" i="15" s="1"/>
  <c r="I1181" i="15"/>
  <c r="K1181" i="15" s="1"/>
  <c r="I1186" i="15"/>
  <c r="I1193" i="15"/>
  <c r="I1197" i="15"/>
  <c r="K1197" i="15" s="1"/>
  <c r="I1217" i="15"/>
  <c r="K1217" i="15" s="1"/>
  <c r="I1220" i="15"/>
  <c r="J1228" i="15"/>
  <c r="K1228" i="15" s="1"/>
  <c r="K1236" i="15"/>
  <c r="J1305" i="15"/>
  <c r="I1305" i="15"/>
  <c r="K1339" i="15"/>
  <c r="H1158" i="15"/>
  <c r="J1186" i="15"/>
  <c r="J1193" i="15"/>
  <c r="H1208" i="15"/>
  <c r="J1220" i="15"/>
  <c r="I1055" i="15"/>
  <c r="K1055" i="15" s="1"/>
  <c r="I1059" i="15"/>
  <c r="K1059" i="15" s="1"/>
  <c r="I1066" i="15"/>
  <c r="K1066" i="15" s="1"/>
  <c r="I1071" i="15"/>
  <c r="K1071" i="15" s="1"/>
  <c r="I1078" i="15"/>
  <c r="K1078" i="15" s="1"/>
  <c r="I1082" i="15"/>
  <c r="H1127" i="15"/>
  <c r="I1180" i="15"/>
  <c r="K1180" i="15" s="1"/>
  <c r="I1185" i="15"/>
  <c r="K1185" i="15" s="1"/>
  <c r="I1189" i="15"/>
  <c r="I1196" i="15"/>
  <c r="K1196" i="15" s="1"/>
  <c r="E1230" i="15"/>
  <c r="J1229" i="15"/>
  <c r="I1115" i="15"/>
  <c r="K1115" i="15" s="1"/>
  <c r="I1119" i="15"/>
  <c r="K1119" i="15" s="1"/>
  <c r="I1126" i="15"/>
  <c r="K1126" i="15" s="1"/>
  <c r="I1131" i="15"/>
  <c r="K1131" i="15" s="1"/>
  <c r="I1138" i="15"/>
  <c r="K1138" i="15" s="1"/>
  <c r="I1143" i="15"/>
  <c r="K1143" i="15" s="1"/>
  <c r="I1147" i="15"/>
  <c r="K1147" i="15" s="1"/>
  <c r="I1150" i="15"/>
  <c r="K1150" i="15" s="1"/>
  <c r="I1154" i="15"/>
  <c r="K1154" i="15" s="1"/>
  <c r="I1161" i="15"/>
  <c r="K1161" i="15" s="1"/>
  <c r="I1225" i="15"/>
  <c r="K1225" i="15" s="1"/>
  <c r="E1316" i="15"/>
  <c r="J1315" i="15"/>
  <c r="I1315" i="15"/>
  <c r="K1346" i="15"/>
  <c r="I1053" i="15"/>
  <c r="K1053" i="15" s="1"/>
  <c r="I1058" i="15"/>
  <c r="K1058" i="15" s="1"/>
  <c r="I1065" i="15"/>
  <c r="K1065" i="15" s="1"/>
  <c r="I1070" i="15"/>
  <c r="K1070" i="15" s="1"/>
  <c r="I1074" i="15"/>
  <c r="K1074" i="15" s="1"/>
  <c r="I1077" i="15"/>
  <c r="K1077" i="15" s="1"/>
  <c r="I1081" i="15"/>
  <c r="K1081" i="15" s="1"/>
  <c r="I1088" i="15"/>
  <c r="K1088" i="15" s="1"/>
  <c r="H1091" i="15"/>
  <c r="H1114" i="15"/>
  <c r="I1170" i="15"/>
  <c r="K1170" i="15" s="1"/>
  <c r="I1184" i="15"/>
  <c r="I1188" i="15"/>
  <c r="K1188" i="15" s="1"/>
  <c r="I1195" i="15"/>
  <c r="K1195" i="15" s="1"/>
  <c r="I1199" i="15"/>
  <c r="K1199" i="15" s="1"/>
  <c r="I1202" i="15"/>
  <c r="K1202" i="15" s="1"/>
  <c r="I1229" i="15"/>
  <c r="H1241" i="15"/>
  <c r="K1207" i="15"/>
  <c r="K1224" i="15"/>
  <c r="K1233" i="15"/>
  <c r="E1249" i="15"/>
  <c r="J1248" i="15"/>
  <c r="K1248" i="15" s="1"/>
  <c r="J1430" i="15"/>
  <c r="I1430" i="15"/>
  <c r="K1430" i="15" s="1"/>
  <c r="H1303" i="15"/>
  <c r="J1304" i="15"/>
  <c r="K1304" i="15" s="1"/>
  <c r="E1318" i="15"/>
  <c r="H1346" i="15"/>
  <c r="J1347" i="15"/>
  <c r="K1347" i="15" s="1"/>
  <c r="K1363" i="15"/>
  <c r="K1368" i="15"/>
  <c r="K1378" i="15"/>
  <c r="E1401" i="15"/>
  <c r="I1400" i="15"/>
  <c r="K1453" i="15"/>
  <c r="I1302" i="15"/>
  <c r="K1302" i="15" s="1"/>
  <c r="I1307" i="15"/>
  <c r="K1307" i="15" s="1"/>
  <c r="I1345" i="15"/>
  <c r="K1345" i="15" s="1"/>
  <c r="I1350" i="15"/>
  <c r="K1350" i="15" s="1"/>
  <c r="I1357" i="15"/>
  <c r="K1357" i="15" s="1"/>
  <c r="I1360" i="15"/>
  <c r="K1360" i="15" s="1"/>
  <c r="E1408" i="15"/>
  <c r="I1407" i="15"/>
  <c r="I1409" i="15"/>
  <c r="E1410" i="15"/>
  <c r="I1466" i="15"/>
  <c r="K1466" i="15" s="1"/>
  <c r="H1466" i="15"/>
  <c r="I1513" i="15"/>
  <c r="K1513" i="15" s="1"/>
  <c r="J1513" i="15"/>
  <c r="I1257" i="15"/>
  <c r="K1257" i="15" s="1"/>
  <c r="I1262" i="15"/>
  <c r="K1262" i="15" s="1"/>
  <c r="I1269" i="15"/>
  <c r="K1269" i="15" s="1"/>
  <c r="I1290" i="15"/>
  <c r="K1290" i="15" s="1"/>
  <c r="I1314" i="15"/>
  <c r="I1335" i="15"/>
  <c r="K1335" i="15" s="1"/>
  <c r="I1341" i="15"/>
  <c r="K1341" i="15" s="1"/>
  <c r="E1392" i="15"/>
  <c r="I1391" i="15"/>
  <c r="K1391" i="15" s="1"/>
  <c r="J1400" i="15"/>
  <c r="J1405" i="15"/>
  <c r="K1405" i="15" s="1"/>
  <c r="H1418" i="15"/>
  <c r="K1438" i="15"/>
  <c r="J1457" i="15"/>
  <c r="K1457" i="15" s="1"/>
  <c r="J1504" i="15"/>
  <c r="K1504" i="15" s="1"/>
  <c r="H1246" i="15"/>
  <c r="I1253" i="15"/>
  <c r="K1253" i="15" s="1"/>
  <c r="H1283" i="15"/>
  <c r="I1306" i="15"/>
  <c r="K1306" i="15" s="1"/>
  <c r="I1310" i="15"/>
  <c r="K1310" i="15" s="1"/>
  <c r="J1314" i="15"/>
  <c r="I1321" i="15"/>
  <c r="K1321" i="15" s="1"/>
  <c r="H1328" i="15"/>
  <c r="I1344" i="15"/>
  <c r="K1344" i="15" s="1"/>
  <c r="I1349" i="15"/>
  <c r="K1349" i="15" s="1"/>
  <c r="I1353" i="15"/>
  <c r="K1353" i="15" s="1"/>
  <c r="I1356" i="15"/>
  <c r="K1356" i="15" s="1"/>
  <c r="I1359" i="15"/>
  <c r="K1359" i="15" s="1"/>
  <c r="I1389" i="15"/>
  <c r="K1389" i="15" s="1"/>
  <c r="H1394" i="15"/>
  <c r="J1407" i="15"/>
  <c r="J1409" i="15"/>
  <c r="I1413" i="15"/>
  <c r="K1413" i="15" s="1"/>
  <c r="J1436" i="15"/>
  <c r="I1436" i="15"/>
  <c r="J1443" i="15"/>
  <c r="I1443" i="15"/>
  <c r="I1313" i="15"/>
  <c r="K1313" i="15" s="1"/>
  <c r="I1317" i="15"/>
  <c r="K1317" i="15" s="1"/>
  <c r="I1324" i="15"/>
  <c r="K1324" i="15" s="1"/>
  <c r="I1362" i="15"/>
  <c r="K1362" i="15" s="1"/>
  <c r="H1364" i="15"/>
  <c r="I1367" i="15"/>
  <c r="K1367" i="15" s="1"/>
  <c r="H1369" i="15"/>
  <c r="K1372" i="15"/>
  <c r="J1391" i="15"/>
  <c r="K1423" i="15"/>
  <c r="K1488" i="15"/>
  <c r="J1495" i="15"/>
  <c r="K1495" i="15" s="1"/>
  <c r="I1425" i="15"/>
  <c r="K1425" i="15" s="1"/>
  <c r="J1501" i="15"/>
  <c r="I1501" i="15"/>
  <c r="H1371" i="15"/>
  <c r="K1406" i="15"/>
  <c r="I1419" i="15"/>
  <c r="K1419" i="15" s="1"/>
  <c r="K1437" i="15"/>
  <c r="I1459" i="15"/>
  <c r="K1459" i="15" s="1"/>
  <c r="H1459" i="15"/>
  <c r="E1473" i="15"/>
  <c r="J1472" i="15"/>
  <c r="I1472" i="15"/>
  <c r="I1442" i="15"/>
  <c r="K1587" i="15"/>
  <c r="E1439" i="15"/>
  <c r="I1440" i="15"/>
  <c r="K1440" i="15" s="1"/>
  <c r="E1448" i="15"/>
  <c r="I1452" i="15"/>
  <c r="K1452" i="15" s="1"/>
  <c r="E1455" i="15"/>
  <c r="I1456" i="15"/>
  <c r="I1482" i="15"/>
  <c r="K1482" i="15" s="1"/>
  <c r="E1486" i="15"/>
  <c r="I1487" i="15"/>
  <c r="I1491" i="15"/>
  <c r="K1491" i="15" s="1"/>
  <c r="I1494" i="15"/>
  <c r="I1499" i="15"/>
  <c r="K1499" i="15" s="1"/>
  <c r="I1503" i="15"/>
  <c r="E1508" i="15"/>
  <c r="I1512" i="15"/>
  <c r="I1637" i="15"/>
  <c r="K1637" i="15" s="1"/>
  <c r="H1637" i="15"/>
  <c r="J1456" i="15"/>
  <c r="J1487" i="15"/>
  <c r="J1494" i="15"/>
  <c r="J1503" i="15"/>
  <c r="J1512" i="15"/>
  <c r="K1519" i="15"/>
  <c r="K1538" i="15"/>
  <c r="K1566" i="15"/>
  <c r="J1647" i="15"/>
  <c r="I1647" i="15"/>
  <c r="I1557" i="15"/>
  <c r="H1557" i="15"/>
  <c r="I1583" i="15"/>
  <c r="K1583" i="15" s="1"/>
  <c r="H1583" i="15"/>
  <c r="J1612" i="15"/>
  <c r="K1612" i="15" s="1"/>
  <c r="J1621" i="15"/>
  <c r="K1621" i="15" s="1"/>
  <c r="H1523" i="15"/>
  <c r="K1628" i="15"/>
  <c r="I1516" i="15"/>
  <c r="K1516" i="15" s="1"/>
  <c r="E1542" i="15"/>
  <c r="J1541" i="15"/>
  <c r="I1541" i="15"/>
  <c r="K1559" i="15"/>
  <c r="J1576" i="15"/>
  <c r="I1576" i="15"/>
  <c r="E1590" i="15"/>
  <c r="J1589" i="15"/>
  <c r="I1589" i="15"/>
  <c r="H1675" i="15"/>
  <c r="J1675" i="15"/>
  <c r="K1675" i="15" s="1"/>
  <c r="J1681" i="15"/>
  <c r="I1681" i="15"/>
  <c r="E1682" i="15"/>
  <c r="J1507" i="15"/>
  <c r="K1507" i="15" s="1"/>
  <c r="J1518" i="15"/>
  <c r="K1518" i="15" s="1"/>
  <c r="K1537" i="15"/>
  <c r="K1544" i="15"/>
  <c r="K1551" i="15"/>
  <c r="K1584" i="15"/>
  <c r="E1599" i="15"/>
  <c r="E1608" i="15"/>
  <c r="E1616" i="15"/>
  <c r="K1648" i="15"/>
  <c r="J1692" i="15"/>
  <c r="I1692" i="15"/>
  <c r="J1736" i="15"/>
  <c r="I1736" i="15"/>
  <c r="J1743" i="15"/>
  <c r="I1743" i="15"/>
  <c r="I1546" i="15"/>
  <c r="K1546" i="15" s="1"/>
  <c r="I1550" i="15"/>
  <c r="I1558" i="15"/>
  <c r="E1561" i="15"/>
  <c r="I1562" i="15"/>
  <c r="K1562" i="15" s="1"/>
  <c r="I1569" i="15"/>
  <c r="K1569" i="15" s="1"/>
  <c r="I1573" i="15"/>
  <c r="K1573" i="15" s="1"/>
  <c r="I1627" i="15"/>
  <c r="E1664" i="15"/>
  <c r="I1663" i="15"/>
  <c r="J1665" i="15"/>
  <c r="I1665" i="15"/>
  <c r="E1666" i="15"/>
  <c r="J1550" i="15"/>
  <c r="J1558" i="15"/>
  <c r="J1604" i="15"/>
  <c r="J1611" i="15"/>
  <c r="K1611" i="15" s="1"/>
  <c r="J1620" i="15"/>
  <c r="K1620" i="15" s="1"/>
  <c r="J1627" i="15"/>
  <c r="J1800" i="15"/>
  <c r="I1800" i="15"/>
  <c r="I1545" i="15"/>
  <c r="K1545" i="15" s="1"/>
  <c r="I1549" i="15"/>
  <c r="K1549" i="15" s="1"/>
  <c r="I1556" i="15"/>
  <c r="K1556" i="15" s="1"/>
  <c r="I1568" i="15"/>
  <c r="K1568" i="15" s="1"/>
  <c r="I1572" i="15"/>
  <c r="K1572" i="15" s="1"/>
  <c r="I1598" i="15"/>
  <c r="K1598" i="15" s="1"/>
  <c r="I1603" i="15"/>
  <c r="K1603" i="15" s="1"/>
  <c r="I1607" i="15"/>
  <c r="K1607" i="15" s="1"/>
  <c r="I1615" i="15"/>
  <c r="K1615" i="15" s="1"/>
  <c r="I1619" i="15"/>
  <c r="K1619" i="15" s="1"/>
  <c r="I1626" i="15"/>
  <c r="K1626" i="15" s="1"/>
  <c r="I1630" i="15"/>
  <c r="K1630" i="15" s="1"/>
  <c r="I1657" i="15"/>
  <c r="K1657" i="15" s="1"/>
  <c r="I1660" i="15"/>
  <c r="K1660" i="15" s="1"/>
  <c r="J1663" i="15"/>
  <c r="J1672" i="15"/>
  <c r="I1672" i="15"/>
  <c r="K1672" i="15" s="1"/>
  <c r="E1673" i="15"/>
  <c r="J1674" i="15"/>
  <c r="K1674" i="15" s="1"/>
  <c r="J1686" i="15"/>
  <c r="I1686" i="15"/>
  <c r="J1791" i="15"/>
  <c r="I1791" i="15"/>
  <c r="I1797" i="15"/>
  <c r="J1797" i="15"/>
  <c r="H1544" i="15"/>
  <c r="H1585" i="15"/>
  <c r="H1614" i="15"/>
  <c r="I1633" i="15"/>
  <c r="K1633" i="15" s="1"/>
  <c r="I1646" i="15"/>
  <c r="K1646" i="15" s="1"/>
  <c r="K1696" i="15"/>
  <c r="J1703" i="15"/>
  <c r="I1703" i="15"/>
  <c r="K1703" i="15" s="1"/>
  <c r="J1752" i="15"/>
  <c r="I1752" i="15"/>
  <c r="I1543" i="15"/>
  <c r="K1543" i="15" s="1"/>
  <c r="I1548" i="15"/>
  <c r="K1548" i="15" s="1"/>
  <c r="I1555" i="15"/>
  <c r="K1555" i="15" s="1"/>
  <c r="I1560" i="15"/>
  <c r="K1560" i="15" s="1"/>
  <c r="I1564" i="15"/>
  <c r="K1564" i="15" s="1"/>
  <c r="I1567" i="15"/>
  <c r="K1567" i="15" s="1"/>
  <c r="I1571" i="15"/>
  <c r="K1571" i="15" s="1"/>
  <c r="I1578" i="15"/>
  <c r="K1578" i="15" s="1"/>
  <c r="I1594" i="15"/>
  <c r="K1594" i="15" s="1"/>
  <c r="I1602" i="15"/>
  <c r="K1602" i="15" s="1"/>
  <c r="I1606" i="15"/>
  <c r="K1606" i="15" s="1"/>
  <c r="I1613" i="15"/>
  <c r="K1613" i="15" s="1"/>
  <c r="I1618" i="15"/>
  <c r="K1618" i="15" s="1"/>
  <c r="I1625" i="15"/>
  <c r="K1625" i="15" s="1"/>
  <c r="I1629" i="15"/>
  <c r="K1629" i="15" s="1"/>
  <c r="I1659" i="15"/>
  <c r="K1659" i="15" s="1"/>
  <c r="K1699" i="15"/>
  <c r="I1749" i="15"/>
  <c r="J1749" i="15"/>
  <c r="K1764" i="15"/>
  <c r="J1759" i="15"/>
  <c r="I1759" i="15"/>
  <c r="E1690" i="15"/>
  <c r="I1691" i="15"/>
  <c r="I1695" i="15"/>
  <c r="K1695" i="15" s="1"/>
  <c r="I1702" i="15"/>
  <c r="K1702" i="15" s="1"/>
  <c r="E1705" i="15"/>
  <c r="H1732" i="15"/>
  <c r="J1745" i="15"/>
  <c r="K1745" i="15" s="1"/>
  <c r="I1763" i="15"/>
  <c r="K1763" i="15" s="1"/>
  <c r="I1770" i="15"/>
  <c r="K1770" i="15" s="1"/>
  <c r="I1773" i="15"/>
  <c r="K1773" i="15" s="1"/>
  <c r="J1793" i="15"/>
  <c r="I1811" i="15"/>
  <c r="K1811" i="15" s="1"/>
  <c r="I1821" i="15"/>
  <c r="K1821" i="15" s="1"/>
  <c r="J1826" i="15"/>
  <c r="I1826" i="15"/>
  <c r="K1826" i="15" s="1"/>
  <c r="J1691" i="15"/>
  <c r="J1835" i="15"/>
  <c r="I1835" i="15"/>
  <c r="J1878" i="15"/>
  <c r="I1878" i="15"/>
  <c r="E1925" i="15"/>
  <c r="J1924" i="15"/>
  <c r="I1924" i="15"/>
  <c r="J1965" i="15"/>
  <c r="I1965" i="15"/>
  <c r="K1965" i="15" s="1"/>
  <c r="E1966" i="15"/>
  <c r="I1991" i="15"/>
  <c r="K1991" i="15" s="1"/>
  <c r="H1991" i="15"/>
  <c r="E2019" i="15"/>
  <c r="J2018" i="15"/>
  <c r="I2018" i="15"/>
  <c r="K1833" i="15"/>
  <c r="J1839" i="15"/>
  <c r="I1839" i="15"/>
  <c r="J1886" i="15"/>
  <c r="I1886" i="15"/>
  <c r="I1708" i="15"/>
  <c r="K1708" i="15" s="1"/>
  <c r="H1714" i="15"/>
  <c r="I1730" i="15"/>
  <c r="K1730" i="15" s="1"/>
  <c r="I1735" i="15"/>
  <c r="I1739" i="15"/>
  <c r="K1739" i="15" s="1"/>
  <c r="I1742" i="15"/>
  <c r="I1747" i="15"/>
  <c r="K1747" i="15" s="1"/>
  <c r="I1751" i="15"/>
  <c r="I1758" i="15"/>
  <c r="I1778" i="15"/>
  <c r="K1778" i="15" s="1"/>
  <c r="I1790" i="15"/>
  <c r="I1795" i="15"/>
  <c r="K1795" i="15" s="1"/>
  <c r="I1799" i="15"/>
  <c r="J1807" i="15"/>
  <c r="I1807" i="15"/>
  <c r="I1817" i="15"/>
  <c r="K1817" i="15" s="1"/>
  <c r="H1817" i="15"/>
  <c r="J1861" i="15"/>
  <c r="I1864" i="15"/>
  <c r="E1865" i="15"/>
  <c r="I1987" i="15"/>
  <c r="K1987" i="15" s="1"/>
  <c r="H1987" i="15"/>
  <c r="E2067" i="15"/>
  <c r="J2066" i="15"/>
  <c r="I2066" i="15"/>
  <c r="I1689" i="15"/>
  <c r="K1689" i="15" s="1"/>
  <c r="I1693" i="15"/>
  <c r="K1693" i="15" s="1"/>
  <c r="I1700" i="15"/>
  <c r="K1700" i="15" s="1"/>
  <c r="I1704" i="15"/>
  <c r="K1704" i="15" s="1"/>
  <c r="H1707" i="15"/>
  <c r="I1726" i="15"/>
  <c r="K1726" i="15" s="1"/>
  <c r="J1735" i="15"/>
  <c r="J1742" i="15"/>
  <c r="J1751" i="15"/>
  <c r="J1758" i="15"/>
  <c r="J1790" i="15"/>
  <c r="J1799" i="15"/>
  <c r="J1841" i="15"/>
  <c r="K1841" i="15" s="1"/>
  <c r="I1857" i="15"/>
  <c r="K1857" i="15" s="1"/>
  <c r="E1858" i="15"/>
  <c r="K1908" i="15"/>
  <c r="J1953" i="15"/>
  <c r="I1953" i="15"/>
  <c r="E2105" i="15"/>
  <c r="J2104" i="15"/>
  <c r="I2104" i="15"/>
  <c r="H1688" i="15"/>
  <c r="I1717" i="15"/>
  <c r="K1717" i="15" s="1"/>
  <c r="I1729" i="15"/>
  <c r="K1729" i="15" s="1"/>
  <c r="I1734" i="15"/>
  <c r="K1734" i="15" s="1"/>
  <c r="I1738" i="15"/>
  <c r="K1738" i="15" s="1"/>
  <c r="I1746" i="15"/>
  <c r="K1746" i="15" s="1"/>
  <c r="I1750" i="15"/>
  <c r="K1750" i="15" s="1"/>
  <c r="I1757" i="15"/>
  <c r="K1757" i="15" s="1"/>
  <c r="I1761" i="15"/>
  <c r="K1761" i="15" s="1"/>
  <c r="I1777" i="15"/>
  <c r="K1777" i="15" s="1"/>
  <c r="I1794" i="15"/>
  <c r="K1794" i="15" s="1"/>
  <c r="I1798" i="15"/>
  <c r="K1798" i="15" s="1"/>
  <c r="I1804" i="15"/>
  <c r="K1804" i="15" s="1"/>
  <c r="I1809" i="15"/>
  <c r="K1809" i="15" s="1"/>
  <c r="I1812" i="15"/>
  <c r="K1812" i="15" s="1"/>
  <c r="J1814" i="15"/>
  <c r="I1814" i="15"/>
  <c r="J1843" i="15"/>
  <c r="I1843" i="15"/>
  <c r="K1843" i="15" s="1"/>
  <c r="J1864" i="15"/>
  <c r="J1928" i="15"/>
  <c r="I1928" i="15"/>
  <c r="J1934" i="15"/>
  <c r="I1934" i="15"/>
  <c r="J1940" i="15"/>
  <c r="I1940" i="15"/>
  <c r="I1947" i="15"/>
  <c r="J1947" i="15"/>
  <c r="E2058" i="15"/>
  <c r="J2057" i="15"/>
  <c r="I2057" i="15"/>
  <c r="K1840" i="15"/>
  <c r="J1871" i="15"/>
  <c r="I1871" i="15"/>
  <c r="K1871" i="15" s="1"/>
  <c r="K1873" i="15"/>
  <c r="K1917" i="15"/>
  <c r="J1921" i="15"/>
  <c r="I1921" i="15"/>
  <c r="J1803" i="15"/>
  <c r="I1803" i="15"/>
  <c r="K1803" i="15" s="1"/>
  <c r="K1852" i="15"/>
  <c r="I1867" i="15"/>
  <c r="K1867" i="15" s="1"/>
  <c r="H1867" i="15"/>
  <c r="K1876" i="15"/>
  <c r="I1911" i="15"/>
  <c r="K1911" i="15" s="1"/>
  <c r="H1911" i="15"/>
  <c r="I1923" i="15"/>
  <c r="K1923" i="15" s="1"/>
  <c r="K1935" i="15"/>
  <c r="J1938" i="15"/>
  <c r="I1938" i="15"/>
  <c r="K2006" i="15"/>
  <c r="I1844" i="15"/>
  <c r="K1844" i="15" s="1"/>
  <c r="I1848" i="15"/>
  <c r="K1848" i="15" s="1"/>
  <c r="I1851" i="15"/>
  <c r="K1851" i="15" s="1"/>
  <c r="I1860" i="15"/>
  <c r="K1860" i="15" s="1"/>
  <c r="I1868" i="15"/>
  <c r="K1868" i="15" s="1"/>
  <c r="I1872" i="15"/>
  <c r="K1872" i="15" s="1"/>
  <c r="I1879" i="15"/>
  <c r="K1879" i="15" s="1"/>
  <c r="I1883" i="15"/>
  <c r="K1883" i="15" s="1"/>
  <c r="I1899" i="15"/>
  <c r="K1899" i="15" s="1"/>
  <c r="I1912" i="15"/>
  <c r="K1912" i="15" s="1"/>
  <c r="I1916" i="15"/>
  <c r="K1916" i="15" s="1"/>
  <c r="J1920" i="15"/>
  <c r="K1920" i="15" s="1"/>
  <c r="J1929" i="15"/>
  <c r="J1939" i="15"/>
  <c r="K1939" i="15" s="1"/>
  <c r="I1942" i="15"/>
  <c r="K1942" i="15" s="1"/>
  <c r="I1949" i="15"/>
  <c r="H1949" i="15"/>
  <c r="I1961" i="15"/>
  <c r="K1961" i="15" s="1"/>
  <c r="I1973" i="15"/>
  <c r="K1973" i="15" s="1"/>
  <c r="K2085" i="15"/>
  <c r="J1949" i="15"/>
  <c r="J2016" i="15"/>
  <c r="K2016" i="15" s="1"/>
  <c r="J2025" i="15"/>
  <c r="I2025" i="15"/>
  <c r="K2088" i="15"/>
  <c r="J2108" i="15"/>
  <c r="I2108" i="15"/>
  <c r="E1874" i="15"/>
  <c r="E1881" i="15"/>
  <c r="E1918" i="15"/>
  <c r="K1984" i="15"/>
  <c r="H2036" i="15"/>
  <c r="J2076" i="15"/>
  <c r="I2076" i="15"/>
  <c r="J2092" i="15"/>
  <c r="I2092" i="15"/>
  <c r="J2101" i="15"/>
  <c r="I2101" i="15"/>
  <c r="K2101" i="15" s="1"/>
  <c r="E1943" i="15"/>
  <c r="E1951" i="15"/>
  <c r="J1950" i="15"/>
  <c r="K1950" i="15" s="1"/>
  <c r="J1956" i="15"/>
  <c r="K1956" i="15" s="1"/>
  <c r="J1960" i="15"/>
  <c r="I1960" i="15"/>
  <c r="J1972" i="15"/>
  <c r="I1972" i="15"/>
  <c r="K1972" i="15" s="1"/>
  <c r="J1976" i="15"/>
  <c r="I1976" i="15"/>
  <c r="J2005" i="15"/>
  <c r="I2005" i="15"/>
  <c r="E2010" i="15"/>
  <c r="E2020" i="15"/>
  <c r="J2009" i="15"/>
  <c r="E2026" i="15"/>
  <c r="K2030" i="15"/>
  <c r="J2062" i="15"/>
  <c r="I2062" i="15"/>
  <c r="J2096" i="15"/>
  <c r="I2096" i="15"/>
  <c r="J2107" i="15"/>
  <c r="I2107" i="15"/>
  <c r="K2107" i="15" s="1"/>
  <c r="J2110" i="15"/>
  <c r="I2110" i="15"/>
  <c r="J1948" i="15"/>
  <c r="I1948" i="15"/>
  <c r="E2023" i="15"/>
  <c r="J2022" i="15"/>
  <c r="J2071" i="15"/>
  <c r="I2071" i="15"/>
  <c r="K2071" i="15" s="1"/>
  <c r="K2009" i="15"/>
  <c r="J2064" i="15"/>
  <c r="I2064" i="15"/>
  <c r="I2103" i="15"/>
  <c r="K2103" i="15" s="1"/>
  <c r="E1978" i="15"/>
  <c r="J1977" i="15"/>
  <c r="K1977" i="15" s="1"/>
  <c r="J1983" i="15"/>
  <c r="I1983" i="15"/>
  <c r="K1983" i="15" s="1"/>
  <c r="J1996" i="15"/>
  <c r="I1996" i="15"/>
  <c r="K2015" i="15"/>
  <c r="I2022" i="15"/>
  <c r="J2028" i="15"/>
  <c r="I2028" i="15"/>
  <c r="K2037" i="15"/>
  <c r="J2045" i="15"/>
  <c r="I2045" i="15"/>
  <c r="E2074" i="15"/>
  <c r="J2073" i="15"/>
  <c r="I2073" i="15"/>
  <c r="I2087" i="15"/>
  <c r="K2087" i="15" s="1"/>
  <c r="H2087" i="15"/>
  <c r="K2097" i="15"/>
  <c r="I2054" i="15"/>
  <c r="K2054" i="15" s="1"/>
  <c r="J2063" i="15"/>
  <c r="K2063" i="15" s="1"/>
  <c r="J2070" i="15"/>
  <c r="K2070" i="15" s="1"/>
  <c r="J2100" i="15"/>
  <c r="K2100" i="15" s="1"/>
  <c r="J2109" i="15"/>
  <c r="K2109" i="15" s="1"/>
  <c r="H2035" i="15"/>
  <c r="H2083" i="15"/>
  <c r="I2013" i="15"/>
  <c r="K2013" i="15" s="1"/>
  <c r="I2017" i="15"/>
  <c r="K2017" i="15" s="1"/>
  <c r="H2103" i="15"/>
  <c r="K1938" i="15" l="1"/>
  <c r="J1915" i="15"/>
  <c r="K1681" i="15"/>
  <c r="I964" i="15"/>
  <c r="K964" i="15" s="1"/>
  <c r="K1393" i="15"/>
  <c r="K265" i="15"/>
  <c r="K428" i="15"/>
  <c r="K1929" i="15"/>
  <c r="I1445" i="15"/>
  <c r="K1445" i="15" s="1"/>
  <c r="I1011" i="15"/>
  <c r="K1011" i="15" s="1"/>
  <c r="I222" i="15"/>
  <c r="J836" i="15"/>
  <c r="K1146" i="15"/>
  <c r="K1305" i="15"/>
  <c r="K520" i="15"/>
  <c r="K466" i="15"/>
  <c r="K1651" i="15"/>
  <c r="K830" i="15"/>
  <c r="K1227" i="15"/>
  <c r="I1529" i="15"/>
  <c r="K1529" i="15" s="1"/>
  <c r="J1118" i="15"/>
  <c r="K1352" i="15"/>
  <c r="I2014" i="15"/>
  <c r="K2057" i="15"/>
  <c r="K1742" i="15"/>
  <c r="K1839" i="15"/>
  <c r="I1348" i="15"/>
  <c r="K1184" i="15"/>
  <c r="K1132" i="15"/>
  <c r="I901" i="15"/>
  <c r="J599" i="15"/>
  <c r="K384" i="15"/>
  <c r="K389" i="15"/>
  <c r="K1846" i="15"/>
  <c r="K1397" i="15"/>
  <c r="K677" i="15"/>
  <c r="K1500" i="15"/>
  <c r="K1955" i="15"/>
  <c r="K1744" i="15"/>
  <c r="K2060" i="15"/>
  <c r="K1941" i="15"/>
  <c r="K387" i="15"/>
  <c r="I1669" i="15"/>
  <c r="K1669" i="15" s="1"/>
  <c r="K1604" i="15"/>
  <c r="K1082" i="15"/>
  <c r="K1721" i="15"/>
  <c r="K1395" i="15"/>
  <c r="K1914" i="15"/>
  <c r="K1309" i="15"/>
  <c r="K597" i="15"/>
  <c r="K1877" i="15"/>
  <c r="K2007" i="15"/>
  <c r="K1073" i="15"/>
  <c r="K1303" i="15"/>
  <c r="K684" i="15"/>
  <c r="K1953" i="15"/>
  <c r="K1627" i="15"/>
  <c r="K1743" i="15"/>
  <c r="K1576" i="15"/>
  <c r="K1512" i="15"/>
  <c r="K476" i="15"/>
  <c r="K423" i="15"/>
  <c r="K550" i="15"/>
  <c r="K247" i="15"/>
  <c r="K1748" i="15"/>
  <c r="K1251" i="15"/>
  <c r="K1687" i="15"/>
  <c r="K551" i="15"/>
  <c r="K1853" i="15"/>
  <c r="K816" i="15"/>
  <c r="K1451" i="15"/>
  <c r="E348" i="15"/>
  <c r="I347" i="15"/>
  <c r="K347" i="15" s="1"/>
  <c r="K2049" i="15"/>
  <c r="K1498" i="15"/>
  <c r="K607" i="15"/>
  <c r="K1937" i="15"/>
  <c r="K1057" i="15"/>
  <c r="K1007" i="15"/>
  <c r="K365" i="15"/>
  <c r="K507" i="15"/>
  <c r="K1442" i="15"/>
  <c r="K1220" i="15"/>
  <c r="I772" i="15"/>
  <c r="K772" i="15" s="1"/>
  <c r="K1446" i="15"/>
  <c r="K2073" i="15"/>
  <c r="K1541" i="15"/>
  <c r="I1677" i="15"/>
  <c r="K1677" i="15" s="1"/>
  <c r="K256" i="15"/>
  <c r="K1909" i="15"/>
  <c r="I1913" i="15"/>
  <c r="J1913" i="15"/>
  <c r="K628" i="15"/>
  <c r="K2064" i="15"/>
  <c r="K2062" i="15"/>
  <c r="K2108" i="15"/>
  <c r="K1886" i="15"/>
  <c r="K1791" i="15"/>
  <c r="K1665" i="15"/>
  <c r="K1692" i="15"/>
  <c r="K892" i="15"/>
  <c r="K726" i="15"/>
  <c r="K736" i="15"/>
  <c r="K646" i="15"/>
  <c r="K473" i="15"/>
  <c r="I307" i="15"/>
  <c r="K1731" i="15"/>
  <c r="K719" i="15"/>
  <c r="K1118" i="15"/>
  <c r="K1300" i="15"/>
  <c r="I1125" i="15"/>
  <c r="J1125" i="15"/>
  <c r="I1009" i="15"/>
  <c r="K1009" i="15" s="1"/>
  <c r="J1009" i="15"/>
  <c r="K380" i="15"/>
  <c r="K224" i="15"/>
  <c r="K1934" i="15"/>
  <c r="K2104" i="15"/>
  <c r="K908" i="15"/>
  <c r="K388" i="15"/>
  <c r="J307" i="15"/>
  <c r="K261" i="15"/>
  <c r="K215" i="15"/>
  <c r="K1226" i="15"/>
  <c r="K1600" i="15"/>
  <c r="K934" i="15"/>
  <c r="I1756" i="15"/>
  <c r="J1756" i="15"/>
  <c r="K163" i="15"/>
  <c r="I957" i="15"/>
  <c r="K957" i="15" s="1"/>
  <c r="K1676" i="15"/>
  <c r="K634" i="15"/>
  <c r="K1169" i="15"/>
  <c r="K147" i="15"/>
  <c r="K1996" i="15"/>
  <c r="K2110" i="15"/>
  <c r="K1976" i="15"/>
  <c r="K1807" i="15"/>
  <c r="K1189" i="15"/>
  <c r="K904" i="15"/>
  <c r="K465" i="15"/>
  <c r="K510" i="15"/>
  <c r="K179" i="15"/>
  <c r="K517" i="15"/>
  <c r="K132" i="15"/>
  <c r="K128" i="15"/>
  <c r="K14" i="15"/>
  <c r="K19" i="15"/>
  <c r="K1351" i="15"/>
  <c r="K1667" i="15"/>
  <c r="K1855" i="15"/>
  <c r="K1847" i="15"/>
  <c r="K1635" i="15"/>
  <c r="K836" i="15"/>
  <c r="K1792" i="15"/>
  <c r="I1969" i="15"/>
  <c r="K1193" i="15"/>
  <c r="I723" i="15"/>
  <c r="K723" i="15" s="1"/>
  <c r="I1396" i="15"/>
  <c r="J1396" i="15"/>
  <c r="I1398" i="15"/>
  <c r="K1398" i="15" s="1"/>
  <c r="J1398" i="15"/>
  <c r="K519" i="15"/>
  <c r="I1869" i="15"/>
  <c r="J1869" i="15"/>
  <c r="K1400" i="15"/>
  <c r="K899" i="15"/>
  <c r="K1903" i="15"/>
  <c r="I1856" i="15"/>
  <c r="K1856" i="15" s="1"/>
  <c r="I1930" i="15"/>
  <c r="K1799" i="15"/>
  <c r="J1260" i="15"/>
  <c r="I1190" i="15"/>
  <c r="K1190" i="15" s="1"/>
  <c r="K1221" i="15"/>
  <c r="K718" i="15"/>
  <c r="K307" i="15"/>
  <c r="I1605" i="15"/>
  <c r="K1605" i="15" s="1"/>
  <c r="J1605" i="15"/>
  <c r="K1489" i="15"/>
  <c r="K1447" i="15"/>
  <c r="I296" i="15"/>
  <c r="J296" i="15"/>
  <c r="K1261" i="15"/>
  <c r="K1142" i="15"/>
  <c r="K1947" i="15"/>
  <c r="K1864" i="15"/>
  <c r="K1691" i="15"/>
  <c r="K1749" i="15"/>
  <c r="K1155" i="15"/>
  <c r="K1144" i="15"/>
  <c r="K773" i="15"/>
  <c r="K722" i="15"/>
  <c r="K877" i="15"/>
  <c r="K768" i="15"/>
  <c r="K819" i="15"/>
  <c r="K901" i="15"/>
  <c r="K764" i="15"/>
  <c r="K897" i="15"/>
  <c r="I637" i="15"/>
  <c r="K536" i="15"/>
  <c r="K222" i="15"/>
  <c r="K81" i="15"/>
  <c r="K263" i="15"/>
  <c r="K678" i="15"/>
  <c r="I1845" i="15"/>
  <c r="J1845" i="15"/>
  <c r="K212" i="15"/>
  <c r="I1679" i="15"/>
  <c r="J1679" i="15"/>
  <c r="I508" i="15"/>
  <c r="J508" i="15"/>
  <c r="K1927" i="15"/>
  <c r="K2096" i="15"/>
  <c r="K1960" i="15"/>
  <c r="K2092" i="15"/>
  <c r="K1940" i="15"/>
  <c r="K2018" i="15"/>
  <c r="K1550" i="15"/>
  <c r="K1589" i="15"/>
  <c r="K1494" i="15"/>
  <c r="K1501" i="15"/>
  <c r="K1056" i="15"/>
  <c r="K786" i="15"/>
  <c r="K1014" i="15"/>
  <c r="K998" i="15"/>
  <c r="K727" i="15"/>
  <c r="K457" i="15"/>
  <c r="K590" i="15"/>
  <c r="K381" i="15"/>
  <c r="I470" i="15"/>
  <c r="K470" i="15" s="1"/>
  <c r="K213" i="15"/>
  <c r="K254" i="15"/>
  <c r="K48" i="15"/>
  <c r="K1483" i="15"/>
  <c r="K1259" i="15"/>
  <c r="K1145" i="15"/>
  <c r="K1006" i="15"/>
  <c r="K1557" i="15"/>
  <c r="K598" i="15"/>
  <c r="K992" i="15"/>
  <c r="K1949" i="15"/>
  <c r="K1924" i="15"/>
  <c r="K1752" i="15"/>
  <c r="K1436" i="15"/>
  <c r="K1151" i="15"/>
  <c r="K1068" i="15"/>
  <c r="K1177" i="15"/>
  <c r="K981" i="15"/>
  <c r="K725" i="15"/>
  <c r="K942" i="15"/>
  <c r="K624" i="15"/>
  <c r="K599" i="15"/>
  <c r="K101" i="15"/>
  <c r="K29" i="15"/>
  <c r="I1964" i="15"/>
  <c r="J1964" i="15"/>
  <c r="K1399" i="15"/>
  <c r="K893" i="15"/>
  <c r="K1793" i="15"/>
  <c r="K1067" i="15"/>
  <c r="K721" i="15"/>
  <c r="I2020" i="15"/>
  <c r="J2020" i="15"/>
  <c r="J1918" i="15"/>
  <c r="I1918" i="15"/>
  <c r="J1865" i="15"/>
  <c r="I1865" i="15"/>
  <c r="J1966" i="15"/>
  <c r="I1966" i="15"/>
  <c r="J1705" i="15"/>
  <c r="I1705" i="15"/>
  <c r="I84" i="15"/>
  <c r="J84" i="15"/>
  <c r="I337" i="15"/>
  <c r="J337" i="15"/>
  <c r="J339" i="15"/>
  <c r="I339" i="15"/>
  <c r="J2023" i="15"/>
  <c r="I2023" i="15"/>
  <c r="J2010" i="15"/>
  <c r="I2010" i="15"/>
  <c r="J1881" i="15"/>
  <c r="I1881" i="15"/>
  <c r="K1735" i="15"/>
  <c r="K1797" i="15"/>
  <c r="J1599" i="15"/>
  <c r="I1599" i="15"/>
  <c r="I1316" i="15"/>
  <c r="J1316" i="15"/>
  <c r="J1052" i="15"/>
  <c r="I1052" i="15"/>
  <c r="J596" i="15"/>
  <c r="I596" i="15"/>
  <c r="J546" i="15"/>
  <c r="I546" i="15"/>
  <c r="J430" i="15"/>
  <c r="I430" i="15"/>
  <c r="J32" i="15"/>
  <c r="I32" i="15"/>
  <c r="E177" i="15"/>
  <c r="J176" i="15"/>
  <c r="I176" i="15"/>
  <c r="J207" i="15"/>
  <c r="I207" i="15"/>
  <c r="J2074" i="15"/>
  <c r="I2074" i="15"/>
  <c r="I1673" i="15"/>
  <c r="J1673" i="15"/>
  <c r="J1608" i="15"/>
  <c r="I1608" i="15"/>
  <c r="J1682" i="15"/>
  <c r="I1682" i="15"/>
  <c r="J1590" i="15"/>
  <c r="I1590" i="15"/>
  <c r="J1448" i="15"/>
  <c r="I1448" i="15"/>
  <c r="K1448" i="15" s="1"/>
  <c r="I1401" i="15"/>
  <c r="J1401" i="15"/>
  <c r="J1230" i="15"/>
  <c r="I1230" i="15"/>
  <c r="J264" i="15"/>
  <c r="I264" i="15"/>
  <c r="J292" i="15"/>
  <c r="I292" i="15"/>
  <c r="K292" i="15" s="1"/>
  <c r="K2045" i="15"/>
  <c r="K1948" i="15"/>
  <c r="K2005" i="15"/>
  <c r="K2076" i="15"/>
  <c r="J1874" i="15"/>
  <c r="I1874" i="15"/>
  <c r="K1921" i="15"/>
  <c r="K1814" i="15"/>
  <c r="K2066" i="15"/>
  <c r="K1790" i="15"/>
  <c r="K1835" i="15"/>
  <c r="K1800" i="15"/>
  <c r="K1736" i="15"/>
  <c r="K1647" i="15"/>
  <c r="K1487" i="15"/>
  <c r="K1472" i="15"/>
  <c r="K1443" i="15"/>
  <c r="K1314" i="15"/>
  <c r="K1348" i="15"/>
  <c r="K1111" i="15"/>
  <c r="J1069" i="15"/>
  <c r="I1069" i="15"/>
  <c r="K1116" i="15"/>
  <c r="J1156" i="15"/>
  <c r="I1156" i="15"/>
  <c r="K1120" i="15"/>
  <c r="J878" i="15"/>
  <c r="I878" i="15"/>
  <c r="K758" i="15"/>
  <c r="K818" i="15"/>
  <c r="K679" i="15"/>
  <c r="K554" i="15"/>
  <c r="J905" i="15"/>
  <c r="I905" i="15"/>
  <c r="I840" i="15"/>
  <c r="J840" i="15"/>
  <c r="K667" i="15"/>
  <c r="K555" i="15"/>
  <c r="K419" i="15"/>
  <c r="J477" i="15"/>
  <c r="I477" i="15"/>
  <c r="K414" i="15"/>
  <c r="K682" i="15"/>
  <c r="K521" i="15"/>
  <c r="I350" i="15"/>
  <c r="J350" i="15"/>
  <c r="K69" i="15"/>
  <c r="K429" i="15"/>
  <c r="J167" i="15"/>
  <c r="I167" i="15"/>
  <c r="K31" i="15"/>
  <c r="J248" i="15"/>
  <c r="I248" i="15"/>
  <c r="K175" i="15"/>
  <c r="K211" i="15"/>
  <c r="K639" i="15"/>
  <c r="E391" i="15"/>
  <c r="J390" i="15"/>
  <c r="I390" i="15"/>
  <c r="K206" i="15"/>
  <c r="K461" i="15"/>
  <c r="J1666" i="15"/>
  <c r="I1666" i="15"/>
  <c r="J896" i="15"/>
  <c r="I896" i="15"/>
  <c r="J513" i="15"/>
  <c r="I513" i="15"/>
  <c r="J839" i="15"/>
  <c r="I839" i="15"/>
  <c r="J301" i="15"/>
  <c r="I301" i="15"/>
  <c r="J216" i="15"/>
  <c r="I216" i="15"/>
  <c r="J1951" i="15"/>
  <c r="I1951" i="15"/>
  <c r="J2067" i="15"/>
  <c r="I2067" i="15"/>
  <c r="K1758" i="15"/>
  <c r="J1690" i="15"/>
  <c r="I1690" i="15"/>
  <c r="J1561" i="15"/>
  <c r="I1561" i="15"/>
  <c r="J1473" i="15"/>
  <c r="I1473" i="15"/>
  <c r="I1410" i="15"/>
  <c r="J1410" i="15"/>
  <c r="J1112" i="15"/>
  <c r="I1112" i="15"/>
  <c r="J1121" i="15"/>
  <c r="I1121" i="15"/>
  <c r="J504" i="15"/>
  <c r="I504" i="15"/>
  <c r="I420" i="15"/>
  <c r="J420" i="15"/>
  <c r="I165" i="15"/>
  <c r="J165" i="15"/>
  <c r="J118" i="15"/>
  <c r="I118" i="15"/>
  <c r="J1858" i="15"/>
  <c r="I1858" i="15"/>
  <c r="J1486" i="15"/>
  <c r="I1486" i="15"/>
  <c r="J1439" i="15"/>
  <c r="I1439" i="15"/>
  <c r="J820" i="15"/>
  <c r="I820" i="15"/>
  <c r="K645" i="15"/>
  <c r="J310" i="15"/>
  <c r="I310" i="15"/>
  <c r="I61" i="15"/>
  <c r="E64" i="15"/>
  <c r="J61" i="15"/>
  <c r="J342" i="15"/>
  <c r="I342" i="15"/>
  <c r="K2028" i="15"/>
  <c r="J1943" i="15"/>
  <c r="I1943" i="15"/>
  <c r="K2014" i="15"/>
  <c r="K1969" i="15"/>
  <c r="K1915" i="15"/>
  <c r="K1928" i="15"/>
  <c r="J2105" i="15"/>
  <c r="I2105" i="15"/>
  <c r="K1751" i="15"/>
  <c r="J2019" i="15"/>
  <c r="I2019" i="15"/>
  <c r="K1759" i="15"/>
  <c r="K1686" i="15"/>
  <c r="K1558" i="15"/>
  <c r="J1508" i="15"/>
  <c r="I1508" i="15"/>
  <c r="K1456" i="15"/>
  <c r="K1409" i="15"/>
  <c r="K1229" i="15"/>
  <c r="K1260" i="15"/>
  <c r="K1186" i="15"/>
  <c r="K1060" i="15"/>
  <c r="K1083" i="15"/>
  <c r="K1128" i="15"/>
  <c r="J822" i="15"/>
  <c r="I822" i="15"/>
  <c r="K1099" i="15"/>
  <c r="K882" i="15"/>
  <c r="J961" i="15"/>
  <c r="I961" i="15"/>
  <c r="J939" i="15"/>
  <c r="I939" i="15"/>
  <c r="K995" i="15"/>
  <c r="K802" i="15"/>
  <c r="K994" i="15"/>
  <c r="K638" i="15"/>
  <c r="K1079" i="15"/>
  <c r="K426" i="15"/>
  <c r="J467" i="15"/>
  <c r="I467" i="15"/>
  <c r="K378" i="15"/>
  <c r="J562" i="15"/>
  <c r="I562" i="15"/>
  <c r="K418" i="15"/>
  <c r="J223" i="15"/>
  <c r="I223" i="15"/>
  <c r="K17" i="15"/>
  <c r="E130" i="15"/>
  <c r="J129" i="15"/>
  <c r="I129" i="15"/>
  <c r="K16" i="15"/>
  <c r="K117" i="15"/>
  <c r="J1925" i="15"/>
  <c r="I1925" i="15"/>
  <c r="K1663" i="15"/>
  <c r="J1542" i="15"/>
  <c r="I1542" i="15"/>
  <c r="K1503" i="15"/>
  <c r="J1455" i="15"/>
  <c r="I1455" i="15"/>
  <c r="K1407" i="15"/>
  <c r="J1318" i="15"/>
  <c r="I1318" i="15"/>
  <c r="J1249" i="15"/>
  <c r="I1249" i="15"/>
  <c r="J954" i="15"/>
  <c r="I954" i="15"/>
  <c r="J898" i="15"/>
  <c r="I898" i="15"/>
  <c r="I474" i="15"/>
  <c r="J474" i="15"/>
  <c r="K119" i="15"/>
  <c r="J603" i="15"/>
  <c r="I603" i="15"/>
  <c r="K67" i="15"/>
  <c r="J1978" i="15"/>
  <c r="I1978" i="15"/>
  <c r="J2026" i="15"/>
  <c r="I2026" i="15"/>
  <c r="J2058" i="15"/>
  <c r="I2058" i="15"/>
  <c r="K2022" i="15"/>
  <c r="K2025" i="15"/>
  <c r="K1930" i="15"/>
  <c r="K1878" i="15"/>
  <c r="J1664" i="15"/>
  <c r="I1664" i="15"/>
  <c r="J1616" i="15"/>
  <c r="I1616" i="15"/>
  <c r="J1392" i="15"/>
  <c r="I1392" i="15"/>
  <c r="J1408" i="15"/>
  <c r="I1408" i="15"/>
  <c r="K1315" i="15"/>
  <c r="J1061" i="15"/>
  <c r="I1061" i="15"/>
  <c r="J1129" i="15"/>
  <c r="I1129" i="15"/>
  <c r="K1072" i="15"/>
  <c r="K780" i="15"/>
  <c r="J777" i="15"/>
  <c r="I777" i="15"/>
  <c r="I996" i="15"/>
  <c r="J996" i="15"/>
  <c r="K834" i="15"/>
  <c r="K1051" i="15"/>
  <c r="K915" i="15"/>
  <c r="K720" i="15"/>
  <c r="K595" i="15"/>
  <c r="J427" i="15"/>
  <c r="I427" i="15"/>
  <c r="J379" i="15"/>
  <c r="I379" i="15"/>
  <c r="K393" i="15"/>
  <c r="K637" i="15"/>
  <c r="K545" i="15"/>
  <c r="K375" i="15"/>
  <c r="I18" i="15"/>
  <c r="J18" i="15"/>
  <c r="J308" i="15"/>
  <c r="I308" i="15"/>
  <c r="K220" i="15"/>
  <c r="J120" i="15"/>
  <c r="I120" i="15"/>
  <c r="J257" i="15"/>
  <c r="I257" i="15"/>
  <c r="K336" i="15"/>
  <c r="K74" i="15"/>
  <c r="K252" i="15"/>
  <c r="J86" i="15"/>
  <c r="I86" i="15"/>
  <c r="J68" i="15"/>
  <c r="I68" i="15"/>
  <c r="K474" i="15" l="1"/>
  <c r="K1401" i="15"/>
  <c r="K1845" i="15"/>
  <c r="K296" i="15"/>
  <c r="K120" i="15"/>
  <c r="K1455" i="15"/>
  <c r="K301" i="15"/>
  <c r="K1666" i="15"/>
  <c r="K32" i="15"/>
  <c r="K1881" i="15"/>
  <c r="K350" i="15"/>
  <c r="K430" i="15"/>
  <c r="K2010" i="15"/>
  <c r="K1918" i="15"/>
  <c r="K1408" i="15"/>
  <c r="K1978" i="15"/>
  <c r="K1913" i="15"/>
  <c r="K1249" i="15"/>
  <c r="K1542" i="15"/>
  <c r="J348" i="15"/>
  <c r="I348" i="15"/>
  <c r="K348" i="15" s="1"/>
  <c r="K1396" i="15"/>
  <c r="K1756" i="15"/>
  <c r="K1125" i="15"/>
  <c r="K257" i="15"/>
  <c r="K1925" i="15"/>
  <c r="K342" i="15"/>
  <c r="K820" i="15"/>
  <c r="K118" i="15"/>
  <c r="K1121" i="15"/>
  <c r="K1561" i="15"/>
  <c r="K167" i="15"/>
  <c r="K1869" i="15"/>
  <c r="K86" i="15"/>
  <c r="K1392" i="15"/>
  <c r="K165" i="15"/>
  <c r="K1052" i="15"/>
  <c r="K1865" i="15"/>
  <c r="K129" i="15"/>
  <c r="K562" i="15"/>
  <c r="K2019" i="15"/>
  <c r="K1486" i="15"/>
  <c r="K508" i="15"/>
  <c r="K1061" i="15"/>
  <c r="K1858" i="15"/>
  <c r="K504" i="15"/>
  <c r="K1473" i="15"/>
  <c r="K878" i="15"/>
  <c r="K1230" i="15"/>
  <c r="K1682" i="15"/>
  <c r="K207" i="15"/>
  <c r="K1964" i="15"/>
  <c r="K1679" i="15"/>
  <c r="K427" i="15"/>
  <c r="K1664" i="15"/>
  <c r="K2026" i="15"/>
  <c r="K1951" i="15"/>
  <c r="K513" i="15"/>
  <c r="K546" i="15"/>
  <c r="K1599" i="15"/>
  <c r="K2023" i="15"/>
  <c r="K1705" i="15"/>
  <c r="K18" i="15"/>
  <c r="K996" i="15"/>
  <c r="K61" i="15"/>
  <c r="K1673" i="15"/>
  <c r="I64" i="15"/>
  <c r="J64" i="15"/>
  <c r="J177" i="15"/>
  <c r="I177" i="15"/>
  <c r="K68" i="15"/>
  <c r="K777" i="15"/>
  <c r="K1318" i="15"/>
  <c r="J130" i="15"/>
  <c r="I130" i="15"/>
  <c r="K130" i="15" s="1"/>
  <c r="K822" i="15"/>
  <c r="K1943" i="15"/>
  <c r="K310" i="15"/>
  <c r="K420" i="15"/>
  <c r="K1410" i="15"/>
  <c r="K2067" i="15"/>
  <c r="K839" i="15"/>
  <c r="K248" i="15"/>
  <c r="K1069" i="15"/>
  <c r="K1874" i="15"/>
  <c r="K264" i="15"/>
  <c r="K1590" i="15"/>
  <c r="K2074" i="15"/>
  <c r="K337" i="15"/>
  <c r="K898" i="15"/>
  <c r="K223" i="15"/>
  <c r="K467" i="15"/>
  <c r="K939" i="15"/>
  <c r="K1508" i="15"/>
  <c r="K2105" i="15"/>
  <c r="K390" i="15"/>
  <c r="K1316" i="15"/>
  <c r="K84" i="15"/>
  <c r="K840" i="15"/>
  <c r="K308" i="15"/>
  <c r="K1129" i="15"/>
  <c r="K603" i="15"/>
  <c r="K954" i="15"/>
  <c r="K961" i="15"/>
  <c r="K216" i="15"/>
  <c r="K896" i="15"/>
  <c r="J391" i="15"/>
  <c r="I391" i="15"/>
  <c r="K905" i="15"/>
  <c r="K1608" i="15"/>
  <c r="K176" i="15"/>
  <c r="K2020" i="15"/>
  <c r="K379" i="15"/>
  <c r="K1616" i="15"/>
  <c r="K2058" i="15"/>
  <c r="K1439" i="15"/>
  <c r="K1112" i="15"/>
  <c r="K1690" i="15"/>
  <c r="K477" i="15"/>
  <c r="K1156" i="15"/>
  <c r="K596" i="15"/>
  <c r="K339" i="15"/>
  <c r="K1966" i="15"/>
  <c r="K177" i="15" l="1"/>
  <c r="J2112" i="15"/>
  <c r="K64" i="15"/>
  <c r="K2112" i="15" s="1"/>
  <c r="I2112" i="15"/>
  <c r="K391" i="15"/>
  <c r="J2113" i="15" l="1"/>
  <c r="K2113" i="15"/>
  <c r="I2113" i="15"/>
  <c r="F36" i="11" l="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D353" i="8"/>
  <c r="D349" i="8"/>
  <c r="D342" i="8"/>
  <c r="D341" i="8"/>
  <c r="D339" i="8"/>
  <c r="D330" i="8"/>
  <c r="D324" i="8"/>
  <c r="D316" i="8"/>
  <c r="D315" i="8"/>
  <c r="D313" i="8"/>
  <c r="D304" i="8"/>
  <c r="D298" i="8"/>
  <c r="D289" i="8"/>
  <c r="D288" i="8"/>
  <c r="D286" i="8"/>
  <c r="D277" i="8"/>
  <c r="D267" i="8"/>
  <c r="D266" i="8"/>
  <c r="D255" i="8"/>
  <c r="D253" i="8"/>
  <c r="D244" i="8"/>
  <c r="D243" i="8"/>
  <c r="D232" i="8"/>
  <c r="D231" i="8"/>
  <c r="D230" i="8"/>
  <c r="D229" i="8"/>
  <c r="D227" i="8"/>
  <c r="D226" i="8"/>
  <c r="D225" i="8"/>
  <c r="D224" i="8"/>
  <c r="D223" i="8"/>
  <c r="D222" i="8"/>
  <c r="D221" i="8"/>
  <c r="D220" i="8"/>
  <c r="D218" i="8"/>
  <c r="D214" i="8"/>
  <c r="D207" i="8"/>
  <c r="D206" i="8"/>
  <c r="D197" i="8"/>
  <c r="D195" i="8"/>
  <c r="D189" i="8"/>
  <c r="D179" i="8"/>
  <c r="D178" i="8"/>
  <c r="D176" i="8"/>
  <c r="D169" i="8"/>
  <c r="D167" i="8"/>
  <c r="D161" i="8"/>
  <c r="D151" i="8"/>
  <c r="D150" i="8"/>
  <c r="D148" i="8"/>
  <c r="D141" i="8"/>
  <c r="D139" i="8"/>
  <c r="D133" i="8"/>
  <c r="D123" i="8"/>
  <c r="D122" i="8"/>
  <c r="D120" i="8"/>
  <c r="D113" i="8"/>
  <c r="D111" i="8"/>
  <c r="D105" i="8"/>
  <c r="D94" i="8"/>
  <c r="D93" i="8"/>
  <c r="D91" i="8"/>
  <c r="D8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6" i="8"/>
  <c r="D55" i="8"/>
  <c r="D54" i="8"/>
  <c r="D49" i="8"/>
  <c r="D47" i="8"/>
  <c r="D46" i="8"/>
  <c r="D45" i="8"/>
  <c r="D44" i="8"/>
  <c r="D43" i="8"/>
  <c r="D42" i="8"/>
  <c r="D41" i="8"/>
  <c r="D26" i="8"/>
  <c r="D25" i="8"/>
  <c r="D21" i="8"/>
  <c r="D19" i="8"/>
  <c r="D18" i="8"/>
  <c r="D17" i="8"/>
  <c r="D16" i="8"/>
  <c r="D15" i="8"/>
  <c r="D14" i="8"/>
  <c r="D13" i="8"/>
  <c r="E14" i="13"/>
  <c r="E13" i="13"/>
  <c r="E9" i="13"/>
  <c r="E8" i="13"/>
</calcChain>
</file>

<file path=xl/sharedStrings.xml><?xml version="1.0" encoding="utf-8"?>
<sst xmlns="http://schemas.openxmlformats.org/spreadsheetml/2006/main" count="5067" uniqueCount="365">
  <si>
    <t>Наименование</t>
  </si>
  <si>
    <t>Ед. изм.</t>
  </si>
  <si>
    <t>Кол-во</t>
  </si>
  <si>
    <t>Ведомость объемов работ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</si>
  <si>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</si>
  <si>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</si>
  <si>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</si>
  <si>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</si>
  <si>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</si>
  <si>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</si>
  <si>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</si>
  <si>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</si>
  <si>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Приложение № 2</t>
  </si>
  <si>
    <t>к Договору подряда №</t>
  </si>
  <si>
    <t>к Дополнительному соглашению №</t>
  </si>
  <si>
    <t>высота</t>
  </si>
  <si>
    <t>на устройство наружных сетей водопровода, бытовой канализации и водостока в районе корпуса К-5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</t>
  </si>
  <si>
    <t>Устройство участка трубопровода от ввода В1-1.5 до колодца ВК3</t>
  </si>
  <si>
    <t>Разработка грунта траншеи механизированным способом</t>
  </si>
  <si>
    <t>Доработка грунта вручную</t>
  </si>
  <si>
    <t>Устройство бетонной подготовки толщиной 70мм, бетон В7,5</t>
  </si>
  <si>
    <t>расстояние</t>
  </si>
  <si>
    <t>уклон</t>
  </si>
  <si>
    <t>длина</t>
  </si>
  <si>
    <t>Устройство гравийно-щебёночной подготовки толщиной 150мм, шириной 450мм (втрамбовать в грунт)</t>
  </si>
  <si>
    <t>м2</t>
  </si>
  <si>
    <t>м3</t>
  </si>
  <si>
    <t>м</t>
  </si>
  <si>
    <t>Устройство монолитного ж.б. основания</t>
  </si>
  <si>
    <t>Бетон В15</t>
  </si>
  <si>
    <t>Арматурная сетка С1</t>
  </si>
  <si>
    <t>кг</t>
  </si>
  <si>
    <t>шт.</t>
  </si>
  <si>
    <t>Разработка грунта механизированным способом</t>
  </si>
  <si>
    <t>Монтаж колодца ВГ-20 согласно требований альбома 2201-88 МОСИНЖПРОЕКТ</t>
  </si>
  <si>
    <t>колодец водогазопроводный ВГ-20</t>
  </si>
  <si>
    <t>Гильза стальная ∅300 L=250мм</t>
  </si>
  <si>
    <t>Устройство трубопровода ∅150мм</t>
  </si>
  <si>
    <t>Труба напорна из полиэтилена ПЭ100 марки SDR13,6-160х11,8 ГОСТ 18599-2001 Труба питьевая "Полипластик"</t>
  </si>
  <si>
    <r>
      <t>Обратная засыпка траншеи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</si>
  <si>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закладных гильз в стенках колодца с заделкой</t>
  </si>
  <si>
    <t>бетонный упор СК 2110-88</t>
  </si>
  <si>
    <t>Задвижка чугунная с обрезиненым клином фланцевая ∅150 -1.6-150 "Hawle"</t>
  </si>
  <si>
    <t>тройник стальной фланцевый ТФ 200х150 Б ГОСТ 5525-88 с устройством опорного бетонного столбика</t>
  </si>
  <si>
    <t>Втулка под фланец ПЭ 100 SDR 13,6 ∅160х9,5 ТУ 6-19-213.83 "Икапласт"</t>
  </si>
  <si>
    <t>Втулка под фланец ПЭ 100 SDR 13,6 ∅225х13,4 ТУ 6-19-213.83 "Икапласт"</t>
  </si>
  <si>
    <t>Фланец стальной плоский свободный (1,0 МПа) ∅200 "Икапласт"</t>
  </si>
  <si>
    <t>Фланец стальной плоский свободный (1,0 МПа) ∅150 "Икапласт"</t>
  </si>
  <si>
    <r>
      <t>Обратная засыпка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</si>
  <si>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участка трубопровода от ввода В2-1.5 в К-5 до колодца ВК1п</t>
  </si>
  <si>
    <t>Устройство трубопровода ∅150мм (две параллельно)</t>
  </si>
  <si>
    <t>Устройство колодца ВК1п</t>
  </si>
  <si>
    <t>Устройство колодца ВКН-41А из сборных ж.б. элементов на ЦПР М100 (альбом 2; ПП 16-21; АОА МосПроект)</t>
  </si>
  <si>
    <t>Монтаж оборудования в колодце</t>
  </si>
  <si>
    <t>тройник стальной фланцевый ТФ 200х200 Б ГОСТ 5525-88 с устройством опорного бетонного столбика</t>
  </si>
  <si>
    <t>Задвижка чугунная с обрезиненым клином фланцевая ∅200 -1.6-200 "Hawle"</t>
  </si>
  <si>
    <t>Устройство опорных бетонных столбиков
250х150х250мм</t>
  </si>
  <si>
    <t>переход 200х150 ПЭ100</t>
  </si>
  <si>
    <t>Устройство участка трубопровода от выпуска К1.1-4.5 Ø100 мм (отм вып. 59.15 (-0,85)), выпуска  К3-2.5 Ø100 мм (отм. вып. 59.10 (-0,90)), выпуска К3-1.5 Ø100 мм (отм. 59.10 (-0,90)) выпуска К1.1-3.5 Ø100 (отм. 59.10 (-0,90)) до колодца К1 существоющего</t>
  </si>
  <si>
    <t>Устройство гравийно-щебёночной подготовки толщиной 150мм, шириной 450мм, 480мм, 650 мм  (втрамбовать в грунт)</t>
  </si>
  <si>
    <r>
      <t xml:space="preserve">Труба ВЧШГ </t>
    </r>
    <r>
      <rPr>
        <i/>
        <sz val="12"/>
        <color rgb="FF000000"/>
        <rFont val="Calibri"/>
        <family val="2"/>
        <charset val="204"/>
      </rPr>
      <t>Ø</t>
    </r>
    <r>
      <rPr>
        <i/>
        <sz val="12"/>
        <color rgb="FF000000"/>
        <rFont val="Times New Roman"/>
        <family val="1"/>
        <charset val="204"/>
      </rPr>
      <t>100 мм</t>
    </r>
  </si>
  <si>
    <t>Устройство трубопровода ∅100мм (две паралельно)</t>
  </si>
  <si>
    <t>Устройство трубопровода ∅200мм</t>
  </si>
  <si>
    <t>Труба DN200 Корсис ПРО SN16 ТУ 22.21.21-001-73011750-2018 Корсис "Полипластик"</t>
  </si>
  <si>
    <t>Устройство трубопровода ∅400мм</t>
  </si>
  <si>
    <t>Труба DN400 Корсис ПРО SN16 ТУ 22.21.21-001-73011750-2018 Корсис "Полипластик"</t>
  </si>
  <si>
    <t>Устройство колодца К1.16.1</t>
  </si>
  <si>
    <t>Уплотнение грунта основания</t>
  </si>
  <si>
    <t>Устройство бетонной подготовки толщиной 100 мм, бетон В7,5</t>
  </si>
  <si>
    <t>Монтаж плиты днища КЦД-20 на цементно-песчаный раствор М100 толщиной 20 мм</t>
  </si>
  <si>
    <t>Устройство гидроизоляции днища колодца - шткукатурной асфальтовой из горячего асфальтового раствора толщиной 10 мм по огрунтовке разжиженным битумом</t>
  </si>
  <si>
    <t>Плита днища  КЦД-20</t>
  </si>
  <si>
    <t>Цементн-опесчаный раствор М100</t>
  </si>
  <si>
    <t>проверить</t>
  </si>
  <si>
    <t>Устройство лотковой части колодца из монолитного железобетона М200 с затиркой и железнением повержности лотка</t>
  </si>
  <si>
    <t>Бетон М200</t>
  </si>
  <si>
    <t>Кольцо стеновое КЦ-20-9</t>
  </si>
  <si>
    <t>Кольцо стеновое КЦ-20-6</t>
  </si>
  <si>
    <t>Монтаж колец стеновых КЦ на цементно-песчаный раствор М100 толщиной 10 мм</t>
  </si>
  <si>
    <t>Плита перекрытия КЦП-1-20-1</t>
  </si>
  <si>
    <t>Кольцо стеновое КЦ-7-3</t>
  </si>
  <si>
    <t>Кольцо стеновое КЦ-7-1,5</t>
  </si>
  <si>
    <t>по серии 1,5 нет</t>
  </si>
  <si>
    <t>по серии 1 нет</t>
  </si>
  <si>
    <t>Кольцо опорное КЦО-1</t>
  </si>
  <si>
    <t>Монтаж плиты перекрытия КЦП на цементно-песчаный раствор М100 толщиной 10 мм</t>
  </si>
  <si>
    <t>Монтаж кольца опорного КЦО на цементно-песчанный раствор М100 толщиной 10 мм</t>
  </si>
  <si>
    <t>Монтаж люка тип Л</t>
  </si>
  <si>
    <t>Люк типа Л</t>
  </si>
  <si>
    <t>определить технология и расход</t>
  </si>
  <si>
    <t>Устройство вертикальной  и горизонтальной обмазочной гидроизоляции стен и плиты перекрытия колодца в два слоя "Пенетрон" с применением в узлах Пенекрит, "Ватерплаг", Пенеплаг, ленты "Пенебанд С" согласно типовым узлам ф-мы Технониколь</t>
  </si>
  <si>
    <t>Монтаж стремянки 902-09-22.84 -КЖИ.С1-10 L=3600 мм</t>
  </si>
  <si>
    <t xml:space="preserve">Стремянка 902-09-22.84 -КЖИ.С1-10 L=3600 мм </t>
  </si>
  <si>
    <t>Монтаж ходовых скоб МН-1</t>
  </si>
  <si>
    <t>Стальная скоба из арматуры А240 Ø16 мм</t>
  </si>
  <si>
    <t>Заделка труб в местах прохода через стенки колодца</t>
  </si>
  <si>
    <r>
      <t>Обратная засыпка пазух котлована местным грунтом с повышенной степенью уплотнения К</t>
    </r>
    <r>
      <rPr>
        <vertAlign val="subscript"/>
        <sz val="12"/>
        <color rgb="FF000000"/>
        <rFont val="Times New Roman"/>
        <family val="1"/>
        <charset val="204"/>
      </rPr>
      <t>сот</t>
    </r>
    <r>
      <rPr>
        <sz val="12"/>
        <color rgb="FF000000"/>
        <rFont val="Times New Roman"/>
        <family val="1"/>
        <charset val="204"/>
      </rPr>
      <t>&gt;=0,93</t>
    </r>
  </si>
  <si>
    <t>Устройство колодца К1.16</t>
  </si>
  <si>
    <t>Кольцо стеновое КЦ-7-1</t>
  </si>
  <si>
    <t>Монтаж стремянки 902-09-22.84 -КЖИ.С1-12 L=4200 мм</t>
  </si>
  <si>
    <t>Устройство колодца К1.17</t>
  </si>
  <si>
    <t>Цементно-песчаный раствор М100</t>
  </si>
  <si>
    <t>Монтаж стремянки 902-09-22.84 -КЖИ.С1-07 L=2700 мм</t>
  </si>
  <si>
    <t xml:space="preserve">Стремянка 902-09-22.84 -КЖИ.С1-12 L=4200 мм </t>
  </si>
  <si>
    <t xml:space="preserve">Стремянка 902-09-22.84 -КЖИ.С1-07 L=2700 мм </t>
  </si>
  <si>
    <t>Устройство колодца К1.18</t>
  </si>
  <si>
    <t>Устройство колодца К1.18.1</t>
  </si>
  <si>
    <t>Монтаж плиты днища КЦД-15 на цементно-песчаный раствор М100 толщиной 20 мм</t>
  </si>
  <si>
    <t>Плита днища  КЦД-15</t>
  </si>
  <si>
    <t>Кольцо стеновое КЦ-15-9</t>
  </si>
  <si>
    <t>Кольцо стеновое КЦ-15-6</t>
  </si>
  <si>
    <t>Плита перекрытия КЦП-1-15-2</t>
  </si>
  <si>
    <t>компл.</t>
  </si>
  <si>
    <t>Монтаж стремянки 902-09-22.84 -КЖИ.С1-02 L=1200 мм</t>
  </si>
  <si>
    <t xml:space="preserve">Стремянка 902-09-22.84 -КЖИ.С1-02 L=1200 мм </t>
  </si>
  <si>
    <t>Устройство участка сетей водоснабжения В1 (наружные)</t>
  </si>
  <si>
    <t>Устройство участка сетей водоснабжения В2 (наружные)</t>
  </si>
  <si>
    <t>Устройство участка сетей водоотведения (канализация) К1 (наружные)</t>
  </si>
  <si>
    <t>Устройство участка сетей водоотведения (водосток) К2 (наружные)</t>
  </si>
  <si>
    <t>Устройство участка трубопровода от Д26, Д33 и К2.50 до К2 сущ.</t>
  </si>
  <si>
    <t>Устройство гравийно-щебёночной подготовки толщиной 150мм, шириной 650 мм, 1050 мм  (втрамбовать в грунт)</t>
  </si>
  <si>
    <t>Труба DN400 Корсис ПРО SN16 ТУ 22.21.21-001-73011750-2018 Корсис "Полипластик</t>
  </si>
  <si>
    <t>Труба DN800 Корсис ПРО SN16 ТУ 22.21.21-001-73011750-2018 Корсис "Полипластик"</t>
  </si>
  <si>
    <t>Устройство трубопровода ∅800мм</t>
  </si>
  <si>
    <t>Устройство колодца Д26</t>
  </si>
  <si>
    <t>нет в проекте</t>
  </si>
  <si>
    <t>Монтаж плиты днища КЦД-7 на цементно-песчаный раствор М100 толщиной 20 мм</t>
  </si>
  <si>
    <t>Плита днища  КЦД-7</t>
  </si>
  <si>
    <t>Кольцо стеновое КЦ-7-9</t>
  </si>
  <si>
    <t>Кольцо стеновое КЦ-7-9б</t>
  </si>
  <si>
    <t>Плита перекрытия КЦП-2-7</t>
  </si>
  <si>
    <t>Набивка лотка бетоном В15</t>
  </si>
  <si>
    <t>Монтаж дождеприемника марки ДБ</t>
  </si>
  <si>
    <t>Дождеприемник ДБ</t>
  </si>
  <si>
    <t>Устройство колодца Д33</t>
  </si>
  <si>
    <t>не требуется</t>
  </si>
  <si>
    <t>Устройство колодца К2.50</t>
  </si>
  <si>
    <t>Плита перекрытия КЦП-1-20-2</t>
  </si>
  <si>
    <t>Монтаж стремянки 902-09-22.84 -КЖИ.С1-08 L=3000 мм</t>
  </si>
  <si>
    <t xml:space="preserve">Стремянка 902-09-22.84 -КЖИ.С1-08 L=3000 мм </t>
  </si>
  <si>
    <t>Устройство колодца К2.51</t>
  </si>
  <si>
    <t>Плита ОП1-К в комплекте с люком тип Т</t>
  </si>
  <si>
    <t>Монтаж плиты ОП1-К в комплекте с люком тип Т на цементно-песчанный раствор М100 толщиной 10 мм</t>
  </si>
  <si>
    <t>Монтаж стремянки 902-09-22.84 -КЖИ.С1-03 L=1500 мм</t>
  </si>
  <si>
    <t xml:space="preserve">Стремянка 902-09-22.84 -КЖИ.С1-03 L=1500 мм </t>
  </si>
  <si>
    <t>Устройство колодца К2.52</t>
  </si>
  <si>
    <r>
      <t xml:space="preserve">Устройство колодца </t>
    </r>
    <r>
      <rPr>
        <b/>
        <sz val="12"/>
        <color rgb="FFFF0000"/>
        <rFont val="Times New Roman"/>
        <family val="1"/>
        <charset val="204"/>
      </rPr>
      <t>ВК3</t>
    </r>
  </si>
  <si>
    <t>увычисть объмы колодцев</t>
  </si>
  <si>
    <t xml:space="preserve"> </t>
  </si>
  <si>
    <t>вычисть объмы колодцев</t>
  </si>
  <si>
    <t>вычисть объёмы колодцев</t>
  </si>
  <si>
    <t>Огрунтовка днища колодца праймером ТЕХНОНИКОЛЬ №01</t>
  </si>
  <si>
    <t>Устройство обмазочной гидроизоляции днища колодца битумно полимерной мастикой Технониколь №21 в 2 слоя</t>
  </si>
  <si>
    <t>Устройство отверстий с последующей заделкой в местах прохода труб через стенки колодца</t>
  </si>
  <si>
    <t>Плита перекрытия КЦП-1-15-1</t>
  </si>
  <si>
    <t>нет в таблице колодцев посчитал по К2.37</t>
  </si>
  <si>
    <t>Огрунтовка стен и плиты перекрытия колодца праймером ТЕХНОНИКОЛЬ №01</t>
  </si>
  <si>
    <t>Устройство обмазочной гидроизоляции стен и плиты перекрытия колодца битумно полимерной мастикой Технониколь №21 в 2 слоя</t>
  </si>
  <si>
    <t>код
материала</t>
  </si>
  <si>
    <t>Бетон В7,5</t>
  </si>
  <si>
    <t>№п/п</t>
  </si>
  <si>
    <t>Наименование материала</t>
  </si>
  <si>
    <t>ед. изм.</t>
  </si>
  <si>
    <t>кол-во</t>
  </si>
  <si>
    <t>код</t>
  </si>
  <si>
    <t>Ведомость материалов на устройство участков НВК возле К-5 (К1, К2)</t>
  </si>
  <si>
    <t>Труба ВЧШГ Ø100 мм</t>
  </si>
  <si>
    <t>Праймер Технониколь №01</t>
  </si>
  <si>
    <t>л</t>
  </si>
  <si>
    <t>л/м2</t>
  </si>
  <si>
    <t>Мастика Технониколь №21</t>
  </si>
  <si>
    <t>кг/м2</t>
  </si>
  <si>
    <t>Бетон М200 (В15)</t>
  </si>
  <si>
    <t>Тройник DN400 угол 90° Корсис ПРО SN16 ТУ 22.21.21-001-73011750-2018 Корсис "Полипластик"</t>
  </si>
  <si>
    <t>Отвод DN400 угол 90° Корсис ПРО SN16 ТУ 22.21.21-001-73011750-2018 Корсис "Полипластик"</t>
  </si>
  <si>
    <t xml:space="preserve">Тройник ВЧШГ DN100 угол 90° </t>
  </si>
  <si>
    <t xml:space="preserve">Отвод ВЧШГ DN100 угол 90° </t>
  </si>
  <si>
    <t>Ø6 АI</t>
  </si>
  <si>
    <t>Ø12 АI</t>
  </si>
  <si>
    <t>Устройство лотковой части колодца из монолитного бетона М200 с затиркой и железнением повержности лотка</t>
  </si>
  <si>
    <t>Устройство участка сетей водоотведения (хоз.-быт. канализация) К1 (наружные)</t>
  </si>
  <si>
    <t>Устройство участка трубопровода от выпуска К1-1П Ø150 мм (отм вып. 69.6 (+6,9)), выпуска  К3-1П Ø100 мм (отм. вып.  69.6 (+6,9)), выпуска К1-2П Ø200 ( отм. вып. 69.6 (+6,9)) до колодца К1.1</t>
  </si>
  <si>
    <t>Устройство насыпи под основание трубопровода с послойным уплотнением</t>
  </si>
  <si>
    <t>Устройство гравийно-щебёночной подготовки толщиной 150мм, шириной 450мм, 450мм, 480 мм  (втрамбовать в грунт)</t>
  </si>
  <si>
    <t>Уплотнене грунта основания трубопровода</t>
  </si>
  <si>
    <t>Устройство трубопровода (три паралельно)</t>
  </si>
  <si>
    <t>Устройство колодца К1.1</t>
  </si>
  <si>
    <t>Монтаж плиты ОП1-К в комплекте с люком тип Т на цементно-песчаный раствор М100 толщиной 10 мм</t>
  </si>
  <si>
    <t>Устройство перепада в колодце</t>
  </si>
  <si>
    <t>Устройство трубопровода</t>
  </si>
  <si>
    <t>Устройство колодца К1.2</t>
  </si>
  <si>
    <t>Устройство колодца К1.3</t>
  </si>
  <si>
    <t>Устройство колодца К1.4</t>
  </si>
  <si>
    <t>Устройство участка трубопровода Ø200 мм  от колодца К1.1 до колодца К1.2</t>
  </si>
  <si>
    <t>Устройство гравийно-щебёночной подготовки толщиной 150мм, шириной 480 мм  (втрамбовать в грунт)</t>
  </si>
  <si>
    <t>Труба Корсис   DN/DO200  Корсис ПРО SN16 ТУ 22.21.21-001-73011750-2018</t>
  </si>
  <si>
    <t>Устройство участка трубопровода Ø200 мм  от колодца К1.3 до колодца К1.4</t>
  </si>
  <si>
    <t>Устройство участка трубопровода Ø200 мм  от колодца К1.2 до колодца К1.3</t>
  </si>
  <si>
    <t>Устройство участка трубопровода Ø200 мм  от колодца К1.4 до колодца К1.5</t>
  </si>
  <si>
    <t>Устройство колодца К1.5</t>
  </si>
  <si>
    <t>Устройство участка трубопровода Ø200 мм  от колодца К1.5 до колодца К1.6</t>
  </si>
  <si>
    <t>Устройство колодца К1.6</t>
  </si>
  <si>
    <t>Устройство участка трубопровода Ø200 мм  от колодца К1.6 до колодца К1.7</t>
  </si>
  <si>
    <t>Устройство колодца К1.7</t>
  </si>
  <si>
    <t>Устройство участка трубопровода Ø200 мм  от колодца К1.7 до колодца К1.8</t>
  </si>
  <si>
    <t>Устройство колодца К1.8</t>
  </si>
  <si>
    <t>Устройство участка трубопровода Ø200 мм  от колодца К1.8 до колодца К1.9</t>
  </si>
  <si>
    <t>Устройство колодца К1.9</t>
  </si>
  <si>
    <t>Устройство участка трубопровода Ø200 мм  от колодца К1.9 до колодца К1.10</t>
  </si>
  <si>
    <t>Устройство колодца К1.10</t>
  </si>
  <si>
    <t>Устройство участка трубопровода Ø200 мм  от колодца К1.10 до колодца К1.11</t>
  </si>
  <si>
    <t>11,8</t>
  </si>
  <si>
    <t>Устройство колодца К1.11</t>
  </si>
  <si>
    <t>Устройство участка трубопровода Ø200 мм  от колодца К1.11 до колодца К1.12</t>
  </si>
  <si>
    <t>5,0</t>
  </si>
  <si>
    <t>Устройство колодца К1.12</t>
  </si>
  <si>
    <t>Устройство участка трубопровода Ø200 мм  от колодца К1.12 до колодца К1.13</t>
  </si>
  <si>
    <t>6,7</t>
  </si>
  <si>
    <t>Устройство колодца К1.13</t>
  </si>
  <si>
    <t>Устройство участка трубопровода Ø200 мм  от колодца К1.13 до колодца К1.14</t>
  </si>
  <si>
    <t>11,3</t>
  </si>
  <si>
    <t>Устройство колодца К1.14</t>
  </si>
  <si>
    <t>Устройство участка трубопровода Ø200 мм  от колодца К1.14 до колодца К1.15</t>
  </si>
  <si>
    <t>Устройство колодца К1.15</t>
  </si>
  <si>
    <t>Устройство участка трубопровода Ø200 мм  от колодца К1.15 до колодца К1.16</t>
  </si>
  <si>
    <t>Устройство участка трубопровода Ø200 мм  от колодца К1.16 до колодца К1.17</t>
  </si>
  <si>
    <t>14,2</t>
  </si>
  <si>
    <t>Устройство участка трубопровода Ø200 мм  от колодца К1.17 до колодца К1.18</t>
  </si>
  <si>
    <t>12,8</t>
  </si>
  <si>
    <t>Устройство участка трубопровода Ø200 мм  от колодца К1.18 до колодца К1 сущ.</t>
  </si>
  <si>
    <t>Устройство участка трубопровода от выпуска К1-1.4 Ø150 мм (отм вып. 63.2 (+0.2), выпуска  К1.1-1.4 Ø100 мм (отм. вып.  63.2 (+0.2)),  до колодца К1.5.1</t>
  </si>
  <si>
    <t>Устройство колодца К1.5.1</t>
  </si>
  <si>
    <t>Устройство гравийно-щебёночной подготовки толщиной 150мм, шириной 450мм и 450мм, (втрамбовать в грунт)</t>
  </si>
  <si>
    <t>Устройство трубопровода (два паралельно)</t>
  </si>
  <si>
    <t>Устройство участка трубопровода Ø200 мм  от колодца К1.5.1 до колодца К1.5</t>
  </si>
  <si>
    <t>Устройство участка трубопровода от выпуска К1-2.4 Ø100 мм (отм вып. 62.3 (-0.70), выпуска  К1.1-3.4 Ø100 мм (отм. вып.  62.3 (-0.7)),  до колодца К1.6.1</t>
  </si>
  <si>
    <t>Устройство колодца К1.6.1</t>
  </si>
  <si>
    <t>Устройство участка трубопровода Ø200 мм  от колодца К1.6.1 до колодца К1.6</t>
  </si>
  <si>
    <t>Устройство участка трубопровода от выпуска К1-4.4 Ø100 мм (отм вып. 62.3 (-0.70), выпуска  К1.1-5.4 Ø100 мм (отм. вып.  62.3 (-0.7)),  до колодца К1.7.1</t>
  </si>
  <si>
    <t>Устройство колодца К1.7.1</t>
  </si>
  <si>
    <t>Устройство участка трубопровода Ø200 мм  от колодца К1.7.1 до колодца К1.7</t>
  </si>
  <si>
    <t>Устройство участка трубопровода от выпуска К1-6.4 Ø100 мм (отм вып. 62.3 (-0.70), выпуска  К1.1-7.4 Ø100 мм (отм. вып.  62.3 (-0.7)),  до колодца К1.8.1</t>
  </si>
  <si>
    <t>Устройство участка трубопровода Ø200 мм  от колодца К1.8.1 до колодца К1.8</t>
  </si>
  <si>
    <t>Устройство колодца К1.8.1</t>
  </si>
  <si>
    <t>Устройство участка трубопровода от выпуска К1-8.4 Ø100 мм (отм вып. 62.3 (-0.70), выпуска  К1.1-9.4 Ø100 мм (отм. вып.  62.3 (-0.7)),  до колодца К1.9.1</t>
  </si>
  <si>
    <t>Устройство участка трубопровода Ø200 мм  от колодца К1.9.1 до колодца К1.9</t>
  </si>
  <si>
    <t>Устройство участка трубопровода от выпуска К1-1РЧВ Ø150 мм (отм вып. 63.95 (-1.35) до колодца К1.3</t>
  </si>
  <si>
    <t>Устройство участка трубопровода от выпуска К1-6.5 Ø100 мм (отм вып. 59,12 (-0.88), выпуска  К1.1-7.5 Ø100 мм (отм. вып.  59,12 (-0.77)),  до колодца К1.10.9</t>
  </si>
  <si>
    <t>Устройство участка трубопровода Ø200 мм  от колодца К1.10.9 до колодца К1.10.8</t>
  </si>
  <si>
    <t>Устройство колодца К1.10.9</t>
  </si>
  <si>
    <t>Устройство колодца К1.10.8</t>
  </si>
  <si>
    <t>Устройство участка трубопровода Ø200 мм  от колодца К1.10.8 до колодца К1.10.7</t>
  </si>
  <si>
    <t>Устройство колодца К1.10.7</t>
  </si>
  <si>
    <t>Устройство участка трубопровода Ø200 мм  от колодца К1.10.7 до колодца К1.10.6</t>
  </si>
  <si>
    <t>Устройство колодца К1.10.6</t>
  </si>
  <si>
    <t>Устройство колодца К1.10.4</t>
  </si>
  <si>
    <t>Устройство участка трубопровода Ø200 мм  от колодца К1.10.6 до колодца К1.10.4</t>
  </si>
  <si>
    <t>Устройство участка трубопровода Ø200 мм  от колодца К1.10.4 до колодца К1.10.3</t>
  </si>
  <si>
    <t>Устройство колодца К1.10.3</t>
  </si>
  <si>
    <t>Устройство участка трубопровода Ø200 мм  от колодца К1.10.3 до колодца К1.10.2</t>
  </si>
  <si>
    <t>Устройство колодца К1.10.2</t>
  </si>
  <si>
    <t>Устройство участка трубопровода Ø200 мм  от колодца К1.10.2 до колодца К1.10.1</t>
  </si>
  <si>
    <t>Устройство колодца К1.10.1</t>
  </si>
  <si>
    <t>Устройство участка трубопровода Ø200 мм  от колодца К1.10.1 до колодца К1.10</t>
  </si>
  <si>
    <t>Устройство участка трубопровода от выпуска К1.1-3.5 Ø100 мм (отм вып. 59,10 (-0.90), выпуска  К3-1.5 Ø100 мм (отм. вып.  59,10 (-0.90)),  до колодца К1.18.1</t>
  </si>
  <si>
    <t>Устройство участка трубопровода Ø200 мм  от колодца К1.18.1 до колодца К1.18</t>
  </si>
  <si>
    <t>Устройство участка трубопровода от выпуска К3-2.5 Ø100 мм (отм вып. 59,10 (-0.90), выпуска  К1.1-4.5 Ø100 мм (отм. вып.  59,15 (-0.85)),  до колодца К1.16.1</t>
  </si>
  <si>
    <t>Устройство участка трубопровода Ø200 мм  от колодца К1.16.1 до колодца К1.16</t>
  </si>
  <si>
    <t>Устройство участка трубопровода от выпуска К1-8.5 Ø100 мм (отм вып. 59,15 (-0.85), выпуска  К1-9.5 Ø100 мм (отм. вып.  59,15 (-0.85)),  до колодца К1.15.1</t>
  </si>
  <si>
    <t>Устройство колодца К1.15.1</t>
  </si>
  <si>
    <t>Устройство участка трубопровода Ø200 мм  от колодца К1.15.1 до колодца К1.15</t>
  </si>
  <si>
    <t>Устройство участка трубопровода от выпуска К1-10.5 Ø100 мм (отм вып. 59,15 (-0.85), выпуска  К1-11.5 Ø100 мм (отм. вып.  59,15 (-0.85)),  до колодца К1.10.1</t>
  </si>
  <si>
    <t>Устройство колодца К1.9.1</t>
  </si>
  <si>
    <t>Устройство колодца К1.12.1</t>
  </si>
  <si>
    <t>Устройство участка трубопровода Ø200 мм  от колодца К1.12.1 до колодца К1.12</t>
  </si>
  <si>
    <t>Устройство колодца К1.22</t>
  </si>
  <si>
    <t>Устройство участка трубопровода от выпуска К1-4.6 Ø100 мм (отм вып. 59,40 (-0,60), выпуска  К1-5.6 Ø100 мм (отм. вып. 59,40 (-0,60)),  до колодца К1.23</t>
  </si>
  <si>
    <t>Устройство участка трубопровода от выпуска К1-2.6 Ø100 мм (отм вып. 59,40 (-0,60), выпуска  К1-3.6 Ø100 мм (отм. вып. 59,40 (-0,60)),  до колодца К1.22</t>
  </si>
  <si>
    <t>Устройство колодца К1.23</t>
  </si>
  <si>
    <t>Устройство участка трубопровода от выпуска К1-4.5 Ø100 мм (отм вып. 59,12 (-0,88), выпуска  К1-5.5 Ø100 мм (отм. вып. 59,12 (-0,88)),  до колодца К1.10.8</t>
  </si>
  <si>
    <t>Устройство участка трубопровода от выпуска К1.1-2.5 Ø100 мм (отм. вып. 59,10 (-0,90)),  до колодца К1.10.6</t>
  </si>
  <si>
    <t>Устройство участка трубопровода от выпуска К1.1-1.5 Ø100 мм (отм. вып. 59,20 (-0,80) выпуска К1-3.5 Ø100 мм (отм. вып. 59,20 (-0,80) ,  до колодца К1.10.5</t>
  </si>
  <si>
    <t>Устройство колодца К1.10.5</t>
  </si>
  <si>
    <t>Устройство участка трубопровода Ø200 мм  от колодца К1.10.5 до колодца К1.10.4</t>
  </si>
  <si>
    <t>Устройство участка трубопровода от выпуска К1-2.5 Ø100 мм (отм. вып. 59,20 (-0,80),  до колодца К1.10.3</t>
  </si>
  <si>
    <t>Устройство участка трубопровода Ø200 мм  от колодца К1.23 до колодца К1.22</t>
  </si>
  <si>
    <t>Устройство участка трубопровода Ø200 мм  от колодца К1.22 до колодца К1.21</t>
  </si>
  <si>
    <t>Устройство колодца К1.21</t>
  </si>
  <si>
    <t>Устройство участка трубопровода Ø200 мм  от колодца К1.21 до колодца К1.20</t>
  </si>
  <si>
    <t>Устройство колодца К1.20</t>
  </si>
  <si>
    <t>Устройство участка трубопровода Ø200 мм  от колодца К1.20 до колодца К1.19</t>
  </si>
  <si>
    <t>Устройство колодца К1.19</t>
  </si>
  <si>
    <t>Устройство участка трубопровода Ø200 мм  от колодца К1.19 до колодца К1.14</t>
  </si>
  <si>
    <t>Кольцо стеновое К-7-1,5</t>
  </si>
  <si>
    <t>Кольцо стеновое К-7-3</t>
  </si>
  <si>
    <t>Монтаж стремянки 902-09-22.84 -КЖИ.С1-07 L=3600 мм</t>
  </si>
  <si>
    <t xml:space="preserve">Стремянка 902-09-22.84 -КЖИ.С1-07 L=3600 мм </t>
  </si>
  <si>
    <t>Устройство отверстий с последующей заделкой в местах прохода труб через стенки колодца ∅100, 150, 200мм</t>
  </si>
  <si>
    <t>Устройство перепада высотой 3140мм в колодце</t>
  </si>
  <si>
    <t>Труба DN100 Корсис ПРО SN16 ТУ 22.21.21-001-73011750-2018 Корсис "Полипластик"</t>
  </si>
  <si>
    <t>Труба DN150 Корсис ПРО SN16 ТУ 22.21.21-001-73011750-2018 Корсис "Полипластик"</t>
  </si>
  <si>
    <t xml:space="preserve">Люк тип "Л" </t>
  </si>
  <si>
    <t>Монтаж стремянки 902-09-22.84 -КЖИ.С1-07 L=1200 мм</t>
  </si>
  <si>
    <t xml:space="preserve">Стремянка 902-09-22.84 -КЖИ.С1-07 L=1200 мм </t>
  </si>
  <si>
    <t>Устройство отверстий с последующей заделкой в местах прохода труб через стенки колодца ∅200мм</t>
  </si>
  <si>
    <t>Устройство перепада 860мм в колодце</t>
  </si>
  <si>
    <t>Кольцо стеновое К-7-1</t>
  </si>
  <si>
    <t>Монтаж стремянки 902-09-22.84 -КЖИ.С1-07 L=2100 мм</t>
  </si>
  <si>
    <t xml:space="preserve">Стремянка 902-09-22.84 -КЖИ.С1-07 L=2100 мм </t>
  </si>
  <si>
    <t>Тройник DN200 угол 90° Корсис ПРО SN16 ТУ 22.21.21-001-73011750-2018 Корсис "Полипластик"</t>
  </si>
  <si>
    <t>Отвод DN200 угол 90° Корсис ПРО SN16 ТУ 22.21.21-001-73011750-2018 Корсис "Полипластик"</t>
  </si>
  <si>
    <t>Устройство перепада высотой 1820мм в колодце</t>
  </si>
  <si>
    <t>Монтаж стремянки 902-09-22.84 -КЖИ.С1-07 L=1800 мм</t>
  </si>
  <si>
    <t xml:space="preserve">Стремянка 902-09-22.84 -КЖИ.С1-07 L=1800 мм </t>
  </si>
  <si>
    <t>Монтаж стремянки 902-09-22.84 -КЖИ.С1-07 L=1500 мм</t>
  </si>
  <si>
    <t xml:space="preserve">Стремянка 902-09-22.84 -КЖИ.С1-07 L=1500 мм </t>
  </si>
  <si>
    <t>Монтаж кольца опорного КЦО-1 на цементно-песчаный раствор М100 толщиной 10 мм</t>
  </si>
  <si>
    <t>Монтаж стремянки 902-09-22.84 -КЖИ.С1-07 L=4500 мм</t>
  </si>
  <si>
    <t xml:space="preserve">Стремянка 902-09-22.84 -КЖИ.С1-07 L=4500 мм </t>
  </si>
  <si>
    <t>Устройство перепада в колодце, высотой 4,8м</t>
  </si>
  <si>
    <t>Плита днища  КЦД-20-9</t>
  </si>
  <si>
    <t>Устройство перепада в колодце, высотой 0,38м</t>
  </si>
  <si>
    <t>Устройство перепада в колодце, высотой 2960мм</t>
  </si>
  <si>
    <t>Устройство насыпи под основание колодца с уплотнением</t>
  </si>
  <si>
    <t>Монтаж стремянки 902-09-22.84 -КЖИ.С1-07 L=2400 мм</t>
  </si>
  <si>
    <t xml:space="preserve">Стремянка 902-09-22.84 -КЖИ.С1-07 L=2400 мм </t>
  </si>
  <si>
    <t>Устройство перепада в колодце, высотой 380мм</t>
  </si>
  <si>
    <t>Устройство перепада высотой 320мм в колодце</t>
  </si>
  <si>
    <t>Устройство перепада в колодце, высотой 520мм</t>
  </si>
  <si>
    <t>Устройство перепада в колодце, высотой 430мм</t>
  </si>
  <si>
    <t>Устройство перепада в колодце, высотой 480мм</t>
  </si>
  <si>
    <t>Устройство перепада в колодце, высотой 320мм</t>
  </si>
  <si>
    <t>Монтаж плиты ОП1-К в комплекте с люком тип "Т" на цементно-песчаный раствор М100 толщиной 10 мм</t>
  </si>
  <si>
    <t>ОП1-К в комплекте с люком тип "Т"</t>
  </si>
  <si>
    <t>Устройство перепада в колодце, высотой 360мм</t>
  </si>
  <si>
    <t>Монтаж стремянки 902-09-22.84 -КЖИ.С1-07 L=4200 мм</t>
  </si>
  <si>
    <t xml:space="preserve">Стремянка 902-09-22.84 -КЖИ.С1-07 L=4200 мм </t>
  </si>
  <si>
    <t>Устройство перепада 570мм в колодце</t>
  </si>
  <si>
    <t>Устройство перепада 4330мм в колодце</t>
  </si>
  <si>
    <t>Устройство перепада в колодце, высотой 1380мм</t>
  </si>
  <si>
    <t>Устройство перепада в колодце, высотой 410мм</t>
  </si>
  <si>
    <t>Устройство участка трубопровода от выпуска К1-1.6 Ø150 мм (отм вып. 64,20 (+1,20), выпуска  К1.1-1.6 Ø100 мм (отм. вып.  64,20 (+1,20)),  до колодца К1.12.1</t>
  </si>
  <si>
    <t>Устройство перепада в колодце, высотой 790мм</t>
  </si>
  <si>
    <t>Устройство перепада в колодце, высотой 250мм</t>
  </si>
  <si>
    <t>Устройство перепада в колодце, высотой 220мм</t>
  </si>
  <si>
    <t>Устройство перепада в колодце, высотой 570мм</t>
  </si>
  <si>
    <t>Устройство участка трубопровода Ø150 мм  от выпуска К1-1.5 до колодца К1.10.2</t>
  </si>
  <si>
    <t>Устройство перепада в колодце, высотой 530мм</t>
  </si>
  <si>
    <t>Разработка грунта механизированным способом с перемещением в отвал</t>
  </si>
  <si>
    <t>Устройство врезки трубопровода в существующий колодец</t>
  </si>
  <si>
    <t>в том числе НДС</t>
  </si>
  <si>
    <t>Монтаж опорного кольца КЦО-1 на цементно-песчаный раствор М100 толщиной 10 мм</t>
  </si>
  <si>
    <r>
      <t xml:space="preserve">Труба ВЧШГ </t>
    </r>
    <r>
      <rPr>
        <i/>
        <sz val="12"/>
        <rFont val="Calibri"/>
        <family val="2"/>
        <charset val="204"/>
      </rPr>
      <t>Ø</t>
    </r>
    <r>
      <rPr>
        <i/>
        <sz val="12"/>
        <rFont val="Times New Roman"/>
        <family val="1"/>
        <charset val="204"/>
      </rPr>
      <t>150 мм</t>
    </r>
  </si>
  <si>
    <r>
      <t xml:space="preserve">Труба ВЧШГ </t>
    </r>
    <r>
      <rPr>
        <i/>
        <sz val="12"/>
        <rFont val="Calibri"/>
        <family val="2"/>
        <charset val="204"/>
      </rPr>
      <t>Ø</t>
    </r>
    <r>
      <rPr>
        <i/>
        <sz val="12"/>
        <rFont val="Times New Roman"/>
        <family val="1"/>
        <charset val="204"/>
      </rPr>
      <t>100 мм</t>
    </r>
  </si>
  <si>
    <r>
      <t xml:space="preserve">Труба ВЧШГ </t>
    </r>
    <r>
      <rPr>
        <i/>
        <sz val="12"/>
        <rFont val="Calibri"/>
        <family val="2"/>
        <charset val="204"/>
      </rPr>
      <t>Ø2</t>
    </r>
    <r>
      <rPr>
        <i/>
        <sz val="12"/>
        <rFont val="Times New Roman"/>
        <family val="1"/>
        <charset val="204"/>
      </rPr>
      <t>00 мм</t>
    </r>
  </si>
  <si>
    <r>
      <t>Обратная засыпка траншеи местным грунтом  из отвала с повышенной степенью уплотнения К</t>
    </r>
    <r>
      <rPr>
        <vertAlign val="subscript"/>
        <sz val="12"/>
        <rFont val="Times New Roman"/>
        <family val="1"/>
        <charset val="204"/>
      </rPr>
      <t>сот</t>
    </r>
    <r>
      <rPr>
        <sz val="12"/>
        <rFont val="Times New Roman"/>
        <family val="1"/>
        <charset val="204"/>
      </rPr>
      <t>&gt;=0,93</t>
    </r>
  </si>
  <si>
    <r>
      <t>Тройник DN100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</si>
  <si>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Отвод DN100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</si>
  <si>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Тройник DN150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</si>
  <si>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Отвод DN150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</si>
  <si>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Тройник DN200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</si>
  <si>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Отвод DN200 угол 90</t>
    </r>
    <r>
      <rPr>
        <sz val="12"/>
        <rFont val="Calibri"/>
        <family val="2"/>
        <charset val="204"/>
      </rPr>
      <t>°</t>
    </r>
    <r>
      <rPr>
        <i/>
        <sz val="12"/>
        <rFont val="Times New Roman"/>
        <family val="1"/>
        <charset val="204"/>
      </rPr>
      <t xml:space="preserve"> Корсис ПРО SN16 ТУ 22.21.21-001-73011750-2018 Корсис "Полипластик"</t>
    </r>
  </si>
  <si>
    <r>
      <t>Обратная засыпка пазух котлована местным грунтом из отвала с повышенной степенью уплотнения К</t>
    </r>
    <r>
      <rPr>
        <vertAlign val="subscript"/>
        <sz val="12"/>
        <rFont val="Times New Roman"/>
        <family val="1"/>
        <charset val="204"/>
      </rPr>
      <t>сот</t>
    </r>
    <r>
      <rPr>
        <sz val="12"/>
        <rFont val="Times New Roman"/>
        <family val="1"/>
        <charset val="204"/>
      </rPr>
      <t>&gt;=0,93</t>
    </r>
  </si>
  <si>
    <t>1</t>
  </si>
  <si>
    <r>
      <t xml:space="preserve">на устройство наружных сетей водоснабжения и водоотведения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 очередь строительства, включающая в себя: Комплекс апартаментов гостиничного типа (корпусы 4,6) с помещениями общественного и технического назначения и подземной автостоянкой. Комплекс апартаментов гостиничного типа (корпус 5) с помещениями общественного и технического назначения. </t>
    </r>
    <r>
      <rPr>
        <b/>
        <sz val="12"/>
        <rFont val="Times New Roman"/>
        <family val="1"/>
        <charset val="204"/>
      </rPr>
      <t>Хозяйственно-бытовая канализация.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</si>
</sst>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Calibri"/>
      <family val="2"/>
      <charset val="204"/>
    </font>
    <font>
      <vertAlign val="subscript"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right"/>
    </xf>
    <xf numFmtId="0" fontId="1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9277-EC2D-4C10-A430-8E2AFA61921B}">
  <sheetPr>
    <pageSetUpPr fitToPage="1"/>
  </sheetPr>
  <dimension ref="A1:P2532"/>
  <sheetViews>
    <sheetView tabSelected="1" view="pageBreakPreview" topLeftCell="A2027" zoomScaleNormal="100" zoomScaleSheetLayoutView="100" workbookViewId="0">
      <selection activeCell="L16" sqref="L16"/>
    </sheetView>
  </sheetViews>
  <sheetFormatPr defaultColWidth="8.90625" defaultRowHeight="15.5" x14ac:dyDescent="0.35"/>
  <cols>
    <col min="1" max="1" width="13.08984375" style="71" customWidth="1"/>
    <col min="2" max="2" width="7.54296875" style="107" customWidth="1"/>
    <col min="3" max="3" width="64.6328125" style="70" customWidth="1"/>
    <col min="4" max="4" width="9.36328125" style="71" customWidth="1"/>
    <col min="5" max="5" width="12" style="72" customWidth="1"/>
    <col min="6" max="6" width="13.54296875" style="66" bestFit="1" customWidth="1"/>
    <col min="7" max="8" width="12" style="66" customWidth="1"/>
    <col min="9" max="9" width="14.36328125" style="73" customWidth="1"/>
    <col min="10" max="10" width="13.90625" style="66" customWidth="1"/>
    <col min="11" max="11" width="19" style="66" customWidth="1"/>
    <col min="12" max="12" width="37" style="71" customWidth="1"/>
    <col min="13" max="13" width="13.36328125" style="71" hidden="1" customWidth="1"/>
    <col min="14" max="14" width="12.453125" style="71" hidden="1" customWidth="1"/>
    <col min="15" max="15" width="122.36328125" style="71" hidden="1" customWidth="1"/>
    <col min="16" max="16" width="11.90625" style="71" customWidth="1"/>
    <col min="17" max="16384" width="8.90625" style="71"/>
  </cols>
  <sheetData>
    <row r="1" spans="2:16" x14ac:dyDescent="0.35">
      <c r="L1" s="119" t="s">
        <v>12</v>
      </c>
      <c r="M1" s="74"/>
      <c r="N1" s="74"/>
      <c r="O1" s="74"/>
    </row>
    <row r="2" spans="2:16" x14ac:dyDescent="0.35">
      <c r="K2" s="124" t="s">
        <v>14</v>
      </c>
      <c r="L2" s="125"/>
      <c r="O2" s="119"/>
    </row>
    <row r="3" spans="2:16" x14ac:dyDescent="0.35">
      <c r="K3" s="124" t="s">
        <v>13</v>
      </c>
      <c r="L3" s="125"/>
      <c r="O3" s="119"/>
    </row>
    <row r="4" spans="2:16" x14ac:dyDescent="0.35">
      <c r="O4" s="120"/>
    </row>
    <row r="5" spans="2:16" x14ac:dyDescent="0.35">
      <c r="B5" s="126"/>
      <c r="C5" s="126"/>
      <c r="D5" s="126"/>
      <c r="E5" s="126"/>
      <c r="F5" s="127"/>
      <c r="G5" s="127"/>
      <c r="H5" s="127"/>
      <c r="I5" s="127"/>
      <c r="J5" s="127"/>
      <c r="K5" s="127"/>
      <c r="L5" s="126"/>
      <c r="M5" s="74"/>
      <c r="N5" s="74"/>
      <c r="O5" s="74"/>
    </row>
    <row r="6" spans="2:16" ht="73.25" customHeight="1" x14ac:dyDescent="0.35">
      <c r="B6" s="128" t="s">
        <v>364</v>
      </c>
      <c r="C6" s="128"/>
      <c r="D6" s="128"/>
      <c r="E6" s="128"/>
      <c r="F6" s="128"/>
      <c r="G6" s="128"/>
      <c r="H6" s="128"/>
      <c r="I6" s="128"/>
      <c r="J6" s="128"/>
      <c r="K6" s="128"/>
      <c r="L6" s="75"/>
      <c r="M6" s="75"/>
      <c r="N6" s="75"/>
      <c r="O6" s="75"/>
    </row>
    <row r="7" spans="2:16" x14ac:dyDescent="0.35">
      <c r="B7" s="129" t="s">
        <v>11</v>
      </c>
      <c r="C7" s="130" t="s">
        <v>0</v>
      </c>
      <c r="D7" s="131" t="s">
        <v>1</v>
      </c>
      <c r="E7" s="132" t="s">
        <v>2</v>
      </c>
      <c r="F7" s="133" t="s">
        <v>4</v>
      </c>
      <c r="G7" s="133"/>
      <c r="H7" s="133"/>
      <c r="I7" s="133" t="s">
        <v>5</v>
      </c>
      <c r="J7" s="133"/>
      <c r="K7" s="133"/>
      <c r="L7" s="134" t="s">
        <v>6</v>
      </c>
    </row>
    <row r="8" spans="2:16" x14ac:dyDescent="0.35">
      <c r="B8" s="129"/>
      <c r="C8" s="130"/>
      <c r="D8" s="131"/>
      <c r="E8" s="132"/>
      <c r="F8" s="133" t="s">
        <v>7</v>
      </c>
      <c r="G8" s="133"/>
      <c r="H8" s="133"/>
      <c r="I8" s="133" t="s">
        <v>7</v>
      </c>
      <c r="J8" s="133"/>
      <c r="K8" s="133"/>
      <c r="L8" s="134"/>
    </row>
    <row r="9" spans="2:16" ht="31" x14ac:dyDescent="0.35">
      <c r="B9" s="129"/>
      <c r="C9" s="130"/>
      <c r="D9" s="131"/>
      <c r="E9" s="132"/>
      <c r="F9" s="123" t="s">
        <v>8</v>
      </c>
      <c r="G9" s="123" t="s">
        <v>9</v>
      </c>
      <c r="H9" s="123" t="s">
        <v>10</v>
      </c>
      <c r="I9" s="123" t="s">
        <v>8</v>
      </c>
      <c r="J9" s="123" t="s">
        <v>9</v>
      </c>
      <c r="K9" s="123" t="s">
        <v>10</v>
      </c>
      <c r="L9" s="134"/>
      <c r="P9" s="76" t="s">
        <v>158</v>
      </c>
    </row>
    <row r="10" spans="2:16" x14ac:dyDescent="0.35">
      <c r="B10" s="108" t="s">
        <v>363</v>
      </c>
      <c r="C10" s="77">
        <v>2</v>
      </c>
      <c r="D10" s="77">
        <v>3</v>
      </c>
      <c r="E10" s="67">
        <v>4</v>
      </c>
      <c r="F10" s="67">
        <v>8</v>
      </c>
      <c r="G10" s="67">
        <v>9</v>
      </c>
      <c r="H10" s="67">
        <v>10</v>
      </c>
      <c r="I10" s="67">
        <v>11</v>
      </c>
      <c r="J10" s="67">
        <v>12</v>
      </c>
      <c r="K10" s="67">
        <v>13</v>
      </c>
      <c r="L10" s="77">
        <v>14</v>
      </c>
    </row>
    <row r="11" spans="2:16" ht="30" x14ac:dyDescent="0.35">
      <c r="B11" s="109" t="s">
        <v>363</v>
      </c>
      <c r="C11" s="63" t="s">
        <v>180</v>
      </c>
      <c r="D11" s="77"/>
      <c r="E11" s="78"/>
      <c r="F11" s="65"/>
      <c r="G11" s="123"/>
      <c r="H11" s="123"/>
      <c r="I11" s="123"/>
      <c r="J11" s="123"/>
      <c r="K11" s="123"/>
      <c r="L11" s="121"/>
    </row>
    <row r="12" spans="2:16" ht="60" x14ac:dyDescent="0.35">
      <c r="B12" s="111">
        <f>B11+1</f>
        <v>2</v>
      </c>
      <c r="C12" s="98" t="s">
        <v>181</v>
      </c>
      <c r="D12" s="99" t="s">
        <v>27</v>
      </c>
      <c r="E12" s="100">
        <v>3.8</v>
      </c>
      <c r="F12" s="101"/>
      <c r="G12" s="101"/>
      <c r="H12" s="101"/>
      <c r="I12" s="101"/>
      <c r="J12" s="101"/>
      <c r="K12" s="101"/>
      <c r="L12" s="102"/>
    </row>
    <row r="13" spans="2:16" ht="31" x14ac:dyDescent="0.35">
      <c r="B13" s="111">
        <f t="shared" ref="B13:B76" si="0">B12+1</f>
        <v>3</v>
      </c>
      <c r="C13" s="64" t="s">
        <v>182</v>
      </c>
      <c r="D13" s="77" t="s">
        <v>26</v>
      </c>
      <c r="E13" s="78">
        <f>56.73*0.97</f>
        <v>55.028099999999995</v>
      </c>
      <c r="F13" s="65">
        <v>0</v>
      </c>
      <c r="G13" s="65">
        <v>300</v>
      </c>
      <c r="H13" s="65">
        <f t="shared" ref="H13" si="1">F13+G13</f>
        <v>300</v>
      </c>
      <c r="I13" s="79">
        <f t="shared" ref="I13:I76" si="2">ROUND(F13*E13,2)</f>
        <v>0</v>
      </c>
      <c r="J13" s="79">
        <f t="shared" ref="J13:J76" si="3">ROUND(G13*E13,2)</f>
        <v>16508.43</v>
      </c>
      <c r="K13" s="79">
        <f t="shared" ref="K13:K76" si="4">I13+J13</f>
        <v>16508.43</v>
      </c>
      <c r="L13" s="121"/>
    </row>
    <row r="14" spans="2:16" x14ac:dyDescent="0.35">
      <c r="B14" s="111">
        <f t="shared" si="0"/>
        <v>4</v>
      </c>
      <c r="C14" s="64" t="s">
        <v>19</v>
      </c>
      <c r="D14" s="77" t="s">
        <v>26</v>
      </c>
      <c r="E14" s="78">
        <f>E13/97*3</f>
        <v>1.7018999999999997</v>
      </c>
      <c r="F14" s="65"/>
      <c r="G14" s="65">
        <v>1500</v>
      </c>
      <c r="H14" s="65">
        <f>F14+G14</f>
        <v>1500</v>
      </c>
      <c r="I14" s="79">
        <f t="shared" si="2"/>
        <v>0</v>
      </c>
      <c r="J14" s="79">
        <f t="shared" si="3"/>
        <v>2552.85</v>
      </c>
      <c r="K14" s="79">
        <f t="shared" si="4"/>
        <v>2552.85</v>
      </c>
      <c r="L14" s="121"/>
    </row>
    <row r="15" spans="2:16" x14ac:dyDescent="0.35">
      <c r="B15" s="111">
        <f t="shared" si="0"/>
        <v>5</v>
      </c>
      <c r="C15" s="64" t="s">
        <v>184</v>
      </c>
      <c r="D15" s="77" t="s">
        <v>25</v>
      </c>
      <c r="E15" s="78">
        <f>1.38*E12</f>
        <v>5.2439999999999998</v>
      </c>
      <c r="F15" s="65"/>
      <c r="G15" s="65"/>
      <c r="H15" s="65">
        <f t="shared" ref="H15:H78" si="5">F15+G15</f>
        <v>0</v>
      </c>
      <c r="I15" s="79">
        <f t="shared" si="2"/>
        <v>0</v>
      </c>
      <c r="J15" s="79">
        <f t="shared" si="3"/>
        <v>0</v>
      </c>
      <c r="K15" s="79">
        <f t="shared" si="4"/>
        <v>0</v>
      </c>
      <c r="L15" s="121"/>
    </row>
    <row r="16" spans="2:16" ht="31" x14ac:dyDescent="0.35">
      <c r="B16" s="111">
        <f t="shared" si="0"/>
        <v>6</v>
      </c>
      <c r="C16" s="64" t="s">
        <v>183</v>
      </c>
      <c r="D16" s="77" t="s">
        <v>25</v>
      </c>
      <c r="E16" s="72">
        <f>E15</f>
        <v>5.2439999999999998</v>
      </c>
      <c r="F16" s="65">
        <f>1973*0.15</f>
        <v>295.95</v>
      </c>
      <c r="G16" s="65">
        <f>1500*0.15</f>
        <v>225</v>
      </c>
      <c r="H16" s="65">
        <f t="shared" si="5"/>
        <v>520.95000000000005</v>
      </c>
      <c r="I16" s="79">
        <f t="shared" si="2"/>
        <v>1551.96</v>
      </c>
      <c r="J16" s="79">
        <f t="shared" si="3"/>
        <v>1179.9000000000001</v>
      </c>
      <c r="K16" s="79">
        <f t="shared" si="4"/>
        <v>2731.86</v>
      </c>
      <c r="L16" s="121"/>
    </row>
    <row r="17" spans="2:12" x14ac:dyDescent="0.35">
      <c r="B17" s="111">
        <f t="shared" si="0"/>
        <v>7</v>
      </c>
      <c r="C17" s="64" t="s">
        <v>20</v>
      </c>
      <c r="D17" s="77" t="s">
        <v>26</v>
      </c>
      <c r="E17" s="78">
        <f>E16*0.07</f>
        <v>0.36708000000000002</v>
      </c>
      <c r="F17" s="65"/>
      <c r="G17" s="65">
        <v>5860</v>
      </c>
      <c r="H17" s="65">
        <f t="shared" si="5"/>
        <v>5860</v>
      </c>
      <c r="I17" s="79">
        <f t="shared" si="2"/>
        <v>0</v>
      </c>
      <c r="J17" s="79">
        <f t="shared" si="3"/>
        <v>2151.09</v>
      </c>
      <c r="K17" s="79">
        <f t="shared" si="4"/>
        <v>2151.09</v>
      </c>
      <c r="L17" s="121"/>
    </row>
    <row r="18" spans="2:12" x14ac:dyDescent="0.35">
      <c r="B18" s="111">
        <f t="shared" si="0"/>
        <v>8</v>
      </c>
      <c r="C18" s="80" t="s">
        <v>159</v>
      </c>
      <c r="D18" s="77" t="s">
        <v>26</v>
      </c>
      <c r="E18" s="78">
        <f>E17*1.02</f>
        <v>0.37442160000000002</v>
      </c>
      <c r="F18" s="65">
        <v>6700</v>
      </c>
      <c r="G18" s="65"/>
      <c r="H18" s="65">
        <f t="shared" si="5"/>
        <v>6700</v>
      </c>
      <c r="I18" s="79">
        <f t="shared" si="2"/>
        <v>2508.62</v>
      </c>
      <c r="J18" s="79">
        <f t="shared" si="3"/>
        <v>0</v>
      </c>
      <c r="K18" s="79">
        <f t="shared" si="4"/>
        <v>2508.62</v>
      </c>
      <c r="L18" s="121"/>
    </row>
    <row r="19" spans="2:12" x14ac:dyDescent="0.35">
      <c r="B19" s="111">
        <f t="shared" si="0"/>
        <v>9</v>
      </c>
      <c r="C19" s="64" t="s">
        <v>28</v>
      </c>
      <c r="D19" s="77" t="s">
        <v>26</v>
      </c>
      <c r="E19" s="78">
        <f>E20/1.02</f>
        <v>0.84215686274509804</v>
      </c>
      <c r="F19" s="65"/>
      <c r="G19" s="65">
        <v>5860</v>
      </c>
      <c r="H19" s="65">
        <f t="shared" si="5"/>
        <v>5860</v>
      </c>
      <c r="I19" s="79">
        <f t="shared" si="2"/>
        <v>0</v>
      </c>
      <c r="J19" s="79">
        <f t="shared" si="3"/>
        <v>4935.04</v>
      </c>
      <c r="K19" s="79">
        <f t="shared" si="4"/>
        <v>4935.04</v>
      </c>
      <c r="L19" s="121"/>
    </row>
    <row r="20" spans="2:12" x14ac:dyDescent="0.35">
      <c r="B20" s="111">
        <f t="shared" si="0"/>
        <v>10</v>
      </c>
      <c r="C20" s="80" t="s">
        <v>29</v>
      </c>
      <c r="D20" s="77" t="s">
        <v>26</v>
      </c>
      <c r="E20" s="78">
        <v>0.85899999999999999</v>
      </c>
      <c r="F20" s="65">
        <v>7100</v>
      </c>
      <c r="G20" s="65"/>
      <c r="H20" s="65">
        <f t="shared" si="5"/>
        <v>7100</v>
      </c>
      <c r="I20" s="79">
        <f t="shared" si="2"/>
        <v>6098.9</v>
      </c>
      <c r="J20" s="79">
        <f t="shared" si="3"/>
        <v>0</v>
      </c>
      <c r="K20" s="79">
        <f t="shared" si="4"/>
        <v>6098.9</v>
      </c>
      <c r="L20" s="121"/>
    </row>
    <row r="21" spans="2:12" x14ac:dyDescent="0.35">
      <c r="B21" s="111">
        <f t="shared" si="0"/>
        <v>11</v>
      </c>
      <c r="C21" s="80" t="s">
        <v>30</v>
      </c>
      <c r="D21" s="77" t="s">
        <v>31</v>
      </c>
      <c r="E21" s="78">
        <v>28.81</v>
      </c>
      <c r="F21" s="65">
        <v>118.9</v>
      </c>
      <c r="G21" s="65"/>
      <c r="H21" s="65">
        <f t="shared" si="5"/>
        <v>118.9</v>
      </c>
      <c r="I21" s="79">
        <f t="shared" si="2"/>
        <v>3425.51</v>
      </c>
      <c r="J21" s="79">
        <f t="shared" si="3"/>
        <v>0</v>
      </c>
      <c r="K21" s="79">
        <f t="shared" si="4"/>
        <v>3425.51</v>
      </c>
      <c r="L21" s="121"/>
    </row>
    <row r="22" spans="2:12" x14ac:dyDescent="0.35">
      <c r="B22" s="111">
        <f t="shared" si="0"/>
        <v>12</v>
      </c>
      <c r="C22" s="64" t="s">
        <v>185</v>
      </c>
      <c r="D22" s="77" t="s">
        <v>27</v>
      </c>
      <c r="E22" s="78">
        <v>3.8</v>
      </c>
      <c r="F22" s="65"/>
      <c r="G22" s="65">
        <v>9000</v>
      </c>
      <c r="H22" s="65">
        <f t="shared" si="5"/>
        <v>9000</v>
      </c>
      <c r="I22" s="79">
        <f t="shared" si="2"/>
        <v>0</v>
      </c>
      <c r="J22" s="79">
        <f t="shared" si="3"/>
        <v>34200</v>
      </c>
      <c r="K22" s="79">
        <f t="shared" si="4"/>
        <v>34200</v>
      </c>
      <c r="L22" s="121"/>
    </row>
    <row r="23" spans="2:12" x14ac:dyDescent="0.35">
      <c r="B23" s="111">
        <f t="shared" si="0"/>
        <v>13</v>
      </c>
      <c r="C23" s="80" t="s">
        <v>352</v>
      </c>
      <c r="D23" s="77" t="s">
        <v>27</v>
      </c>
      <c r="E23" s="78">
        <v>3.8</v>
      </c>
      <c r="F23" s="65">
        <v>1162</v>
      </c>
      <c r="G23" s="112"/>
      <c r="H23" s="65">
        <f t="shared" si="5"/>
        <v>1162</v>
      </c>
      <c r="I23" s="79">
        <f t="shared" si="2"/>
        <v>4415.6000000000004</v>
      </c>
      <c r="J23" s="79">
        <f t="shared" si="3"/>
        <v>0</v>
      </c>
      <c r="K23" s="79">
        <f t="shared" si="4"/>
        <v>4415.6000000000004</v>
      </c>
      <c r="L23" s="121"/>
    </row>
    <row r="24" spans="2:12" x14ac:dyDescent="0.35">
      <c r="B24" s="111">
        <f t="shared" si="0"/>
        <v>14</v>
      </c>
      <c r="C24" s="80" t="s">
        <v>353</v>
      </c>
      <c r="D24" s="77" t="s">
        <v>27</v>
      </c>
      <c r="E24" s="78">
        <v>3.8</v>
      </c>
      <c r="F24" s="65">
        <v>800</v>
      </c>
      <c r="G24" s="112"/>
      <c r="H24" s="65">
        <f t="shared" si="5"/>
        <v>800</v>
      </c>
      <c r="I24" s="79">
        <f t="shared" si="2"/>
        <v>3040</v>
      </c>
      <c r="J24" s="79">
        <f t="shared" si="3"/>
        <v>0</v>
      </c>
      <c r="K24" s="79">
        <f t="shared" si="4"/>
        <v>3040</v>
      </c>
      <c r="L24" s="121"/>
    </row>
    <row r="25" spans="2:12" x14ac:dyDescent="0.35">
      <c r="B25" s="111">
        <f t="shared" si="0"/>
        <v>15</v>
      </c>
      <c r="C25" s="80" t="s">
        <v>354</v>
      </c>
      <c r="D25" s="77" t="s">
        <v>27</v>
      </c>
      <c r="E25" s="78">
        <v>3.8</v>
      </c>
      <c r="F25" s="65">
        <v>1904</v>
      </c>
      <c r="G25" s="112"/>
      <c r="H25" s="65">
        <f t="shared" si="5"/>
        <v>1904</v>
      </c>
      <c r="I25" s="79">
        <f t="shared" si="2"/>
        <v>7235.2</v>
      </c>
      <c r="J25" s="79">
        <f t="shared" si="3"/>
        <v>0</v>
      </c>
      <c r="K25" s="79">
        <f t="shared" si="4"/>
        <v>7235.2</v>
      </c>
      <c r="L25" s="121"/>
    </row>
    <row r="26" spans="2:12" ht="33" x14ac:dyDescent="0.35">
      <c r="B26" s="111">
        <f t="shared" si="0"/>
        <v>16</v>
      </c>
      <c r="C26" s="64" t="s">
        <v>355</v>
      </c>
      <c r="D26" s="81" t="s">
        <v>26</v>
      </c>
      <c r="E26" s="78">
        <v>16.100000000000001</v>
      </c>
      <c r="F26" s="65"/>
      <c r="G26" s="65">
        <v>439</v>
      </c>
      <c r="H26" s="65">
        <f t="shared" si="5"/>
        <v>439</v>
      </c>
      <c r="I26" s="79">
        <f t="shared" si="2"/>
        <v>0</v>
      </c>
      <c r="J26" s="79">
        <f t="shared" si="3"/>
        <v>7067.9</v>
      </c>
      <c r="K26" s="79">
        <f t="shared" si="4"/>
        <v>7067.9</v>
      </c>
      <c r="L26" s="121"/>
    </row>
    <row r="27" spans="2:12" x14ac:dyDescent="0.35">
      <c r="B27" s="111">
        <f t="shared" si="0"/>
        <v>17</v>
      </c>
      <c r="C27" s="98" t="s">
        <v>186</v>
      </c>
      <c r="D27" s="103" t="s">
        <v>32</v>
      </c>
      <c r="E27" s="100">
        <v>1</v>
      </c>
      <c r="F27" s="101"/>
      <c r="G27" s="101"/>
      <c r="H27" s="101">
        <f t="shared" si="5"/>
        <v>0</v>
      </c>
      <c r="I27" s="101">
        <f t="shared" si="2"/>
        <v>0</v>
      </c>
      <c r="J27" s="101">
        <f t="shared" si="3"/>
        <v>0</v>
      </c>
      <c r="K27" s="101">
        <f t="shared" si="4"/>
        <v>0</v>
      </c>
      <c r="L27" s="102"/>
    </row>
    <row r="28" spans="2:12" ht="31" x14ac:dyDescent="0.35">
      <c r="B28" s="111">
        <f t="shared" si="0"/>
        <v>18</v>
      </c>
      <c r="C28" s="64" t="s">
        <v>348</v>
      </c>
      <c r="D28" s="81" t="s">
        <v>26</v>
      </c>
      <c r="E28" s="78">
        <f>10.4*0.97</f>
        <v>10.087999999999999</v>
      </c>
      <c r="F28" s="65"/>
      <c r="G28" s="65">
        <v>300</v>
      </c>
      <c r="H28" s="65">
        <f t="shared" si="5"/>
        <v>300</v>
      </c>
      <c r="I28" s="79">
        <f t="shared" si="2"/>
        <v>0</v>
      </c>
      <c r="J28" s="79">
        <f t="shared" si="3"/>
        <v>3026.4</v>
      </c>
      <c r="K28" s="79">
        <f t="shared" si="4"/>
        <v>3026.4</v>
      </c>
      <c r="L28" s="121"/>
    </row>
    <row r="29" spans="2:12" x14ac:dyDescent="0.35">
      <c r="B29" s="111">
        <f t="shared" si="0"/>
        <v>19</v>
      </c>
      <c r="C29" s="64" t="s">
        <v>19</v>
      </c>
      <c r="D29" s="81" t="s">
        <v>26</v>
      </c>
      <c r="E29" s="78">
        <f>E28/97*3</f>
        <v>0.312</v>
      </c>
      <c r="F29" s="65"/>
      <c r="G29" s="65">
        <v>1500</v>
      </c>
      <c r="H29" s="65">
        <f t="shared" si="5"/>
        <v>1500</v>
      </c>
      <c r="I29" s="79">
        <f t="shared" si="2"/>
        <v>0</v>
      </c>
      <c r="J29" s="79">
        <f t="shared" si="3"/>
        <v>468</v>
      </c>
      <c r="K29" s="79">
        <f t="shared" si="4"/>
        <v>468</v>
      </c>
      <c r="L29" s="121"/>
    </row>
    <row r="30" spans="2:12" x14ac:dyDescent="0.35">
      <c r="B30" s="111">
        <f t="shared" si="0"/>
        <v>20</v>
      </c>
      <c r="C30" s="64" t="s">
        <v>67</v>
      </c>
      <c r="D30" s="81" t="s">
        <v>25</v>
      </c>
      <c r="E30" s="78">
        <f>(3.14*2.7^2)/4</f>
        <v>5.7226500000000007</v>
      </c>
      <c r="F30" s="65"/>
      <c r="G30" s="65">
        <v>0</v>
      </c>
      <c r="H30" s="65">
        <f t="shared" si="5"/>
        <v>0</v>
      </c>
      <c r="I30" s="79">
        <f t="shared" si="2"/>
        <v>0</v>
      </c>
      <c r="J30" s="79">
        <f t="shared" si="3"/>
        <v>0</v>
      </c>
      <c r="K30" s="79">
        <f t="shared" si="4"/>
        <v>0</v>
      </c>
      <c r="L30" s="121"/>
    </row>
    <row r="31" spans="2:12" x14ac:dyDescent="0.35">
      <c r="B31" s="111">
        <f t="shared" si="0"/>
        <v>21</v>
      </c>
      <c r="C31" s="64" t="s">
        <v>68</v>
      </c>
      <c r="D31" s="81" t="s">
        <v>26</v>
      </c>
      <c r="E31" s="78">
        <f>E30*0.1</f>
        <v>0.57226500000000013</v>
      </c>
      <c r="F31" s="65"/>
      <c r="G31" s="65">
        <v>5860</v>
      </c>
      <c r="H31" s="65">
        <f t="shared" si="5"/>
        <v>5860</v>
      </c>
      <c r="I31" s="79">
        <f t="shared" si="2"/>
        <v>0</v>
      </c>
      <c r="J31" s="79">
        <f t="shared" si="3"/>
        <v>3353.47</v>
      </c>
      <c r="K31" s="79">
        <f t="shared" si="4"/>
        <v>3353.47</v>
      </c>
      <c r="L31" s="121"/>
    </row>
    <row r="32" spans="2:12" x14ac:dyDescent="0.35">
      <c r="B32" s="111">
        <f t="shared" si="0"/>
        <v>22</v>
      </c>
      <c r="C32" s="80" t="s">
        <v>159</v>
      </c>
      <c r="D32" s="81" t="s">
        <v>26</v>
      </c>
      <c r="E32" s="78">
        <f>E31*1.02</f>
        <v>0.58371030000000013</v>
      </c>
      <c r="F32" s="65">
        <v>6700</v>
      </c>
      <c r="G32" s="65"/>
      <c r="H32" s="65">
        <f t="shared" si="5"/>
        <v>6700</v>
      </c>
      <c r="I32" s="79">
        <f t="shared" si="2"/>
        <v>3910.86</v>
      </c>
      <c r="J32" s="79">
        <f t="shared" si="3"/>
        <v>0</v>
      </c>
      <c r="K32" s="79">
        <f t="shared" si="4"/>
        <v>3910.86</v>
      </c>
      <c r="L32" s="121"/>
    </row>
    <row r="33" spans="2:16" x14ac:dyDescent="0.35">
      <c r="B33" s="111">
        <f t="shared" si="0"/>
        <v>23</v>
      </c>
      <c r="C33" s="64" t="s">
        <v>151</v>
      </c>
      <c r="D33" s="81" t="s">
        <v>25</v>
      </c>
      <c r="E33" s="78">
        <f>(3.14*2.5^2)/4</f>
        <v>4.90625</v>
      </c>
      <c r="F33" s="65">
        <v>68.5</v>
      </c>
      <c r="G33" s="65">
        <v>150</v>
      </c>
      <c r="H33" s="65">
        <f t="shared" si="5"/>
        <v>218.5</v>
      </c>
      <c r="I33" s="79">
        <f t="shared" si="2"/>
        <v>336.08</v>
      </c>
      <c r="J33" s="79">
        <f t="shared" si="3"/>
        <v>735.94</v>
      </c>
      <c r="K33" s="79">
        <f t="shared" si="4"/>
        <v>1072.02</v>
      </c>
      <c r="L33" s="121"/>
    </row>
    <row r="34" spans="2:16" ht="31" x14ac:dyDescent="0.35">
      <c r="B34" s="111">
        <f t="shared" si="0"/>
        <v>24</v>
      </c>
      <c r="C34" s="64" t="s">
        <v>152</v>
      </c>
      <c r="D34" s="81" t="s">
        <v>25</v>
      </c>
      <c r="E34" s="78">
        <f>E33</f>
        <v>4.90625</v>
      </c>
      <c r="F34" s="65">
        <v>927</v>
      </c>
      <c r="G34" s="65">
        <v>400</v>
      </c>
      <c r="H34" s="65">
        <f t="shared" si="5"/>
        <v>1327</v>
      </c>
      <c r="I34" s="79">
        <f t="shared" si="2"/>
        <v>4548.09</v>
      </c>
      <c r="J34" s="79">
        <f t="shared" si="3"/>
        <v>1962.5</v>
      </c>
      <c r="K34" s="79">
        <f t="shared" si="4"/>
        <v>6510.59</v>
      </c>
      <c r="L34" s="121"/>
    </row>
    <row r="35" spans="2:16" ht="31" x14ac:dyDescent="0.35">
      <c r="B35" s="111">
        <f t="shared" si="0"/>
        <v>25</v>
      </c>
      <c r="C35" s="64" t="s">
        <v>69</v>
      </c>
      <c r="D35" s="81" t="s">
        <v>32</v>
      </c>
      <c r="E35" s="78">
        <v>1</v>
      </c>
      <c r="F35" s="65"/>
      <c r="G35" s="65">
        <v>5662</v>
      </c>
      <c r="H35" s="65">
        <f t="shared" si="5"/>
        <v>5662</v>
      </c>
      <c r="I35" s="79">
        <f t="shared" si="2"/>
        <v>0</v>
      </c>
      <c r="J35" s="79">
        <f t="shared" si="3"/>
        <v>5662</v>
      </c>
      <c r="K35" s="79">
        <f t="shared" si="4"/>
        <v>5662</v>
      </c>
      <c r="L35" s="121"/>
    </row>
    <row r="36" spans="2:16" x14ac:dyDescent="0.35">
      <c r="B36" s="111">
        <f t="shared" si="0"/>
        <v>26</v>
      </c>
      <c r="C36" s="82" t="s">
        <v>71</v>
      </c>
      <c r="D36" s="81" t="s">
        <v>32</v>
      </c>
      <c r="E36" s="78">
        <v>1</v>
      </c>
      <c r="F36" s="65">
        <f>7000*1.2</f>
        <v>8400</v>
      </c>
      <c r="G36" s="65"/>
      <c r="H36" s="65">
        <f t="shared" si="5"/>
        <v>8400</v>
      </c>
      <c r="I36" s="79">
        <f t="shared" si="2"/>
        <v>8400</v>
      </c>
      <c r="J36" s="79">
        <f t="shared" si="3"/>
        <v>0</v>
      </c>
      <c r="K36" s="79">
        <f t="shared" si="4"/>
        <v>8400</v>
      </c>
      <c r="L36" s="121"/>
    </row>
    <row r="37" spans="2:16" x14ac:dyDescent="0.35">
      <c r="B37" s="111">
        <f t="shared" si="0"/>
        <v>27</v>
      </c>
      <c r="C37" s="82" t="s">
        <v>101</v>
      </c>
      <c r="D37" s="81" t="s">
        <v>26</v>
      </c>
      <c r="E37" s="78">
        <f>((3.14*2.5^2)/4*0.02)*1.02</f>
        <v>0.10008750000000001</v>
      </c>
      <c r="F37" s="65">
        <v>7300</v>
      </c>
      <c r="G37" s="65"/>
      <c r="H37" s="65">
        <f t="shared" si="5"/>
        <v>7300</v>
      </c>
      <c r="I37" s="79">
        <f t="shared" si="2"/>
        <v>730.64</v>
      </c>
      <c r="J37" s="79">
        <f t="shared" si="3"/>
        <v>0</v>
      </c>
      <c r="K37" s="79">
        <f t="shared" si="4"/>
        <v>730.64</v>
      </c>
      <c r="L37" s="121"/>
    </row>
    <row r="38" spans="2:16" ht="31" x14ac:dyDescent="0.35">
      <c r="B38" s="111">
        <f t="shared" si="0"/>
        <v>28</v>
      </c>
      <c r="C38" s="64" t="s">
        <v>179</v>
      </c>
      <c r="D38" s="81" t="s">
        <v>26</v>
      </c>
      <c r="E38" s="78">
        <v>1.2</v>
      </c>
      <c r="F38" s="65"/>
      <c r="G38" s="65">
        <v>5860</v>
      </c>
      <c r="H38" s="65">
        <f t="shared" si="5"/>
        <v>5860</v>
      </c>
      <c r="I38" s="79">
        <f t="shared" si="2"/>
        <v>0</v>
      </c>
      <c r="J38" s="79">
        <f t="shared" si="3"/>
        <v>7032</v>
      </c>
      <c r="K38" s="79">
        <f t="shared" si="4"/>
        <v>7032</v>
      </c>
      <c r="L38" s="121"/>
    </row>
    <row r="39" spans="2:16" x14ac:dyDescent="0.35">
      <c r="B39" s="111">
        <f t="shared" si="0"/>
        <v>29</v>
      </c>
      <c r="C39" s="82" t="s">
        <v>75</v>
      </c>
      <c r="D39" s="81" t="s">
        <v>26</v>
      </c>
      <c r="E39" s="78">
        <f>E38*1.02</f>
        <v>1.224</v>
      </c>
      <c r="F39" s="65">
        <v>7100</v>
      </c>
      <c r="G39" s="65"/>
      <c r="H39" s="65">
        <f t="shared" si="5"/>
        <v>7100</v>
      </c>
      <c r="I39" s="79">
        <f t="shared" si="2"/>
        <v>8690.4</v>
      </c>
      <c r="J39" s="79">
        <f t="shared" si="3"/>
        <v>0</v>
      </c>
      <c r="K39" s="79">
        <f t="shared" si="4"/>
        <v>8690.4</v>
      </c>
      <c r="L39" s="121"/>
    </row>
    <row r="40" spans="2:16" ht="31" x14ac:dyDescent="0.35">
      <c r="B40" s="111">
        <f t="shared" si="0"/>
        <v>30</v>
      </c>
      <c r="C40" s="64" t="s">
        <v>78</v>
      </c>
      <c r="D40" s="81" t="s">
        <v>32</v>
      </c>
      <c r="E40" s="78">
        <f>SUM(E41:E43)</f>
        <v>6</v>
      </c>
      <c r="F40" s="65"/>
      <c r="G40" s="65">
        <v>5662</v>
      </c>
      <c r="H40" s="65">
        <f t="shared" si="5"/>
        <v>5662</v>
      </c>
      <c r="I40" s="79">
        <f t="shared" si="2"/>
        <v>0</v>
      </c>
      <c r="J40" s="79">
        <f t="shared" si="3"/>
        <v>33972</v>
      </c>
      <c r="K40" s="79">
        <f t="shared" si="4"/>
        <v>33972</v>
      </c>
      <c r="L40" s="121"/>
    </row>
    <row r="41" spans="2:16" x14ac:dyDescent="0.35">
      <c r="B41" s="111">
        <f t="shared" si="0"/>
        <v>31</v>
      </c>
      <c r="C41" s="82" t="s">
        <v>76</v>
      </c>
      <c r="D41" s="81" t="s">
        <v>32</v>
      </c>
      <c r="E41" s="78">
        <v>4</v>
      </c>
      <c r="F41" s="65">
        <f>7000*1.2</f>
        <v>8400</v>
      </c>
      <c r="G41" s="65"/>
      <c r="H41" s="65">
        <f t="shared" si="5"/>
        <v>8400</v>
      </c>
      <c r="I41" s="79">
        <f t="shared" si="2"/>
        <v>33600</v>
      </c>
      <c r="J41" s="79">
        <f t="shared" si="3"/>
        <v>0</v>
      </c>
      <c r="K41" s="79">
        <f t="shared" si="4"/>
        <v>33600</v>
      </c>
      <c r="L41" s="121"/>
    </row>
    <row r="42" spans="2:16" x14ac:dyDescent="0.35">
      <c r="B42" s="111">
        <f t="shared" si="0"/>
        <v>32</v>
      </c>
      <c r="C42" s="82" t="s">
        <v>293</v>
      </c>
      <c r="D42" s="81" t="s">
        <v>32</v>
      </c>
      <c r="E42" s="78">
        <v>1</v>
      </c>
      <c r="F42" s="65">
        <f>900*1.2</f>
        <v>1080</v>
      </c>
      <c r="G42" s="65"/>
      <c r="H42" s="65">
        <f t="shared" si="5"/>
        <v>1080</v>
      </c>
      <c r="I42" s="79">
        <f t="shared" si="2"/>
        <v>1080</v>
      </c>
      <c r="J42" s="79">
        <f t="shared" si="3"/>
        <v>0</v>
      </c>
      <c r="K42" s="79">
        <f t="shared" si="4"/>
        <v>1080</v>
      </c>
      <c r="L42" s="121"/>
    </row>
    <row r="43" spans="2:16" x14ac:dyDescent="0.35">
      <c r="B43" s="111">
        <f t="shared" si="0"/>
        <v>33</v>
      </c>
      <c r="C43" s="82" t="s">
        <v>294</v>
      </c>
      <c r="D43" s="81" t="s">
        <v>32</v>
      </c>
      <c r="E43" s="78">
        <v>1</v>
      </c>
      <c r="F43" s="65">
        <f>1200*1.2</f>
        <v>1440</v>
      </c>
      <c r="G43" s="65"/>
      <c r="H43" s="65">
        <f t="shared" si="5"/>
        <v>1440</v>
      </c>
      <c r="I43" s="79">
        <f t="shared" si="2"/>
        <v>1440</v>
      </c>
      <c r="J43" s="79">
        <f t="shared" si="3"/>
        <v>0</v>
      </c>
      <c r="K43" s="79">
        <f t="shared" si="4"/>
        <v>1440</v>
      </c>
      <c r="L43" s="121"/>
    </row>
    <row r="44" spans="2:16" ht="31" x14ac:dyDescent="0.35">
      <c r="B44" s="111">
        <f t="shared" si="0"/>
        <v>34</v>
      </c>
      <c r="C44" s="64" t="s">
        <v>85</v>
      </c>
      <c r="D44" s="81" t="s">
        <v>32</v>
      </c>
      <c r="E44" s="78">
        <v>1</v>
      </c>
      <c r="F44" s="65"/>
      <c r="G44" s="65">
        <v>2500</v>
      </c>
      <c r="H44" s="65">
        <f t="shared" si="5"/>
        <v>2500</v>
      </c>
      <c r="I44" s="79">
        <f t="shared" si="2"/>
        <v>0</v>
      </c>
      <c r="J44" s="79">
        <f t="shared" si="3"/>
        <v>2500</v>
      </c>
      <c r="K44" s="79">
        <f t="shared" si="4"/>
        <v>2500</v>
      </c>
      <c r="L44" s="121"/>
    </row>
    <row r="45" spans="2:16" x14ac:dyDescent="0.35">
      <c r="B45" s="111">
        <f t="shared" si="0"/>
        <v>35</v>
      </c>
      <c r="C45" s="82" t="s">
        <v>137</v>
      </c>
      <c r="D45" s="81" t="s">
        <v>32</v>
      </c>
      <c r="E45" s="78">
        <v>1</v>
      </c>
      <c r="F45" s="65">
        <f>7000*1.2</f>
        <v>8400</v>
      </c>
      <c r="G45" s="65"/>
      <c r="H45" s="65">
        <f t="shared" si="5"/>
        <v>8400</v>
      </c>
      <c r="I45" s="79">
        <f t="shared" si="2"/>
        <v>8400</v>
      </c>
      <c r="J45" s="79">
        <f t="shared" si="3"/>
        <v>0</v>
      </c>
      <c r="K45" s="79">
        <f t="shared" si="4"/>
        <v>8400</v>
      </c>
      <c r="L45" s="122"/>
      <c r="P45" s="72"/>
    </row>
    <row r="46" spans="2:16" ht="31" x14ac:dyDescent="0.35">
      <c r="B46" s="111">
        <f t="shared" si="0"/>
        <v>36</v>
      </c>
      <c r="C46" s="64" t="s">
        <v>187</v>
      </c>
      <c r="D46" s="81" t="s">
        <v>32</v>
      </c>
      <c r="E46" s="78">
        <v>1</v>
      </c>
      <c r="F46" s="65"/>
      <c r="G46" s="65">
        <v>5662</v>
      </c>
      <c r="H46" s="65">
        <f t="shared" si="5"/>
        <v>5662</v>
      </c>
      <c r="I46" s="79">
        <f t="shared" si="2"/>
        <v>0</v>
      </c>
      <c r="J46" s="79">
        <f t="shared" si="3"/>
        <v>5662</v>
      </c>
      <c r="K46" s="79">
        <f t="shared" si="4"/>
        <v>5662</v>
      </c>
      <c r="L46" s="121"/>
    </row>
    <row r="47" spans="2:16" x14ac:dyDescent="0.35">
      <c r="B47" s="111">
        <f t="shared" si="0"/>
        <v>37</v>
      </c>
      <c r="C47" s="82" t="s">
        <v>141</v>
      </c>
      <c r="D47" s="81" t="s">
        <v>32</v>
      </c>
      <c r="E47" s="78">
        <v>1</v>
      </c>
      <c r="F47" s="65">
        <v>32500</v>
      </c>
      <c r="G47" s="65"/>
      <c r="H47" s="65">
        <f t="shared" si="5"/>
        <v>32500</v>
      </c>
      <c r="I47" s="79">
        <f t="shared" si="2"/>
        <v>32500</v>
      </c>
      <c r="J47" s="79">
        <f t="shared" si="3"/>
        <v>0</v>
      </c>
      <c r="K47" s="79">
        <f t="shared" si="4"/>
        <v>32500</v>
      </c>
      <c r="L47" s="121"/>
    </row>
    <row r="48" spans="2:16" ht="31" x14ac:dyDescent="0.35">
      <c r="B48" s="111">
        <f t="shared" si="0"/>
        <v>38</v>
      </c>
      <c r="C48" s="64" t="s">
        <v>156</v>
      </c>
      <c r="D48" s="81" t="s">
        <v>25</v>
      </c>
      <c r="E48" s="78">
        <f>E49</f>
        <v>30.51</v>
      </c>
      <c r="F48" s="65">
        <v>68.5</v>
      </c>
      <c r="G48" s="65">
        <v>150</v>
      </c>
      <c r="H48" s="65">
        <f t="shared" si="5"/>
        <v>218.5</v>
      </c>
      <c r="I48" s="79">
        <f t="shared" si="2"/>
        <v>2089.94</v>
      </c>
      <c r="J48" s="79">
        <f t="shared" si="3"/>
        <v>4576.5</v>
      </c>
      <c r="K48" s="79">
        <f t="shared" si="4"/>
        <v>6666.4400000000005</v>
      </c>
      <c r="L48" s="121"/>
    </row>
    <row r="49" spans="2:12" ht="46.5" x14ac:dyDescent="0.35">
      <c r="B49" s="111">
        <f t="shared" si="0"/>
        <v>39</v>
      </c>
      <c r="C49" s="64" t="s">
        <v>157</v>
      </c>
      <c r="D49" s="81" t="s">
        <v>25</v>
      </c>
      <c r="E49" s="78">
        <v>30.51</v>
      </c>
      <c r="F49" s="65">
        <v>927</v>
      </c>
      <c r="G49" s="65">
        <v>400</v>
      </c>
      <c r="H49" s="65">
        <f t="shared" si="5"/>
        <v>1327</v>
      </c>
      <c r="I49" s="79">
        <f t="shared" si="2"/>
        <v>28282.77</v>
      </c>
      <c r="J49" s="79">
        <f t="shared" si="3"/>
        <v>12204</v>
      </c>
      <c r="K49" s="79">
        <f t="shared" si="4"/>
        <v>40486.770000000004</v>
      </c>
      <c r="L49" s="121"/>
    </row>
    <row r="50" spans="2:12" x14ac:dyDescent="0.35">
      <c r="B50" s="111">
        <f t="shared" si="0"/>
        <v>40</v>
      </c>
      <c r="C50" s="64" t="s">
        <v>295</v>
      </c>
      <c r="D50" s="81" t="s">
        <v>32</v>
      </c>
      <c r="E50" s="83">
        <v>1</v>
      </c>
      <c r="F50" s="68"/>
      <c r="G50" s="65"/>
      <c r="H50" s="65">
        <f t="shared" si="5"/>
        <v>0</v>
      </c>
      <c r="I50" s="79">
        <f t="shared" si="2"/>
        <v>0</v>
      </c>
      <c r="J50" s="79">
        <f t="shared" si="3"/>
        <v>0</v>
      </c>
      <c r="K50" s="79">
        <f t="shared" si="4"/>
        <v>0</v>
      </c>
      <c r="L50" s="121"/>
    </row>
    <row r="51" spans="2:12" x14ac:dyDescent="0.35">
      <c r="B51" s="111">
        <f t="shared" si="0"/>
        <v>41</v>
      </c>
      <c r="C51" s="82" t="s">
        <v>296</v>
      </c>
      <c r="D51" s="81" t="s">
        <v>31</v>
      </c>
      <c r="E51" s="83">
        <v>40</v>
      </c>
      <c r="F51" s="68">
        <v>71</v>
      </c>
      <c r="G51" s="65">
        <v>97.61</v>
      </c>
      <c r="H51" s="65">
        <f t="shared" si="5"/>
        <v>168.61</v>
      </c>
      <c r="I51" s="79">
        <f t="shared" si="2"/>
        <v>2840</v>
      </c>
      <c r="J51" s="79">
        <f t="shared" si="3"/>
        <v>3904.4</v>
      </c>
      <c r="K51" s="79">
        <f t="shared" si="4"/>
        <v>6744.4</v>
      </c>
      <c r="L51" s="121"/>
    </row>
    <row r="52" spans="2:12" x14ac:dyDescent="0.35">
      <c r="B52" s="111">
        <f t="shared" si="0"/>
        <v>42</v>
      </c>
      <c r="C52" s="64" t="s">
        <v>93</v>
      </c>
      <c r="D52" s="81" t="s">
        <v>32</v>
      </c>
      <c r="E52" s="83">
        <v>2</v>
      </c>
      <c r="F52" s="68"/>
      <c r="G52" s="65"/>
      <c r="H52" s="65">
        <f t="shared" si="5"/>
        <v>0</v>
      </c>
      <c r="I52" s="79">
        <f t="shared" si="2"/>
        <v>0</v>
      </c>
      <c r="J52" s="79">
        <f t="shared" si="3"/>
        <v>0</v>
      </c>
      <c r="K52" s="79">
        <f t="shared" si="4"/>
        <v>0</v>
      </c>
      <c r="L52" s="121"/>
    </row>
    <row r="53" spans="2:12" x14ac:dyDescent="0.35">
      <c r="B53" s="111">
        <f t="shared" si="0"/>
        <v>43</v>
      </c>
      <c r="C53" s="82" t="s">
        <v>94</v>
      </c>
      <c r="D53" s="81" t="s">
        <v>31</v>
      </c>
      <c r="E53" s="78">
        <f>0.82*2</f>
        <v>1.64</v>
      </c>
      <c r="F53" s="68">
        <v>71</v>
      </c>
      <c r="G53" s="65">
        <v>97.61</v>
      </c>
      <c r="H53" s="65">
        <f t="shared" si="5"/>
        <v>168.61</v>
      </c>
      <c r="I53" s="79">
        <f t="shared" si="2"/>
        <v>116.44</v>
      </c>
      <c r="J53" s="79">
        <f t="shared" si="3"/>
        <v>160.08000000000001</v>
      </c>
      <c r="K53" s="79">
        <f t="shared" si="4"/>
        <v>276.52</v>
      </c>
      <c r="L53" s="121"/>
    </row>
    <row r="54" spans="2:12" ht="31" x14ac:dyDescent="0.35">
      <c r="B54" s="111">
        <f t="shared" si="0"/>
        <v>44</v>
      </c>
      <c r="C54" s="64" t="s">
        <v>297</v>
      </c>
      <c r="D54" s="81" t="s">
        <v>32</v>
      </c>
      <c r="E54" s="83">
        <v>4</v>
      </c>
      <c r="F54" s="68"/>
      <c r="G54" s="65">
        <v>1464</v>
      </c>
      <c r="H54" s="65">
        <f t="shared" si="5"/>
        <v>1464</v>
      </c>
      <c r="I54" s="79">
        <f t="shared" si="2"/>
        <v>0</v>
      </c>
      <c r="J54" s="79">
        <f t="shared" si="3"/>
        <v>5856</v>
      </c>
      <c r="K54" s="79">
        <f t="shared" si="4"/>
        <v>5856</v>
      </c>
      <c r="L54" s="121"/>
    </row>
    <row r="55" spans="2:12" x14ac:dyDescent="0.35">
      <c r="B55" s="111">
        <f t="shared" si="0"/>
        <v>45</v>
      </c>
      <c r="C55" s="64" t="s">
        <v>298</v>
      </c>
      <c r="D55" s="81"/>
      <c r="E55" s="83"/>
      <c r="F55" s="68"/>
      <c r="G55" s="65"/>
      <c r="H55" s="65">
        <f t="shared" si="5"/>
        <v>0</v>
      </c>
      <c r="I55" s="79">
        <f t="shared" si="2"/>
        <v>0</v>
      </c>
      <c r="J55" s="79">
        <f t="shared" si="3"/>
        <v>0</v>
      </c>
      <c r="K55" s="79">
        <f t="shared" si="4"/>
        <v>0</v>
      </c>
      <c r="L55" s="121">
        <v>1</v>
      </c>
    </row>
    <row r="56" spans="2:12" ht="31" x14ac:dyDescent="0.35">
      <c r="B56" s="111">
        <f t="shared" si="0"/>
        <v>46</v>
      </c>
      <c r="C56" s="80" t="s">
        <v>356</v>
      </c>
      <c r="D56" s="81" t="s">
        <v>32</v>
      </c>
      <c r="E56" s="83">
        <v>1</v>
      </c>
      <c r="F56" s="68">
        <v>609</v>
      </c>
      <c r="G56" s="65">
        <v>1700</v>
      </c>
      <c r="H56" s="65">
        <f t="shared" si="5"/>
        <v>2309</v>
      </c>
      <c r="I56" s="79">
        <f t="shared" si="2"/>
        <v>609</v>
      </c>
      <c r="J56" s="79">
        <f t="shared" si="3"/>
        <v>1700</v>
      </c>
      <c r="K56" s="79">
        <f t="shared" si="4"/>
        <v>2309</v>
      </c>
      <c r="L56" s="121"/>
    </row>
    <row r="57" spans="2:12" ht="31" x14ac:dyDescent="0.35">
      <c r="B57" s="111">
        <f t="shared" si="0"/>
        <v>47</v>
      </c>
      <c r="C57" s="80" t="s">
        <v>357</v>
      </c>
      <c r="D57" s="81" t="s">
        <v>32</v>
      </c>
      <c r="E57" s="83">
        <v>1</v>
      </c>
      <c r="F57" s="68">
        <v>386</v>
      </c>
      <c r="G57" s="65">
        <v>1700</v>
      </c>
      <c r="H57" s="65">
        <f t="shared" si="5"/>
        <v>2086</v>
      </c>
      <c r="I57" s="79">
        <f t="shared" si="2"/>
        <v>386</v>
      </c>
      <c r="J57" s="79">
        <f t="shared" si="3"/>
        <v>1700</v>
      </c>
      <c r="K57" s="79">
        <f t="shared" si="4"/>
        <v>2086</v>
      </c>
      <c r="L57" s="121"/>
    </row>
    <row r="58" spans="2:12" ht="31" x14ac:dyDescent="0.35">
      <c r="B58" s="111">
        <f t="shared" si="0"/>
        <v>48</v>
      </c>
      <c r="C58" s="80" t="s">
        <v>299</v>
      </c>
      <c r="D58" s="81" t="s">
        <v>27</v>
      </c>
      <c r="E58" s="83">
        <f>3.14*1.1</f>
        <v>3.4540000000000006</v>
      </c>
      <c r="F58" s="68">
        <v>308</v>
      </c>
      <c r="G58" s="65">
        <v>1700</v>
      </c>
      <c r="H58" s="65">
        <f t="shared" si="5"/>
        <v>2008</v>
      </c>
      <c r="I58" s="79">
        <f t="shared" si="2"/>
        <v>1063.83</v>
      </c>
      <c r="J58" s="79">
        <f t="shared" si="3"/>
        <v>5871.8</v>
      </c>
      <c r="K58" s="79">
        <f t="shared" si="4"/>
        <v>6935.63</v>
      </c>
      <c r="L58" s="121"/>
    </row>
    <row r="59" spans="2:12" ht="31" x14ac:dyDescent="0.35">
      <c r="B59" s="111">
        <f t="shared" si="0"/>
        <v>49</v>
      </c>
      <c r="C59" s="80" t="s">
        <v>358</v>
      </c>
      <c r="D59" s="81" t="s">
        <v>32</v>
      </c>
      <c r="E59" s="83">
        <v>1</v>
      </c>
      <c r="F59" s="68">
        <v>904</v>
      </c>
      <c r="G59" s="65">
        <v>1700</v>
      </c>
      <c r="H59" s="65">
        <f t="shared" si="5"/>
        <v>2604</v>
      </c>
      <c r="I59" s="79">
        <f t="shared" si="2"/>
        <v>904</v>
      </c>
      <c r="J59" s="79">
        <f t="shared" si="3"/>
        <v>1700</v>
      </c>
      <c r="K59" s="79">
        <f t="shared" si="4"/>
        <v>2604</v>
      </c>
      <c r="L59" s="121"/>
    </row>
    <row r="60" spans="2:12" ht="31" x14ac:dyDescent="0.35">
      <c r="B60" s="111">
        <f t="shared" si="0"/>
        <v>50</v>
      </c>
      <c r="C60" s="80" t="s">
        <v>359</v>
      </c>
      <c r="D60" s="81" t="s">
        <v>32</v>
      </c>
      <c r="E60" s="83">
        <v>1</v>
      </c>
      <c r="F60" s="68">
        <v>576</v>
      </c>
      <c r="G60" s="65">
        <v>1700</v>
      </c>
      <c r="H60" s="65">
        <f t="shared" si="5"/>
        <v>2276</v>
      </c>
      <c r="I60" s="79">
        <f t="shared" si="2"/>
        <v>576</v>
      </c>
      <c r="J60" s="79">
        <f t="shared" si="3"/>
        <v>1700</v>
      </c>
      <c r="K60" s="79">
        <f t="shared" si="4"/>
        <v>2276</v>
      </c>
      <c r="L60" s="121"/>
    </row>
    <row r="61" spans="2:12" ht="31" x14ac:dyDescent="0.35">
      <c r="B61" s="111">
        <f t="shared" si="0"/>
        <v>51</v>
      </c>
      <c r="C61" s="80" t="s">
        <v>300</v>
      </c>
      <c r="D61" s="81" t="s">
        <v>27</v>
      </c>
      <c r="E61" s="83">
        <f>E58</f>
        <v>3.4540000000000006</v>
      </c>
      <c r="F61" s="68">
        <v>581</v>
      </c>
      <c r="G61" s="65">
        <v>1700</v>
      </c>
      <c r="H61" s="65">
        <f t="shared" si="5"/>
        <v>2281</v>
      </c>
      <c r="I61" s="79">
        <f t="shared" si="2"/>
        <v>2006.77</v>
      </c>
      <c r="J61" s="79">
        <f t="shared" si="3"/>
        <v>5871.8</v>
      </c>
      <c r="K61" s="79">
        <f t="shared" si="4"/>
        <v>7878.57</v>
      </c>
      <c r="L61" s="121"/>
    </row>
    <row r="62" spans="2:12" ht="31" x14ac:dyDescent="0.35">
      <c r="B62" s="111">
        <f t="shared" si="0"/>
        <v>52</v>
      </c>
      <c r="C62" s="80" t="s">
        <v>360</v>
      </c>
      <c r="D62" s="81" t="s">
        <v>32</v>
      </c>
      <c r="E62" s="83">
        <v>1</v>
      </c>
      <c r="F62" s="68">
        <v>2263</v>
      </c>
      <c r="G62" s="65">
        <v>1700</v>
      </c>
      <c r="H62" s="65">
        <f t="shared" si="5"/>
        <v>3963</v>
      </c>
      <c r="I62" s="79">
        <f t="shared" si="2"/>
        <v>2263</v>
      </c>
      <c r="J62" s="79">
        <f t="shared" si="3"/>
        <v>1700</v>
      </c>
      <c r="K62" s="79">
        <f t="shared" si="4"/>
        <v>3963</v>
      </c>
      <c r="L62" s="121"/>
    </row>
    <row r="63" spans="2:12" ht="31" x14ac:dyDescent="0.35">
      <c r="B63" s="111">
        <f t="shared" si="0"/>
        <v>53</v>
      </c>
      <c r="C63" s="80" t="s">
        <v>361</v>
      </c>
      <c r="D63" s="81" t="s">
        <v>32</v>
      </c>
      <c r="E63" s="83">
        <v>1</v>
      </c>
      <c r="F63" s="68">
        <v>1303</v>
      </c>
      <c r="G63" s="65">
        <v>1700</v>
      </c>
      <c r="H63" s="65">
        <f t="shared" si="5"/>
        <v>3003</v>
      </c>
      <c r="I63" s="79">
        <f t="shared" si="2"/>
        <v>1303</v>
      </c>
      <c r="J63" s="79">
        <f t="shared" si="3"/>
        <v>1700</v>
      </c>
      <c r="K63" s="79">
        <f t="shared" si="4"/>
        <v>3003</v>
      </c>
      <c r="L63" s="121"/>
    </row>
    <row r="64" spans="2:12" ht="31" x14ac:dyDescent="0.35">
      <c r="B64" s="111">
        <f t="shared" si="0"/>
        <v>54</v>
      </c>
      <c r="C64" s="80" t="s">
        <v>63</v>
      </c>
      <c r="D64" s="81" t="s">
        <v>27</v>
      </c>
      <c r="E64" s="83">
        <f>E61</f>
        <v>3.4540000000000006</v>
      </c>
      <c r="F64" s="68">
        <v>855</v>
      </c>
      <c r="G64" s="65">
        <v>1700</v>
      </c>
      <c r="H64" s="65">
        <f t="shared" si="5"/>
        <v>2555</v>
      </c>
      <c r="I64" s="79">
        <f t="shared" si="2"/>
        <v>2953.17</v>
      </c>
      <c r="J64" s="79">
        <f t="shared" si="3"/>
        <v>5871.8</v>
      </c>
      <c r="K64" s="79">
        <f t="shared" si="4"/>
        <v>8824.9700000000012</v>
      </c>
      <c r="L64" s="121"/>
    </row>
    <row r="65" spans="2:12" ht="33" x14ac:dyDescent="0.35">
      <c r="B65" s="111">
        <f t="shared" si="0"/>
        <v>55</v>
      </c>
      <c r="C65" s="64" t="s">
        <v>362</v>
      </c>
      <c r="D65" s="81" t="s">
        <v>26</v>
      </c>
      <c r="E65" s="78">
        <v>36.24</v>
      </c>
      <c r="F65" s="65"/>
      <c r="G65" s="65">
        <v>439</v>
      </c>
      <c r="H65" s="65">
        <f t="shared" si="5"/>
        <v>439</v>
      </c>
      <c r="I65" s="79">
        <f t="shared" si="2"/>
        <v>0</v>
      </c>
      <c r="J65" s="79">
        <f t="shared" si="3"/>
        <v>15909.36</v>
      </c>
      <c r="K65" s="79">
        <f t="shared" si="4"/>
        <v>15909.36</v>
      </c>
      <c r="L65" s="121"/>
    </row>
    <row r="66" spans="2:12" ht="30" x14ac:dyDescent="0.35">
      <c r="B66" s="111">
        <f t="shared" si="0"/>
        <v>56</v>
      </c>
      <c r="C66" s="98" t="s">
        <v>193</v>
      </c>
      <c r="D66" s="99" t="s">
        <v>27</v>
      </c>
      <c r="E66" s="100">
        <v>12.2</v>
      </c>
      <c r="F66" s="101"/>
      <c r="G66" s="101"/>
      <c r="H66" s="101">
        <f t="shared" si="5"/>
        <v>0</v>
      </c>
      <c r="I66" s="101">
        <f t="shared" si="2"/>
        <v>0</v>
      </c>
      <c r="J66" s="101">
        <f t="shared" si="3"/>
        <v>0</v>
      </c>
      <c r="K66" s="101">
        <f t="shared" si="4"/>
        <v>0</v>
      </c>
      <c r="L66" s="102"/>
    </row>
    <row r="67" spans="2:12" ht="31" x14ac:dyDescent="0.35">
      <c r="B67" s="111">
        <f t="shared" si="0"/>
        <v>57</v>
      </c>
      <c r="C67" s="64" t="s">
        <v>348</v>
      </c>
      <c r="D67" s="77" t="s">
        <v>26</v>
      </c>
      <c r="E67" s="78">
        <f>49.4*0.97</f>
        <v>47.917999999999999</v>
      </c>
      <c r="F67" s="65"/>
      <c r="G67" s="65">
        <v>300</v>
      </c>
      <c r="H67" s="65">
        <f t="shared" si="5"/>
        <v>300</v>
      </c>
      <c r="I67" s="79">
        <f t="shared" si="2"/>
        <v>0</v>
      </c>
      <c r="J67" s="79">
        <f t="shared" si="3"/>
        <v>14375.4</v>
      </c>
      <c r="K67" s="79">
        <f t="shared" si="4"/>
        <v>14375.4</v>
      </c>
      <c r="L67" s="121"/>
    </row>
    <row r="68" spans="2:12" x14ac:dyDescent="0.35">
      <c r="B68" s="111">
        <f t="shared" si="0"/>
        <v>58</v>
      </c>
      <c r="C68" s="64" t="s">
        <v>19</v>
      </c>
      <c r="D68" s="77" t="s">
        <v>26</v>
      </c>
      <c r="E68" s="78">
        <f>E67/97*3</f>
        <v>1.482</v>
      </c>
      <c r="F68" s="65"/>
      <c r="G68" s="65">
        <v>1500</v>
      </c>
      <c r="H68" s="65">
        <f t="shared" si="5"/>
        <v>1500</v>
      </c>
      <c r="I68" s="79">
        <f t="shared" si="2"/>
        <v>0</v>
      </c>
      <c r="J68" s="79">
        <f t="shared" si="3"/>
        <v>2223</v>
      </c>
      <c r="K68" s="79">
        <f t="shared" si="4"/>
        <v>2223</v>
      </c>
      <c r="L68" s="121"/>
    </row>
    <row r="69" spans="2:12" x14ac:dyDescent="0.35">
      <c r="B69" s="111">
        <f t="shared" si="0"/>
        <v>59</v>
      </c>
      <c r="C69" s="64" t="s">
        <v>184</v>
      </c>
      <c r="D69" s="77" t="s">
        <v>25</v>
      </c>
      <c r="E69" s="78">
        <f>10.22*0.75</f>
        <v>7.6650000000000009</v>
      </c>
      <c r="F69" s="65"/>
      <c r="G69" s="65"/>
      <c r="H69" s="65">
        <f t="shared" si="5"/>
        <v>0</v>
      </c>
      <c r="I69" s="79">
        <f t="shared" si="2"/>
        <v>0</v>
      </c>
      <c r="J69" s="79">
        <f t="shared" si="3"/>
        <v>0</v>
      </c>
      <c r="K69" s="79">
        <f t="shared" si="4"/>
        <v>0</v>
      </c>
      <c r="L69" s="121"/>
    </row>
    <row r="70" spans="2:12" ht="31" x14ac:dyDescent="0.35">
      <c r="B70" s="111">
        <f t="shared" si="0"/>
        <v>60</v>
      </c>
      <c r="C70" s="64" t="s">
        <v>194</v>
      </c>
      <c r="D70" s="77" t="s">
        <v>25</v>
      </c>
      <c r="E70" s="78">
        <f>10.22*0.48</f>
        <v>4.9055999999999997</v>
      </c>
      <c r="F70" s="65">
        <f>1973*0.15</f>
        <v>295.95</v>
      </c>
      <c r="G70" s="65">
        <f>1500*0.15</f>
        <v>225</v>
      </c>
      <c r="H70" s="65">
        <f t="shared" si="5"/>
        <v>520.95000000000005</v>
      </c>
      <c r="I70" s="79">
        <f t="shared" si="2"/>
        <v>1451.81</v>
      </c>
      <c r="J70" s="79">
        <f t="shared" si="3"/>
        <v>1103.76</v>
      </c>
      <c r="K70" s="79">
        <f t="shared" si="4"/>
        <v>2555.5699999999997</v>
      </c>
      <c r="L70" s="121"/>
    </row>
    <row r="71" spans="2:12" x14ac:dyDescent="0.35">
      <c r="B71" s="111">
        <f t="shared" si="0"/>
        <v>61</v>
      </c>
      <c r="C71" s="64" t="s">
        <v>20</v>
      </c>
      <c r="D71" s="77" t="s">
        <v>26</v>
      </c>
      <c r="E71" s="78">
        <f>0.34*E66*0.1</f>
        <v>0.4148</v>
      </c>
      <c r="F71" s="65"/>
      <c r="G71" s="65">
        <v>5860</v>
      </c>
      <c r="H71" s="65">
        <f t="shared" si="5"/>
        <v>5860</v>
      </c>
      <c r="I71" s="79">
        <f t="shared" si="2"/>
        <v>0</v>
      </c>
      <c r="J71" s="79">
        <f t="shared" si="3"/>
        <v>2430.73</v>
      </c>
      <c r="K71" s="79">
        <f t="shared" si="4"/>
        <v>2430.73</v>
      </c>
      <c r="L71" s="121"/>
    </row>
    <row r="72" spans="2:12" x14ac:dyDescent="0.35">
      <c r="B72" s="111">
        <f t="shared" si="0"/>
        <v>62</v>
      </c>
      <c r="C72" s="80" t="s">
        <v>159</v>
      </c>
      <c r="D72" s="77" t="s">
        <v>26</v>
      </c>
      <c r="E72" s="78">
        <f>E71*1.02</f>
        <v>0.42309600000000003</v>
      </c>
      <c r="F72" s="65">
        <v>6700</v>
      </c>
      <c r="G72" s="65"/>
      <c r="H72" s="65">
        <f t="shared" si="5"/>
        <v>6700</v>
      </c>
      <c r="I72" s="79">
        <f t="shared" si="2"/>
        <v>2834.74</v>
      </c>
      <c r="J72" s="79">
        <f t="shared" si="3"/>
        <v>0</v>
      </c>
      <c r="K72" s="79">
        <f t="shared" si="4"/>
        <v>2834.74</v>
      </c>
      <c r="L72" s="121"/>
    </row>
    <row r="73" spans="2:12" x14ac:dyDescent="0.35">
      <c r="B73" s="111">
        <f t="shared" si="0"/>
        <v>63</v>
      </c>
      <c r="C73" s="64" t="s">
        <v>28</v>
      </c>
      <c r="D73" s="77" t="s">
        <v>26</v>
      </c>
      <c r="E73" s="78">
        <f>10.22*0.8/10</f>
        <v>0.81759999999999999</v>
      </c>
      <c r="F73" s="65"/>
      <c r="G73" s="65">
        <v>5860</v>
      </c>
      <c r="H73" s="65">
        <f t="shared" si="5"/>
        <v>5860</v>
      </c>
      <c r="I73" s="79">
        <f t="shared" si="2"/>
        <v>0</v>
      </c>
      <c r="J73" s="79">
        <f t="shared" si="3"/>
        <v>4791.1400000000003</v>
      </c>
      <c r="K73" s="79">
        <f t="shared" si="4"/>
        <v>4791.1400000000003</v>
      </c>
      <c r="L73" s="121"/>
    </row>
    <row r="74" spans="2:12" x14ac:dyDescent="0.35">
      <c r="B74" s="111">
        <f t="shared" si="0"/>
        <v>64</v>
      </c>
      <c r="C74" s="80" t="s">
        <v>29</v>
      </c>
      <c r="D74" s="77" t="s">
        <v>26</v>
      </c>
      <c r="E74" s="78">
        <f>E73*1.02</f>
        <v>0.83395200000000003</v>
      </c>
      <c r="F74" s="65">
        <v>7100</v>
      </c>
      <c r="G74" s="65"/>
      <c r="H74" s="65">
        <f t="shared" si="5"/>
        <v>7100</v>
      </c>
      <c r="I74" s="79">
        <f t="shared" si="2"/>
        <v>5921.06</v>
      </c>
      <c r="J74" s="79">
        <f t="shared" si="3"/>
        <v>0</v>
      </c>
      <c r="K74" s="79">
        <f t="shared" si="4"/>
        <v>5921.06</v>
      </c>
      <c r="L74" s="121"/>
    </row>
    <row r="75" spans="2:12" x14ac:dyDescent="0.35">
      <c r="B75" s="111">
        <f t="shared" si="0"/>
        <v>65</v>
      </c>
      <c r="C75" s="80" t="s">
        <v>30</v>
      </c>
      <c r="D75" s="77" t="s">
        <v>31</v>
      </c>
      <c r="E75" s="78">
        <f>31.39*1.22</f>
        <v>38.2958</v>
      </c>
      <c r="F75" s="65">
        <v>118.9</v>
      </c>
      <c r="G75" s="65"/>
      <c r="H75" s="65">
        <f t="shared" si="5"/>
        <v>118.9</v>
      </c>
      <c r="I75" s="79">
        <f t="shared" si="2"/>
        <v>4553.37</v>
      </c>
      <c r="J75" s="79">
        <f t="shared" si="3"/>
        <v>0</v>
      </c>
      <c r="K75" s="79">
        <f t="shared" si="4"/>
        <v>4553.37</v>
      </c>
      <c r="L75" s="121"/>
    </row>
    <row r="76" spans="2:12" x14ac:dyDescent="0.35">
      <c r="B76" s="111">
        <f t="shared" si="0"/>
        <v>66</v>
      </c>
      <c r="C76" s="64" t="s">
        <v>189</v>
      </c>
      <c r="D76" s="77" t="s">
        <v>27</v>
      </c>
      <c r="E76" s="78">
        <v>12.2</v>
      </c>
      <c r="F76" s="65"/>
      <c r="G76" s="65">
        <v>2928</v>
      </c>
      <c r="H76" s="65">
        <f t="shared" si="5"/>
        <v>2928</v>
      </c>
      <c r="I76" s="79">
        <f t="shared" si="2"/>
        <v>0</v>
      </c>
      <c r="J76" s="79">
        <f t="shared" si="3"/>
        <v>35721.599999999999</v>
      </c>
      <c r="K76" s="79">
        <f t="shared" si="4"/>
        <v>35721.599999999999</v>
      </c>
      <c r="L76" s="121"/>
    </row>
    <row r="77" spans="2:12" ht="31" x14ac:dyDescent="0.35">
      <c r="B77" s="111">
        <f t="shared" ref="B77:B140" si="6">B76+1</f>
        <v>67</v>
      </c>
      <c r="C77" s="80" t="s">
        <v>195</v>
      </c>
      <c r="D77" s="77" t="s">
        <v>27</v>
      </c>
      <c r="E77" s="78">
        <f>E76*1.1</f>
        <v>13.42</v>
      </c>
      <c r="F77" s="65">
        <v>855</v>
      </c>
      <c r="G77" s="112"/>
      <c r="H77" s="65">
        <f t="shared" si="5"/>
        <v>855</v>
      </c>
      <c r="I77" s="79">
        <f t="shared" ref="I77:I140" si="7">ROUND(F77*E77,2)</f>
        <v>11474.1</v>
      </c>
      <c r="J77" s="79">
        <f t="shared" ref="J77:J140" si="8">ROUND(G77*E77,2)</f>
        <v>0</v>
      </c>
      <c r="K77" s="79">
        <f t="shared" ref="K77:K140" si="9">I77+J77</f>
        <v>11474.1</v>
      </c>
      <c r="L77" s="121"/>
    </row>
    <row r="78" spans="2:12" ht="33" x14ac:dyDescent="0.35">
      <c r="B78" s="111">
        <f t="shared" si="6"/>
        <v>68</v>
      </c>
      <c r="C78" s="64" t="s">
        <v>355</v>
      </c>
      <c r="D78" s="81" t="s">
        <v>26</v>
      </c>
      <c r="E78" s="78">
        <v>92.4</v>
      </c>
      <c r="F78" s="65"/>
      <c r="G78" s="65">
        <v>439</v>
      </c>
      <c r="H78" s="65">
        <f t="shared" si="5"/>
        <v>439</v>
      </c>
      <c r="I78" s="79">
        <f t="shared" si="7"/>
        <v>0</v>
      </c>
      <c r="J78" s="79">
        <f t="shared" si="8"/>
        <v>40563.599999999999</v>
      </c>
      <c r="K78" s="79">
        <f t="shared" si="9"/>
        <v>40563.599999999999</v>
      </c>
      <c r="L78" s="121"/>
    </row>
    <row r="79" spans="2:12" x14ac:dyDescent="0.35">
      <c r="B79" s="111">
        <f t="shared" si="6"/>
        <v>69</v>
      </c>
      <c r="C79" s="98" t="s">
        <v>190</v>
      </c>
      <c r="D79" s="103" t="s">
        <v>32</v>
      </c>
      <c r="E79" s="100">
        <v>1</v>
      </c>
      <c r="F79" s="101"/>
      <c r="G79" s="101"/>
      <c r="H79" s="101">
        <f t="shared" ref="H79:H142" si="10">F79+G79</f>
        <v>0</v>
      </c>
      <c r="I79" s="101">
        <f t="shared" si="7"/>
        <v>0</v>
      </c>
      <c r="J79" s="101">
        <f t="shared" si="8"/>
        <v>0</v>
      </c>
      <c r="K79" s="101">
        <f t="shared" si="9"/>
        <v>0</v>
      </c>
      <c r="L79" s="121"/>
    </row>
    <row r="80" spans="2:12" ht="31" x14ac:dyDescent="0.35">
      <c r="B80" s="111">
        <f t="shared" si="6"/>
        <v>70</v>
      </c>
      <c r="C80" s="64" t="s">
        <v>348</v>
      </c>
      <c r="D80" s="81" t="s">
        <v>26</v>
      </c>
      <c r="E80" s="78">
        <f>19.02*0.9</f>
        <v>17.117999999999999</v>
      </c>
      <c r="F80" s="65"/>
      <c r="G80" s="65">
        <v>300</v>
      </c>
      <c r="H80" s="65">
        <f t="shared" si="10"/>
        <v>300</v>
      </c>
      <c r="I80" s="79">
        <f t="shared" si="7"/>
        <v>0</v>
      </c>
      <c r="J80" s="79">
        <f t="shared" si="8"/>
        <v>5135.3999999999996</v>
      </c>
      <c r="K80" s="79">
        <f t="shared" si="9"/>
        <v>5135.3999999999996</v>
      </c>
      <c r="L80" s="121"/>
    </row>
    <row r="81" spans="2:12" x14ac:dyDescent="0.35">
      <c r="B81" s="111">
        <f t="shared" si="6"/>
        <v>71</v>
      </c>
      <c r="C81" s="64" t="s">
        <v>19</v>
      </c>
      <c r="D81" s="81" t="s">
        <v>26</v>
      </c>
      <c r="E81" s="78">
        <f>E80/97*3</f>
        <v>0.52942268041237106</v>
      </c>
      <c r="F81" s="65"/>
      <c r="G81" s="65">
        <v>1500</v>
      </c>
      <c r="H81" s="65">
        <f t="shared" si="10"/>
        <v>1500</v>
      </c>
      <c r="I81" s="79">
        <f t="shared" si="7"/>
        <v>0</v>
      </c>
      <c r="J81" s="79">
        <f t="shared" si="8"/>
        <v>794.13</v>
      </c>
      <c r="K81" s="79">
        <f t="shared" si="9"/>
        <v>794.13</v>
      </c>
      <c r="L81" s="121"/>
    </row>
    <row r="82" spans="2:12" x14ac:dyDescent="0.35">
      <c r="B82" s="111">
        <f t="shared" si="6"/>
        <v>72</v>
      </c>
      <c r="C82" s="64" t="s">
        <v>67</v>
      </c>
      <c r="D82" s="81" t="s">
        <v>25</v>
      </c>
      <c r="E82" s="78">
        <f>(3.14*2.4^2)/4</f>
        <v>4.5216000000000003</v>
      </c>
      <c r="F82" s="65"/>
      <c r="G82" s="65"/>
      <c r="H82" s="65">
        <f t="shared" si="10"/>
        <v>0</v>
      </c>
      <c r="I82" s="79">
        <f t="shared" si="7"/>
        <v>0</v>
      </c>
      <c r="J82" s="79">
        <f t="shared" si="8"/>
        <v>0</v>
      </c>
      <c r="K82" s="79">
        <f t="shared" si="9"/>
        <v>0</v>
      </c>
      <c r="L82" s="121"/>
    </row>
    <row r="83" spans="2:12" x14ac:dyDescent="0.35">
      <c r="B83" s="111">
        <f t="shared" si="6"/>
        <v>73</v>
      </c>
      <c r="C83" s="64" t="s">
        <v>68</v>
      </c>
      <c r="D83" s="81" t="s">
        <v>26</v>
      </c>
      <c r="E83" s="78">
        <f>E82*0.1</f>
        <v>0.45216000000000006</v>
      </c>
      <c r="F83" s="65"/>
      <c r="G83" s="65">
        <v>5860</v>
      </c>
      <c r="H83" s="65">
        <f t="shared" si="10"/>
        <v>5860</v>
      </c>
      <c r="I83" s="79">
        <f t="shared" si="7"/>
        <v>0</v>
      </c>
      <c r="J83" s="79">
        <f t="shared" si="8"/>
        <v>2649.66</v>
      </c>
      <c r="K83" s="79">
        <f t="shared" si="9"/>
        <v>2649.66</v>
      </c>
      <c r="L83" s="121"/>
    </row>
    <row r="84" spans="2:12" x14ac:dyDescent="0.35">
      <c r="B84" s="111">
        <f t="shared" si="6"/>
        <v>74</v>
      </c>
      <c r="C84" s="80" t="s">
        <v>159</v>
      </c>
      <c r="D84" s="81" t="s">
        <v>26</v>
      </c>
      <c r="E84" s="78">
        <f>E83*1.02</f>
        <v>0.46120320000000009</v>
      </c>
      <c r="F84" s="65">
        <v>6700</v>
      </c>
      <c r="G84" s="65"/>
      <c r="H84" s="65">
        <f t="shared" si="10"/>
        <v>6700</v>
      </c>
      <c r="I84" s="79">
        <f t="shared" si="7"/>
        <v>3090.06</v>
      </c>
      <c r="J84" s="79">
        <f t="shared" si="8"/>
        <v>0</v>
      </c>
      <c r="K84" s="79">
        <f t="shared" si="9"/>
        <v>3090.06</v>
      </c>
      <c r="L84" s="121"/>
    </row>
    <row r="85" spans="2:12" x14ac:dyDescent="0.35">
      <c r="B85" s="111">
        <f t="shared" si="6"/>
        <v>75</v>
      </c>
      <c r="C85" s="64" t="s">
        <v>151</v>
      </c>
      <c r="D85" s="81" t="s">
        <v>25</v>
      </c>
      <c r="E85" s="78">
        <f>(3.14*2^2)/4</f>
        <v>3.14</v>
      </c>
      <c r="F85" s="65">
        <v>68.5</v>
      </c>
      <c r="G85" s="65">
        <v>150</v>
      </c>
      <c r="H85" s="65">
        <f t="shared" si="10"/>
        <v>218.5</v>
      </c>
      <c r="I85" s="79">
        <f t="shared" si="7"/>
        <v>215.09</v>
      </c>
      <c r="J85" s="79">
        <f t="shared" si="8"/>
        <v>471</v>
      </c>
      <c r="K85" s="79">
        <f t="shared" si="9"/>
        <v>686.09</v>
      </c>
      <c r="L85" s="121"/>
    </row>
    <row r="86" spans="2:12" ht="31" x14ac:dyDescent="0.35">
      <c r="B86" s="111">
        <f t="shared" si="6"/>
        <v>76</v>
      </c>
      <c r="C86" s="64" t="s">
        <v>152</v>
      </c>
      <c r="D86" s="81" t="s">
        <v>25</v>
      </c>
      <c r="E86" s="78">
        <f>E85</f>
        <v>3.14</v>
      </c>
      <c r="F86" s="65">
        <v>927</v>
      </c>
      <c r="G86" s="65">
        <v>400</v>
      </c>
      <c r="H86" s="65">
        <f t="shared" si="10"/>
        <v>1327</v>
      </c>
      <c r="I86" s="79">
        <f t="shared" si="7"/>
        <v>2910.78</v>
      </c>
      <c r="J86" s="79">
        <f t="shared" si="8"/>
        <v>1256</v>
      </c>
      <c r="K86" s="79">
        <f t="shared" si="9"/>
        <v>4166.7800000000007</v>
      </c>
      <c r="L86" s="121"/>
    </row>
    <row r="87" spans="2:12" ht="31" x14ac:dyDescent="0.35">
      <c r="B87" s="111">
        <f t="shared" si="6"/>
        <v>77</v>
      </c>
      <c r="C87" s="64" t="s">
        <v>107</v>
      </c>
      <c r="D87" s="81" t="s">
        <v>32</v>
      </c>
      <c r="E87" s="78">
        <v>1</v>
      </c>
      <c r="F87" s="65"/>
      <c r="G87" s="65">
        <v>5662</v>
      </c>
      <c r="H87" s="65">
        <f t="shared" si="10"/>
        <v>5662</v>
      </c>
      <c r="I87" s="79">
        <f t="shared" si="7"/>
        <v>0</v>
      </c>
      <c r="J87" s="79">
        <f t="shared" si="8"/>
        <v>5662</v>
      </c>
      <c r="K87" s="79">
        <f t="shared" si="9"/>
        <v>5662</v>
      </c>
      <c r="L87" s="121"/>
    </row>
    <row r="88" spans="2:12" x14ac:dyDescent="0.35">
      <c r="B88" s="111">
        <f t="shared" si="6"/>
        <v>78</v>
      </c>
      <c r="C88" s="82" t="s">
        <v>71</v>
      </c>
      <c r="D88" s="81" t="s">
        <v>32</v>
      </c>
      <c r="E88" s="78">
        <v>1</v>
      </c>
      <c r="F88" s="65">
        <f>7000*1.2</f>
        <v>8400</v>
      </c>
      <c r="G88" s="65"/>
      <c r="H88" s="65">
        <f t="shared" si="10"/>
        <v>8400</v>
      </c>
      <c r="I88" s="79">
        <f t="shared" si="7"/>
        <v>8400</v>
      </c>
      <c r="J88" s="79">
        <f t="shared" si="8"/>
        <v>0</v>
      </c>
      <c r="K88" s="79">
        <f t="shared" si="9"/>
        <v>8400</v>
      </c>
      <c r="L88" s="121"/>
    </row>
    <row r="89" spans="2:12" x14ac:dyDescent="0.35">
      <c r="B89" s="111">
        <f t="shared" si="6"/>
        <v>79</v>
      </c>
      <c r="C89" s="82" t="s">
        <v>101</v>
      </c>
      <c r="D89" s="81" t="s">
        <v>26</v>
      </c>
      <c r="E89" s="78">
        <f>((3.14*2^2)/4*0.02)*1.02</f>
        <v>6.4056000000000016E-2</v>
      </c>
      <c r="F89" s="65">
        <v>7300</v>
      </c>
      <c r="G89" s="65"/>
      <c r="H89" s="65">
        <f t="shared" si="10"/>
        <v>7300</v>
      </c>
      <c r="I89" s="79">
        <f t="shared" si="7"/>
        <v>467.61</v>
      </c>
      <c r="J89" s="79">
        <f t="shared" si="8"/>
        <v>0</v>
      </c>
      <c r="K89" s="79">
        <f t="shared" si="9"/>
        <v>467.61</v>
      </c>
      <c r="L89" s="121"/>
    </row>
    <row r="90" spans="2:12" ht="31" x14ac:dyDescent="0.35">
      <c r="B90" s="111">
        <f t="shared" si="6"/>
        <v>80</v>
      </c>
      <c r="C90" s="64" t="s">
        <v>179</v>
      </c>
      <c r="D90" s="81" t="s">
        <v>26</v>
      </c>
      <c r="E90" s="78">
        <v>1.2</v>
      </c>
      <c r="F90" s="65"/>
      <c r="G90" s="65">
        <v>5860</v>
      </c>
      <c r="H90" s="65">
        <f t="shared" si="10"/>
        <v>5860</v>
      </c>
      <c r="I90" s="79">
        <f t="shared" si="7"/>
        <v>0</v>
      </c>
      <c r="J90" s="79">
        <f t="shared" si="8"/>
        <v>7032</v>
      </c>
      <c r="K90" s="79">
        <f t="shared" si="9"/>
        <v>7032</v>
      </c>
      <c r="L90" s="121"/>
    </row>
    <row r="91" spans="2:12" x14ac:dyDescent="0.35">
      <c r="B91" s="111">
        <f t="shared" si="6"/>
        <v>81</v>
      </c>
      <c r="C91" s="82" t="s">
        <v>75</v>
      </c>
      <c r="D91" s="81" t="s">
        <v>26</v>
      </c>
      <c r="E91" s="78">
        <f>E90*1.02</f>
        <v>1.224</v>
      </c>
      <c r="F91" s="65">
        <v>7100</v>
      </c>
      <c r="G91" s="65"/>
      <c r="H91" s="65">
        <f t="shared" si="10"/>
        <v>7100</v>
      </c>
      <c r="I91" s="79">
        <f t="shared" si="7"/>
        <v>8690.4</v>
      </c>
      <c r="J91" s="79">
        <f t="shared" si="8"/>
        <v>0</v>
      </c>
      <c r="K91" s="79">
        <f t="shared" si="9"/>
        <v>8690.4</v>
      </c>
      <c r="L91" s="121"/>
    </row>
    <row r="92" spans="2:12" ht="31" x14ac:dyDescent="0.35">
      <c r="B92" s="111">
        <f t="shared" si="6"/>
        <v>82</v>
      </c>
      <c r="C92" s="64" t="s">
        <v>78</v>
      </c>
      <c r="D92" s="81" t="s">
        <v>32</v>
      </c>
      <c r="E92" s="78">
        <v>3</v>
      </c>
      <c r="F92" s="65"/>
      <c r="G92" s="65">
        <v>5662</v>
      </c>
      <c r="H92" s="65">
        <f t="shared" si="10"/>
        <v>5662</v>
      </c>
      <c r="I92" s="79">
        <f t="shared" si="7"/>
        <v>0</v>
      </c>
      <c r="J92" s="79">
        <f t="shared" si="8"/>
        <v>16986</v>
      </c>
      <c r="K92" s="79">
        <f t="shared" si="9"/>
        <v>16986</v>
      </c>
      <c r="L92" s="121"/>
    </row>
    <row r="93" spans="2:12" x14ac:dyDescent="0.35">
      <c r="B93" s="111">
        <f t="shared" si="6"/>
        <v>83</v>
      </c>
      <c r="C93" s="82" t="s">
        <v>110</v>
      </c>
      <c r="D93" s="81" t="s">
        <v>32</v>
      </c>
      <c r="E93" s="78">
        <v>2</v>
      </c>
      <c r="F93" s="65">
        <f>4500*1.2</f>
        <v>5400</v>
      </c>
      <c r="G93" s="65"/>
      <c r="H93" s="65">
        <f t="shared" si="10"/>
        <v>5400</v>
      </c>
      <c r="I93" s="79">
        <f t="shared" si="7"/>
        <v>10800</v>
      </c>
      <c r="J93" s="79">
        <f t="shared" si="8"/>
        <v>0</v>
      </c>
      <c r="K93" s="79">
        <f t="shared" si="9"/>
        <v>10800</v>
      </c>
      <c r="L93" s="121"/>
    </row>
    <row r="94" spans="2:12" x14ac:dyDescent="0.35">
      <c r="B94" s="111">
        <f t="shared" si="6"/>
        <v>84</v>
      </c>
      <c r="C94" s="82" t="s">
        <v>81</v>
      </c>
      <c r="D94" s="81" t="s">
        <v>32</v>
      </c>
      <c r="E94" s="78">
        <v>1</v>
      </c>
      <c r="F94" s="65">
        <f>900*1.2</f>
        <v>1080</v>
      </c>
      <c r="G94" s="65"/>
      <c r="H94" s="65">
        <f t="shared" si="10"/>
        <v>1080</v>
      </c>
      <c r="I94" s="79">
        <f t="shared" si="7"/>
        <v>1080</v>
      </c>
      <c r="J94" s="79">
        <f t="shared" si="8"/>
        <v>0</v>
      </c>
      <c r="K94" s="79">
        <f t="shared" si="9"/>
        <v>1080</v>
      </c>
      <c r="L94" s="121"/>
    </row>
    <row r="95" spans="2:12" ht="31" x14ac:dyDescent="0.35">
      <c r="B95" s="111">
        <f t="shared" si="6"/>
        <v>85</v>
      </c>
      <c r="C95" s="64" t="s">
        <v>85</v>
      </c>
      <c r="D95" s="81" t="s">
        <v>32</v>
      </c>
      <c r="E95" s="78">
        <v>1</v>
      </c>
      <c r="F95" s="65"/>
      <c r="G95" s="65">
        <v>2500</v>
      </c>
      <c r="H95" s="65">
        <f t="shared" si="10"/>
        <v>2500</v>
      </c>
      <c r="I95" s="79">
        <f t="shared" si="7"/>
        <v>0</v>
      </c>
      <c r="J95" s="79">
        <f t="shared" si="8"/>
        <v>2500</v>
      </c>
      <c r="K95" s="79">
        <f t="shared" si="9"/>
        <v>2500</v>
      </c>
      <c r="L95" s="121"/>
    </row>
    <row r="96" spans="2:12" x14ac:dyDescent="0.35">
      <c r="B96" s="111">
        <f t="shared" si="6"/>
        <v>86</v>
      </c>
      <c r="C96" s="82" t="s">
        <v>154</v>
      </c>
      <c r="D96" s="81" t="s">
        <v>32</v>
      </c>
      <c r="E96" s="78">
        <v>1</v>
      </c>
      <c r="F96" s="65">
        <f>5500*1.2</f>
        <v>6600</v>
      </c>
      <c r="G96" s="65"/>
      <c r="H96" s="65">
        <f t="shared" si="10"/>
        <v>6600</v>
      </c>
      <c r="I96" s="79">
        <f t="shared" si="7"/>
        <v>6600</v>
      </c>
      <c r="J96" s="79">
        <f t="shared" si="8"/>
        <v>0</v>
      </c>
      <c r="K96" s="79">
        <f t="shared" si="9"/>
        <v>6600</v>
      </c>
      <c r="L96" s="121"/>
    </row>
    <row r="97" spans="2:12" ht="31" x14ac:dyDescent="0.35">
      <c r="B97" s="111">
        <f t="shared" si="6"/>
        <v>87</v>
      </c>
      <c r="C97" s="64" t="s">
        <v>316</v>
      </c>
      <c r="D97" s="81" t="s">
        <v>32</v>
      </c>
      <c r="E97" s="78">
        <v>1</v>
      </c>
      <c r="F97" s="65"/>
      <c r="G97" s="65"/>
      <c r="H97" s="65">
        <f t="shared" si="10"/>
        <v>0</v>
      </c>
      <c r="I97" s="79">
        <f t="shared" si="7"/>
        <v>0</v>
      </c>
      <c r="J97" s="79">
        <f t="shared" si="8"/>
        <v>0</v>
      </c>
      <c r="K97" s="79">
        <f t="shared" si="9"/>
        <v>0</v>
      </c>
      <c r="L97" s="121"/>
    </row>
    <row r="98" spans="2:12" x14ac:dyDescent="0.35">
      <c r="B98" s="111">
        <f t="shared" si="6"/>
        <v>88</v>
      </c>
      <c r="C98" s="82" t="s">
        <v>84</v>
      </c>
      <c r="D98" s="81" t="s">
        <v>32</v>
      </c>
      <c r="E98" s="78">
        <v>1</v>
      </c>
      <c r="F98" s="65">
        <v>1300</v>
      </c>
      <c r="G98" s="65">
        <v>990</v>
      </c>
      <c r="H98" s="65">
        <f t="shared" si="10"/>
        <v>2290</v>
      </c>
      <c r="I98" s="79">
        <f t="shared" si="7"/>
        <v>1300</v>
      </c>
      <c r="J98" s="79">
        <f t="shared" si="8"/>
        <v>990</v>
      </c>
      <c r="K98" s="79">
        <f t="shared" si="9"/>
        <v>2290</v>
      </c>
      <c r="L98" s="121"/>
    </row>
    <row r="99" spans="2:12" x14ac:dyDescent="0.35">
      <c r="B99" s="111">
        <f t="shared" si="6"/>
        <v>89</v>
      </c>
      <c r="C99" s="80" t="s">
        <v>301</v>
      </c>
      <c r="D99" s="81" t="s">
        <v>32</v>
      </c>
      <c r="E99" s="78">
        <v>1</v>
      </c>
      <c r="F99" s="65">
        <v>6000</v>
      </c>
      <c r="G99" s="65">
        <v>1464.09</v>
      </c>
      <c r="H99" s="65">
        <f t="shared" si="10"/>
        <v>7464.09</v>
      </c>
      <c r="I99" s="79">
        <f t="shared" si="7"/>
        <v>6000</v>
      </c>
      <c r="J99" s="79">
        <f t="shared" si="8"/>
        <v>1464.09</v>
      </c>
      <c r="K99" s="79">
        <f t="shared" si="9"/>
        <v>7464.09</v>
      </c>
      <c r="L99" s="121"/>
    </row>
    <row r="100" spans="2:12" ht="31" x14ac:dyDescent="0.35">
      <c r="B100" s="111">
        <f t="shared" si="6"/>
        <v>90</v>
      </c>
      <c r="C100" s="64" t="s">
        <v>156</v>
      </c>
      <c r="D100" s="81" t="s">
        <v>25</v>
      </c>
      <c r="E100" s="78">
        <f>(3.14*1.68)*1.96</f>
        <v>10.339392</v>
      </c>
      <c r="F100" s="65">
        <v>68.5</v>
      </c>
      <c r="G100" s="65">
        <v>150</v>
      </c>
      <c r="H100" s="65">
        <f t="shared" si="10"/>
        <v>218.5</v>
      </c>
      <c r="I100" s="79">
        <f t="shared" si="7"/>
        <v>708.25</v>
      </c>
      <c r="J100" s="79">
        <f t="shared" si="8"/>
        <v>1550.91</v>
      </c>
      <c r="K100" s="79">
        <f t="shared" si="9"/>
        <v>2259.16</v>
      </c>
      <c r="L100" s="121"/>
    </row>
    <row r="101" spans="2:12" ht="46.5" x14ac:dyDescent="0.35">
      <c r="B101" s="111">
        <f t="shared" si="6"/>
        <v>91</v>
      </c>
      <c r="C101" s="64" t="s">
        <v>157</v>
      </c>
      <c r="D101" s="81" t="s">
        <v>25</v>
      </c>
      <c r="E101" s="78">
        <f>(3.14*1.68)*1.96</f>
        <v>10.339392</v>
      </c>
      <c r="F101" s="65">
        <v>927</v>
      </c>
      <c r="G101" s="65">
        <v>400</v>
      </c>
      <c r="H101" s="65">
        <f t="shared" si="10"/>
        <v>1327</v>
      </c>
      <c r="I101" s="79">
        <f t="shared" si="7"/>
        <v>9584.6200000000008</v>
      </c>
      <c r="J101" s="79">
        <f t="shared" si="8"/>
        <v>4135.76</v>
      </c>
      <c r="K101" s="79">
        <f t="shared" si="9"/>
        <v>13720.380000000001</v>
      </c>
      <c r="L101" s="121"/>
    </row>
    <row r="102" spans="2:12" x14ac:dyDescent="0.35">
      <c r="B102" s="111">
        <f t="shared" si="6"/>
        <v>92</v>
      </c>
      <c r="C102" s="64" t="s">
        <v>302</v>
      </c>
      <c r="D102" s="81" t="s">
        <v>32</v>
      </c>
      <c r="E102" s="78">
        <v>1</v>
      </c>
      <c r="F102" s="68"/>
      <c r="G102" s="65"/>
      <c r="H102" s="65">
        <f t="shared" si="10"/>
        <v>0</v>
      </c>
      <c r="I102" s="79">
        <f t="shared" si="7"/>
        <v>0</v>
      </c>
      <c r="J102" s="79">
        <f t="shared" si="8"/>
        <v>0</v>
      </c>
      <c r="K102" s="79">
        <f t="shared" si="9"/>
        <v>0</v>
      </c>
      <c r="L102" s="121"/>
    </row>
    <row r="103" spans="2:12" x14ac:dyDescent="0.35">
      <c r="B103" s="111">
        <f t="shared" si="6"/>
        <v>93</v>
      </c>
      <c r="C103" s="82" t="s">
        <v>303</v>
      </c>
      <c r="D103" s="81" t="s">
        <v>31</v>
      </c>
      <c r="E103" s="78">
        <v>13.84</v>
      </c>
      <c r="F103" s="68">
        <v>71</v>
      </c>
      <c r="G103" s="65">
        <v>97.61</v>
      </c>
      <c r="H103" s="65">
        <f t="shared" si="10"/>
        <v>168.61</v>
      </c>
      <c r="I103" s="79">
        <f t="shared" si="7"/>
        <v>982.64</v>
      </c>
      <c r="J103" s="79">
        <f t="shared" si="8"/>
        <v>1350.92</v>
      </c>
      <c r="K103" s="79">
        <f t="shared" si="9"/>
        <v>2333.56</v>
      </c>
      <c r="L103" s="121"/>
    </row>
    <row r="104" spans="2:12" x14ac:dyDescent="0.35">
      <c r="B104" s="111">
        <f t="shared" si="6"/>
        <v>94</v>
      </c>
      <c r="C104" s="64" t="s">
        <v>93</v>
      </c>
      <c r="D104" s="81" t="s">
        <v>32</v>
      </c>
      <c r="E104" s="78">
        <v>1</v>
      </c>
      <c r="F104" s="68"/>
      <c r="G104" s="65"/>
      <c r="H104" s="65">
        <f t="shared" si="10"/>
        <v>0</v>
      </c>
      <c r="I104" s="79">
        <f t="shared" si="7"/>
        <v>0</v>
      </c>
      <c r="J104" s="79">
        <f t="shared" si="8"/>
        <v>0</v>
      </c>
      <c r="K104" s="79">
        <f t="shared" si="9"/>
        <v>0</v>
      </c>
      <c r="L104" s="121"/>
    </row>
    <row r="105" spans="2:12" x14ac:dyDescent="0.35">
      <c r="B105" s="111">
        <f t="shared" si="6"/>
        <v>95</v>
      </c>
      <c r="C105" s="82" t="s">
        <v>94</v>
      </c>
      <c r="D105" s="81" t="s">
        <v>31</v>
      </c>
      <c r="E105" s="78">
        <v>0.82</v>
      </c>
      <c r="F105" s="68">
        <v>71</v>
      </c>
      <c r="G105" s="65">
        <v>97.61</v>
      </c>
      <c r="H105" s="65">
        <f t="shared" si="10"/>
        <v>168.61</v>
      </c>
      <c r="I105" s="79">
        <f t="shared" si="7"/>
        <v>58.22</v>
      </c>
      <c r="J105" s="79">
        <f t="shared" si="8"/>
        <v>80.040000000000006</v>
      </c>
      <c r="K105" s="79">
        <f t="shared" si="9"/>
        <v>138.26</v>
      </c>
      <c r="L105" s="121"/>
    </row>
    <row r="106" spans="2:12" ht="31" x14ac:dyDescent="0.35">
      <c r="B106" s="111">
        <f t="shared" si="6"/>
        <v>96</v>
      </c>
      <c r="C106" s="64" t="s">
        <v>304</v>
      </c>
      <c r="D106" s="81" t="s">
        <v>32</v>
      </c>
      <c r="E106" s="78">
        <v>2</v>
      </c>
      <c r="F106" s="68"/>
      <c r="G106" s="65">
        <v>1464</v>
      </c>
      <c r="H106" s="65">
        <f t="shared" si="10"/>
        <v>1464</v>
      </c>
      <c r="I106" s="79">
        <f t="shared" si="7"/>
        <v>0</v>
      </c>
      <c r="J106" s="79">
        <f t="shared" si="8"/>
        <v>2928</v>
      </c>
      <c r="K106" s="79">
        <f t="shared" si="9"/>
        <v>2928</v>
      </c>
      <c r="L106" s="121"/>
    </row>
    <row r="107" spans="2:12" x14ac:dyDescent="0.35">
      <c r="B107" s="111">
        <f t="shared" si="6"/>
        <v>97</v>
      </c>
      <c r="C107" s="64" t="s">
        <v>305</v>
      </c>
      <c r="D107" s="81"/>
      <c r="E107" s="78"/>
      <c r="F107" s="68"/>
      <c r="G107" s="65"/>
      <c r="H107" s="65">
        <f t="shared" si="10"/>
        <v>0</v>
      </c>
      <c r="I107" s="79">
        <f t="shared" si="7"/>
        <v>0</v>
      </c>
      <c r="J107" s="79">
        <f t="shared" si="8"/>
        <v>0</v>
      </c>
      <c r="K107" s="79">
        <f t="shared" si="9"/>
        <v>0</v>
      </c>
      <c r="L107" s="121">
        <v>1</v>
      </c>
    </row>
    <row r="108" spans="2:12" ht="31" x14ac:dyDescent="0.35">
      <c r="B108" s="111">
        <f t="shared" si="6"/>
        <v>98</v>
      </c>
      <c r="C108" s="80" t="s">
        <v>360</v>
      </c>
      <c r="D108" s="81" t="s">
        <v>32</v>
      </c>
      <c r="E108" s="78">
        <v>1</v>
      </c>
      <c r="F108" s="68">
        <v>2263</v>
      </c>
      <c r="G108" s="65">
        <v>1700</v>
      </c>
      <c r="H108" s="65">
        <f t="shared" si="10"/>
        <v>3963</v>
      </c>
      <c r="I108" s="79">
        <f t="shared" si="7"/>
        <v>2263</v>
      </c>
      <c r="J108" s="79">
        <f t="shared" si="8"/>
        <v>1700</v>
      </c>
      <c r="K108" s="79">
        <f t="shared" si="9"/>
        <v>3963</v>
      </c>
      <c r="L108" s="121"/>
    </row>
    <row r="109" spans="2:12" ht="31" x14ac:dyDescent="0.35">
      <c r="B109" s="111">
        <f t="shared" si="6"/>
        <v>99</v>
      </c>
      <c r="C109" s="80" t="s">
        <v>361</v>
      </c>
      <c r="D109" s="81" t="s">
        <v>32</v>
      </c>
      <c r="E109" s="78">
        <v>1</v>
      </c>
      <c r="F109" s="68">
        <v>1303</v>
      </c>
      <c r="G109" s="65">
        <v>1700</v>
      </c>
      <c r="H109" s="65">
        <f t="shared" si="10"/>
        <v>3003</v>
      </c>
      <c r="I109" s="79">
        <f t="shared" si="7"/>
        <v>1303</v>
      </c>
      <c r="J109" s="79">
        <f t="shared" si="8"/>
        <v>1700</v>
      </c>
      <c r="K109" s="79">
        <f t="shared" si="9"/>
        <v>3003</v>
      </c>
      <c r="L109" s="121"/>
    </row>
    <row r="110" spans="2:12" ht="31" x14ac:dyDescent="0.35">
      <c r="B110" s="111">
        <f t="shared" si="6"/>
        <v>100</v>
      </c>
      <c r="C110" s="80" t="s">
        <v>63</v>
      </c>
      <c r="D110" s="81" t="s">
        <v>27</v>
      </c>
      <c r="E110" s="78">
        <f>0.86*1.1</f>
        <v>0.94600000000000006</v>
      </c>
      <c r="F110" s="68">
        <v>855</v>
      </c>
      <c r="G110" s="65">
        <v>1700</v>
      </c>
      <c r="H110" s="65">
        <f t="shared" si="10"/>
        <v>2555</v>
      </c>
      <c r="I110" s="79">
        <f t="shared" si="7"/>
        <v>808.83</v>
      </c>
      <c r="J110" s="79">
        <f t="shared" si="8"/>
        <v>1608.2</v>
      </c>
      <c r="K110" s="79">
        <f t="shared" si="9"/>
        <v>2417.0300000000002</v>
      </c>
      <c r="L110" s="121"/>
    </row>
    <row r="111" spans="2:12" ht="33" x14ac:dyDescent="0.35">
      <c r="B111" s="111">
        <f t="shared" si="6"/>
        <v>101</v>
      </c>
      <c r="C111" s="64" t="s">
        <v>362</v>
      </c>
      <c r="D111" s="81" t="s">
        <v>26</v>
      </c>
      <c r="E111" s="78">
        <v>8.6</v>
      </c>
      <c r="F111" s="68"/>
      <c r="G111" s="65">
        <v>439</v>
      </c>
      <c r="H111" s="65">
        <f t="shared" si="10"/>
        <v>439</v>
      </c>
      <c r="I111" s="79">
        <f t="shared" si="7"/>
        <v>0</v>
      </c>
      <c r="J111" s="79">
        <f t="shared" si="8"/>
        <v>3775.4</v>
      </c>
      <c r="K111" s="79">
        <f t="shared" si="9"/>
        <v>3775.4</v>
      </c>
      <c r="L111" s="121"/>
    </row>
    <row r="112" spans="2:12" ht="30" x14ac:dyDescent="0.35">
      <c r="B112" s="111">
        <f t="shared" si="6"/>
        <v>102</v>
      </c>
      <c r="C112" s="98" t="s">
        <v>197</v>
      </c>
      <c r="D112" s="99" t="s">
        <v>27</v>
      </c>
      <c r="E112" s="100">
        <v>5.4</v>
      </c>
      <c r="F112" s="104"/>
      <c r="G112" s="101"/>
      <c r="H112" s="101">
        <f t="shared" si="10"/>
        <v>0</v>
      </c>
      <c r="I112" s="101">
        <f t="shared" si="7"/>
        <v>0</v>
      </c>
      <c r="J112" s="101">
        <f t="shared" si="8"/>
        <v>0</v>
      </c>
      <c r="K112" s="101">
        <f t="shared" si="9"/>
        <v>0</v>
      </c>
      <c r="L112" s="102"/>
    </row>
    <row r="113" spans="2:12" ht="31" x14ac:dyDescent="0.35">
      <c r="B113" s="111">
        <f t="shared" si="6"/>
        <v>103</v>
      </c>
      <c r="C113" s="64" t="s">
        <v>348</v>
      </c>
      <c r="D113" s="77" t="s">
        <v>26</v>
      </c>
      <c r="E113" s="78">
        <f>27.3*0.97</f>
        <v>26.481000000000002</v>
      </c>
      <c r="F113" s="68"/>
      <c r="G113" s="65">
        <v>300</v>
      </c>
      <c r="H113" s="65">
        <f t="shared" si="10"/>
        <v>300</v>
      </c>
      <c r="I113" s="79">
        <f t="shared" si="7"/>
        <v>0</v>
      </c>
      <c r="J113" s="79">
        <f t="shared" si="8"/>
        <v>7944.3</v>
      </c>
      <c r="K113" s="79">
        <f t="shared" si="9"/>
        <v>7944.3</v>
      </c>
      <c r="L113" s="121"/>
    </row>
    <row r="114" spans="2:12" x14ac:dyDescent="0.35">
      <c r="B114" s="111">
        <f t="shared" si="6"/>
        <v>104</v>
      </c>
      <c r="C114" s="64" t="s">
        <v>19</v>
      </c>
      <c r="D114" s="77" t="s">
        <v>26</v>
      </c>
      <c r="E114" s="78">
        <f>E113/97*3</f>
        <v>0.81900000000000006</v>
      </c>
      <c r="F114" s="68"/>
      <c r="G114" s="65">
        <v>1500</v>
      </c>
      <c r="H114" s="65">
        <f t="shared" si="10"/>
        <v>1500</v>
      </c>
      <c r="I114" s="79">
        <f t="shared" si="7"/>
        <v>0</v>
      </c>
      <c r="J114" s="79">
        <f t="shared" si="8"/>
        <v>1228.5</v>
      </c>
      <c r="K114" s="79">
        <f t="shared" si="9"/>
        <v>1228.5</v>
      </c>
      <c r="L114" s="121"/>
    </row>
    <row r="115" spans="2:12" x14ac:dyDescent="0.35">
      <c r="B115" s="111">
        <f t="shared" si="6"/>
        <v>105</v>
      </c>
      <c r="C115" s="64" t="s">
        <v>184</v>
      </c>
      <c r="D115" s="77" t="s">
        <v>25</v>
      </c>
      <c r="E115" s="78">
        <f>E112*0.75</f>
        <v>4.0500000000000007</v>
      </c>
      <c r="F115" s="68"/>
      <c r="G115" s="65"/>
      <c r="H115" s="65">
        <f t="shared" si="10"/>
        <v>0</v>
      </c>
      <c r="I115" s="79">
        <f t="shared" si="7"/>
        <v>0</v>
      </c>
      <c r="J115" s="79">
        <f t="shared" si="8"/>
        <v>0</v>
      </c>
      <c r="K115" s="79">
        <f t="shared" si="9"/>
        <v>0</v>
      </c>
      <c r="L115" s="121"/>
    </row>
    <row r="116" spans="2:12" ht="31" x14ac:dyDescent="0.35">
      <c r="B116" s="111">
        <f t="shared" si="6"/>
        <v>106</v>
      </c>
      <c r="C116" s="64" t="s">
        <v>194</v>
      </c>
      <c r="D116" s="77" t="s">
        <v>25</v>
      </c>
      <c r="E116" s="78">
        <f>E112*0.48</f>
        <v>2.5920000000000001</v>
      </c>
      <c r="F116" s="65">
        <f>1973*0.15</f>
        <v>295.95</v>
      </c>
      <c r="G116" s="65">
        <f>1500*0.15</f>
        <v>225</v>
      </c>
      <c r="H116" s="65">
        <f t="shared" si="10"/>
        <v>520.95000000000005</v>
      </c>
      <c r="I116" s="79">
        <f t="shared" si="7"/>
        <v>767.1</v>
      </c>
      <c r="J116" s="79">
        <f t="shared" si="8"/>
        <v>583.20000000000005</v>
      </c>
      <c r="K116" s="79">
        <f t="shared" si="9"/>
        <v>1350.3000000000002</v>
      </c>
      <c r="L116" s="121"/>
    </row>
    <row r="117" spans="2:12" x14ac:dyDescent="0.35">
      <c r="B117" s="111">
        <f t="shared" si="6"/>
        <v>107</v>
      </c>
      <c r="C117" s="64" t="s">
        <v>20</v>
      </c>
      <c r="D117" s="77" t="s">
        <v>26</v>
      </c>
      <c r="E117" s="78">
        <f>0.34*0.54</f>
        <v>0.18360000000000001</v>
      </c>
      <c r="F117" s="65"/>
      <c r="G117" s="65">
        <v>5860</v>
      </c>
      <c r="H117" s="65">
        <f t="shared" si="10"/>
        <v>5860</v>
      </c>
      <c r="I117" s="79">
        <f t="shared" si="7"/>
        <v>0</v>
      </c>
      <c r="J117" s="79">
        <f t="shared" si="8"/>
        <v>1075.9000000000001</v>
      </c>
      <c r="K117" s="79">
        <f t="shared" si="9"/>
        <v>1075.9000000000001</v>
      </c>
      <c r="L117" s="121"/>
    </row>
    <row r="118" spans="2:12" x14ac:dyDescent="0.35">
      <c r="B118" s="111">
        <f t="shared" si="6"/>
        <v>108</v>
      </c>
      <c r="C118" s="80" t="s">
        <v>159</v>
      </c>
      <c r="D118" s="77" t="s">
        <v>26</v>
      </c>
      <c r="E118" s="78">
        <f>E117*1.02</f>
        <v>0.18727200000000002</v>
      </c>
      <c r="F118" s="65">
        <v>6700</v>
      </c>
      <c r="G118" s="65"/>
      <c r="H118" s="65">
        <f t="shared" si="10"/>
        <v>6700</v>
      </c>
      <c r="I118" s="79">
        <f t="shared" si="7"/>
        <v>1254.72</v>
      </c>
      <c r="J118" s="79">
        <f t="shared" si="8"/>
        <v>0</v>
      </c>
      <c r="K118" s="79">
        <f t="shared" si="9"/>
        <v>1254.72</v>
      </c>
      <c r="L118" s="121"/>
    </row>
    <row r="119" spans="2:12" x14ac:dyDescent="0.35">
      <c r="B119" s="111">
        <f t="shared" si="6"/>
        <v>109</v>
      </c>
      <c r="C119" s="64" t="s">
        <v>28</v>
      </c>
      <c r="D119" s="77" t="s">
        <v>26</v>
      </c>
      <c r="E119" s="78">
        <f>0.8*E112*0.1</f>
        <v>0.43200000000000005</v>
      </c>
      <c r="F119" s="65"/>
      <c r="G119" s="65">
        <v>5860</v>
      </c>
      <c r="H119" s="65">
        <f t="shared" si="10"/>
        <v>5860</v>
      </c>
      <c r="I119" s="79">
        <f t="shared" si="7"/>
        <v>0</v>
      </c>
      <c r="J119" s="79">
        <f t="shared" si="8"/>
        <v>2531.52</v>
      </c>
      <c r="K119" s="79">
        <f t="shared" si="9"/>
        <v>2531.52</v>
      </c>
      <c r="L119" s="121"/>
    </row>
    <row r="120" spans="2:12" x14ac:dyDescent="0.35">
      <c r="B120" s="111">
        <f t="shared" si="6"/>
        <v>110</v>
      </c>
      <c r="C120" s="80" t="s">
        <v>29</v>
      </c>
      <c r="D120" s="77" t="s">
        <v>26</v>
      </c>
      <c r="E120" s="78">
        <f>E119*1.02</f>
        <v>0.44064000000000003</v>
      </c>
      <c r="F120" s="65">
        <v>7100</v>
      </c>
      <c r="G120" s="65"/>
      <c r="H120" s="65">
        <f t="shared" si="10"/>
        <v>7100</v>
      </c>
      <c r="I120" s="79">
        <f t="shared" si="7"/>
        <v>3128.54</v>
      </c>
      <c r="J120" s="79">
        <f t="shared" si="8"/>
        <v>0</v>
      </c>
      <c r="K120" s="79">
        <f t="shared" si="9"/>
        <v>3128.54</v>
      </c>
      <c r="L120" s="121"/>
    </row>
    <row r="121" spans="2:12" x14ac:dyDescent="0.35">
      <c r="B121" s="111">
        <f t="shared" si="6"/>
        <v>111</v>
      </c>
      <c r="C121" s="80" t="s">
        <v>30</v>
      </c>
      <c r="D121" s="77" t="s">
        <v>31</v>
      </c>
      <c r="E121" s="78">
        <f>31.39*E112*0.1</f>
        <v>16.950600000000001</v>
      </c>
      <c r="F121" s="65">
        <v>118.9</v>
      </c>
      <c r="G121" s="65"/>
      <c r="H121" s="65">
        <f t="shared" si="10"/>
        <v>118.9</v>
      </c>
      <c r="I121" s="79">
        <f t="shared" si="7"/>
        <v>2015.43</v>
      </c>
      <c r="J121" s="79">
        <f t="shared" si="8"/>
        <v>0</v>
      </c>
      <c r="K121" s="79">
        <f t="shared" si="9"/>
        <v>2015.43</v>
      </c>
      <c r="L121" s="121"/>
    </row>
    <row r="122" spans="2:12" x14ac:dyDescent="0.35">
      <c r="B122" s="111">
        <f t="shared" si="6"/>
        <v>112</v>
      </c>
      <c r="C122" s="64" t="s">
        <v>189</v>
      </c>
      <c r="D122" s="77" t="s">
        <v>27</v>
      </c>
      <c r="E122" s="78">
        <v>5.4</v>
      </c>
      <c r="F122" s="65"/>
      <c r="G122" s="65">
        <v>2928</v>
      </c>
      <c r="H122" s="65">
        <f t="shared" si="10"/>
        <v>2928</v>
      </c>
      <c r="I122" s="79">
        <f t="shared" si="7"/>
        <v>0</v>
      </c>
      <c r="J122" s="79">
        <f t="shared" si="8"/>
        <v>15811.2</v>
      </c>
      <c r="K122" s="79">
        <f t="shared" si="9"/>
        <v>15811.2</v>
      </c>
      <c r="L122" s="121"/>
    </row>
    <row r="123" spans="2:12" ht="31" x14ac:dyDescent="0.35">
      <c r="B123" s="111">
        <f t="shared" si="6"/>
        <v>113</v>
      </c>
      <c r="C123" s="80" t="s">
        <v>195</v>
      </c>
      <c r="D123" s="77" t="s">
        <v>27</v>
      </c>
      <c r="E123" s="78">
        <f>E122*1.1</f>
        <v>5.9400000000000013</v>
      </c>
      <c r="F123" s="65">
        <v>855</v>
      </c>
      <c r="G123" s="65"/>
      <c r="H123" s="65">
        <f t="shared" si="10"/>
        <v>855</v>
      </c>
      <c r="I123" s="79">
        <f t="shared" si="7"/>
        <v>5078.7</v>
      </c>
      <c r="J123" s="79">
        <f t="shared" si="8"/>
        <v>0</v>
      </c>
      <c r="K123" s="79">
        <f t="shared" si="9"/>
        <v>5078.7</v>
      </c>
      <c r="L123" s="121"/>
    </row>
    <row r="124" spans="2:12" ht="33" x14ac:dyDescent="0.35">
      <c r="B124" s="111">
        <f t="shared" si="6"/>
        <v>114</v>
      </c>
      <c r="C124" s="64" t="s">
        <v>355</v>
      </c>
      <c r="D124" s="81" t="s">
        <v>26</v>
      </c>
      <c r="E124" s="78">
        <v>6.85</v>
      </c>
      <c r="F124" s="65"/>
      <c r="G124" s="65">
        <v>439</v>
      </c>
      <c r="H124" s="65">
        <f t="shared" si="10"/>
        <v>439</v>
      </c>
      <c r="I124" s="79">
        <f t="shared" si="7"/>
        <v>0</v>
      </c>
      <c r="J124" s="79">
        <f t="shared" si="8"/>
        <v>3007.15</v>
      </c>
      <c r="K124" s="79">
        <f t="shared" si="9"/>
        <v>3007.15</v>
      </c>
      <c r="L124" s="121"/>
    </row>
    <row r="125" spans="2:12" x14ac:dyDescent="0.35">
      <c r="B125" s="111">
        <f t="shared" si="6"/>
        <v>115</v>
      </c>
      <c r="C125" s="98" t="s">
        <v>191</v>
      </c>
      <c r="D125" s="103" t="s">
        <v>32</v>
      </c>
      <c r="E125" s="100">
        <v>1</v>
      </c>
      <c r="F125" s="101"/>
      <c r="G125" s="101"/>
      <c r="H125" s="101">
        <f t="shared" si="10"/>
        <v>0</v>
      </c>
      <c r="I125" s="101">
        <f t="shared" si="7"/>
        <v>0</v>
      </c>
      <c r="J125" s="101">
        <f t="shared" si="8"/>
        <v>0</v>
      </c>
      <c r="K125" s="101">
        <f t="shared" si="9"/>
        <v>0</v>
      </c>
      <c r="L125" s="121"/>
    </row>
    <row r="126" spans="2:12" ht="31" x14ac:dyDescent="0.35">
      <c r="B126" s="111">
        <f t="shared" si="6"/>
        <v>116</v>
      </c>
      <c r="C126" s="64" t="s">
        <v>348</v>
      </c>
      <c r="D126" s="81" t="s">
        <v>26</v>
      </c>
      <c r="E126" s="78">
        <f>7.123*3*0.9</f>
        <v>19.232099999999999</v>
      </c>
      <c r="F126" s="65"/>
      <c r="G126" s="65">
        <v>300</v>
      </c>
      <c r="H126" s="65">
        <f t="shared" si="10"/>
        <v>300</v>
      </c>
      <c r="I126" s="79">
        <f t="shared" si="7"/>
        <v>0</v>
      </c>
      <c r="J126" s="79">
        <f t="shared" si="8"/>
        <v>5769.63</v>
      </c>
      <c r="K126" s="79">
        <f t="shared" si="9"/>
        <v>5769.63</v>
      </c>
      <c r="L126" s="121"/>
    </row>
    <row r="127" spans="2:12" x14ac:dyDescent="0.35">
      <c r="B127" s="111">
        <f t="shared" si="6"/>
        <v>117</v>
      </c>
      <c r="C127" s="64" t="s">
        <v>19</v>
      </c>
      <c r="D127" s="81" t="s">
        <v>26</v>
      </c>
      <c r="E127" s="78">
        <f>E126/97*3</f>
        <v>0.59480721649484525</v>
      </c>
      <c r="F127" s="65"/>
      <c r="G127" s="65">
        <v>1500</v>
      </c>
      <c r="H127" s="65">
        <f t="shared" si="10"/>
        <v>1500</v>
      </c>
      <c r="I127" s="79">
        <f t="shared" si="7"/>
        <v>0</v>
      </c>
      <c r="J127" s="79">
        <f t="shared" si="8"/>
        <v>892.21</v>
      </c>
      <c r="K127" s="79">
        <f t="shared" si="9"/>
        <v>892.21</v>
      </c>
      <c r="L127" s="121"/>
    </row>
    <row r="128" spans="2:12" x14ac:dyDescent="0.35">
      <c r="B128" s="111">
        <f t="shared" si="6"/>
        <v>118</v>
      </c>
      <c r="C128" s="64" t="s">
        <v>67</v>
      </c>
      <c r="D128" s="81" t="s">
        <v>25</v>
      </c>
      <c r="E128" s="78">
        <f>(3.14*2.4^2)/4</f>
        <v>4.5216000000000003</v>
      </c>
      <c r="F128" s="65"/>
      <c r="G128" s="65"/>
      <c r="H128" s="65">
        <f t="shared" si="10"/>
        <v>0</v>
      </c>
      <c r="I128" s="79">
        <f t="shared" si="7"/>
        <v>0</v>
      </c>
      <c r="J128" s="79">
        <f t="shared" si="8"/>
        <v>0</v>
      </c>
      <c r="K128" s="79">
        <f t="shared" si="9"/>
        <v>0</v>
      </c>
      <c r="L128" s="121"/>
    </row>
    <row r="129" spans="2:12" x14ac:dyDescent="0.35">
      <c r="B129" s="111">
        <f t="shared" si="6"/>
        <v>119</v>
      </c>
      <c r="C129" s="64" t="s">
        <v>68</v>
      </c>
      <c r="D129" s="81" t="s">
        <v>26</v>
      </c>
      <c r="E129" s="78">
        <f>E128*0.1</f>
        <v>0.45216000000000006</v>
      </c>
      <c r="F129" s="65"/>
      <c r="G129" s="65">
        <v>5860</v>
      </c>
      <c r="H129" s="65">
        <f t="shared" si="10"/>
        <v>5860</v>
      </c>
      <c r="I129" s="79">
        <f t="shared" si="7"/>
        <v>0</v>
      </c>
      <c r="J129" s="79">
        <f t="shared" si="8"/>
        <v>2649.66</v>
      </c>
      <c r="K129" s="79">
        <f t="shared" si="9"/>
        <v>2649.66</v>
      </c>
      <c r="L129" s="121"/>
    </row>
    <row r="130" spans="2:12" x14ac:dyDescent="0.35">
      <c r="B130" s="111">
        <f t="shared" si="6"/>
        <v>120</v>
      </c>
      <c r="C130" s="80" t="s">
        <v>159</v>
      </c>
      <c r="D130" s="81" t="s">
        <v>26</v>
      </c>
      <c r="E130" s="78">
        <f>E129*1.02</f>
        <v>0.46120320000000009</v>
      </c>
      <c r="F130" s="65">
        <v>6700</v>
      </c>
      <c r="G130" s="65"/>
      <c r="H130" s="65">
        <f t="shared" si="10"/>
        <v>6700</v>
      </c>
      <c r="I130" s="79">
        <f t="shared" si="7"/>
        <v>3090.06</v>
      </c>
      <c r="J130" s="79">
        <f t="shared" si="8"/>
        <v>0</v>
      </c>
      <c r="K130" s="79">
        <f t="shared" si="9"/>
        <v>3090.06</v>
      </c>
      <c r="L130" s="121"/>
    </row>
    <row r="131" spans="2:12" x14ac:dyDescent="0.35">
      <c r="B131" s="111">
        <f t="shared" si="6"/>
        <v>121</v>
      </c>
      <c r="C131" s="64" t="s">
        <v>151</v>
      </c>
      <c r="D131" s="81" t="s">
        <v>25</v>
      </c>
      <c r="E131" s="78">
        <f>(3.14*2^2)/4</f>
        <v>3.14</v>
      </c>
      <c r="F131" s="65">
        <v>68.5</v>
      </c>
      <c r="G131" s="65">
        <v>150</v>
      </c>
      <c r="H131" s="65">
        <f t="shared" si="10"/>
        <v>218.5</v>
      </c>
      <c r="I131" s="79">
        <f t="shared" si="7"/>
        <v>215.09</v>
      </c>
      <c r="J131" s="79">
        <f t="shared" si="8"/>
        <v>471</v>
      </c>
      <c r="K131" s="79">
        <f t="shared" si="9"/>
        <v>686.09</v>
      </c>
      <c r="L131" s="121"/>
    </row>
    <row r="132" spans="2:12" ht="31" x14ac:dyDescent="0.35">
      <c r="B132" s="111">
        <f t="shared" si="6"/>
        <v>122</v>
      </c>
      <c r="C132" s="64" t="s">
        <v>152</v>
      </c>
      <c r="D132" s="81" t="s">
        <v>25</v>
      </c>
      <c r="E132" s="78">
        <f>E131</f>
        <v>3.14</v>
      </c>
      <c r="F132" s="65">
        <v>927</v>
      </c>
      <c r="G132" s="65">
        <v>400</v>
      </c>
      <c r="H132" s="65">
        <f t="shared" si="10"/>
        <v>1327</v>
      </c>
      <c r="I132" s="79">
        <f t="shared" si="7"/>
        <v>2910.78</v>
      </c>
      <c r="J132" s="79">
        <f t="shared" si="8"/>
        <v>1256</v>
      </c>
      <c r="K132" s="79">
        <f t="shared" si="9"/>
        <v>4166.7800000000007</v>
      </c>
      <c r="L132" s="121"/>
    </row>
    <row r="133" spans="2:12" ht="31" x14ac:dyDescent="0.35">
      <c r="B133" s="111">
        <f t="shared" si="6"/>
        <v>123</v>
      </c>
      <c r="C133" s="64" t="s">
        <v>107</v>
      </c>
      <c r="D133" s="81" t="s">
        <v>32</v>
      </c>
      <c r="E133" s="78">
        <v>1</v>
      </c>
      <c r="F133" s="65"/>
      <c r="G133" s="65">
        <v>5662</v>
      </c>
      <c r="H133" s="65">
        <f t="shared" si="10"/>
        <v>5662</v>
      </c>
      <c r="I133" s="79">
        <f t="shared" si="7"/>
        <v>0</v>
      </c>
      <c r="J133" s="79">
        <f t="shared" si="8"/>
        <v>5662</v>
      </c>
      <c r="K133" s="79">
        <f t="shared" si="9"/>
        <v>5662</v>
      </c>
      <c r="L133" s="121"/>
    </row>
    <row r="134" spans="2:12" x14ac:dyDescent="0.35">
      <c r="B134" s="111">
        <f t="shared" si="6"/>
        <v>124</v>
      </c>
      <c r="C134" s="82" t="s">
        <v>108</v>
      </c>
      <c r="D134" s="81" t="s">
        <v>32</v>
      </c>
      <c r="E134" s="78">
        <v>1</v>
      </c>
      <c r="F134" s="65">
        <f>6000*1.2</f>
        <v>7200</v>
      </c>
      <c r="G134" s="65"/>
      <c r="H134" s="65">
        <f t="shared" si="10"/>
        <v>7200</v>
      </c>
      <c r="I134" s="79">
        <f t="shared" si="7"/>
        <v>7200</v>
      </c>
      <c r="J134" s="79">
        <f t="shared" si="8"/>
        <v>0</v>
      </c>
      <c r="K134" s="79">
        <f t="shared" si="9"/>
        <v>7200</v>
      </c>
      <c r="L134" s="121"/>
    </row>
    <row r="135" spans="2:12" x14ac:dyDescent="0.35">
      <c r="B135" s="111">
        <f t="shared" si="6"/>
        <v>125</v>
      </c>
      <c r="C135" s="82" t="s">
        <v>101</v>
      </c>
      <c r="D135" s="81" t="s">
        <v>26</v>
      </c>
      <c r="E135" s="78">
        <f>((3.14*2^2)/4*0.02)*1.02</f>
        <v>6.4056000000000016E-2</v>
      </c>
      <c r="F135" s="65">
        <v>7300</v>
      </c>
      <c r="G135" s="65"/>
      <c r="H135" s="65">
        <f t="shared" si="10"/>
        <v>7300</v>
      </c>
      <c r="I135" s="79">
        <f t="shared" si="7"/>
        <v>467.61</v>
      </c>
      <c r="J135" s="79">
        <f t="shared" si="8"/>
        <v>0</v>
      </c>
      <c r="K135" s="79">
        <f t="shared" si="9"/>
        <v>467.61</v>
      </c>
      <c r="L135" s="121"/>
    </row>
    <row r="136" spans="2:12" ht="31" x14ac:dyDescent="0.35">
      <c r="B136" s="111">
        <f t="shared" si="6"/>
        <v>126</v>
      </c>
      <c r="C136" s="64" t="s">
        <v>179</v>
      </c>
      <c r="D136" s="81" t="s">
        <v>26</v>
      </c>
      <c r="E136" s="78">
        <v>1.2</v>
      </c>
      <c r="F136" s="65"/>
      <c r="G136" s="65">
        <v>5860</v>
      </c>
      <c r="H136" s="65">
        <f t="shared" si="10"/>
        <v>5860</v>
      </c>
      <c r="I136" s="79">
        <f t="shared" si="7"/>
        <v>0</v>
      </c>
      <c r="J136" s="79">
        <f t="shared" si="8"/>
        <v>7032</v>
      </c>
      <c r="K136" s="79">
        <f t="shared" si="9"/>
        <v>7032</v>
      </c>
      <c r="L136" s="121"/>
    </row>
    <row r="137" spans="2:12" x14ac:dyDescent="0.35">
      <c r="B137" s="111">
        <f t="shared" si="6"/>
        <v>127</v>
      </c>
      <c r="C137" s="82" t="s">
        <v>75</v>
      </c>
      <c r="D137" s="81" t="s">
        <v>26</v>
      </c>
      <c r="E137" s="78">
        <f>E136*1.02</f>
        <v>1.224</v>
      </c>
      <c r="F137" s="65">
        <v>7100</v>
      </c>
      <c r="G137" s="65"/>
      <c r="H137" s="65">
        <f t="shared" si="10"/>
        <v>7100</v>
      </c>
      <c r="I137" s="79">
        <f t="shared" si="7"/>
        <v>8690.4</v>
      </c>
      <c r="J137" s="79">
        <f t="shared" si="8"/>
        <v>0</v>
      </c>
      <c r="K137" s="79">
        <f t="shared" si="9"/>
        <v>8690.4</v>
      </c>
      <c r="L137" s="121"/>
    </row>
    <row r="138" spans="2:12" ht="31" x14ac:dyDescent="0.35">
      <c r="B138" s="111">
        <f t="shared" si="6"/>
        <v>128</v>
      </c>
      <c r="C138" s="64" t="s">
        <v>78</v>
      </c>
      <c r="D138" s="81" t="s">
        <v>32</v>
      </c>
      <c r="E138" s="78">
        <v>4</v>
      </c>
      <c r="F138" s="65"/>
      <c r="G138" s="65">
        <v>5662</v>
      </c>
      <c r="H138" s="65">
        <f t="shared" si="10"/>
        <v>5662</v>
      </c>
      <c r="I138" s="79">
        <f t="shared" si="7"/>
        <v>0</v>
      </c>
      <c r="J138" s="79">
        <f t="shared" si="8"/>
        <v>22648</v>
      </c>
      <c r="K138" s="79">
        <f t="shared" si="9"/>
        <v>22648</v>
      </c>
      <c r="L138" s="121"/>
    </row>
    <row r="139" spans="2:12" x14ac:dyDescent="0.35">
      <c r="B139" s="111">
        <f t="shared" si="6"/>
        <v>129</v>
      </c>
      <c r="C139" s="82" t="s">
        <v>109</v>
      </c>
      <c r="D139" s="81" t="s">
        <v>32</v>
      </c>
      <c r="E139" s="78">
        <v>1</v>
      </c>
      <c r="F139" s="65">
        <f>6000*1.2</f>
        <v>7200</v>
      </c>
      <c r="G139" s="65"/>
      <c r="H139" s="65">
        <f t="shared" si="10"/>
        <v>7200</v>
      </c>
      <c r="I139" s="79">
        <f t="shared" si="7"/>
        <v>7200</v>
      </c>
      <c r="J139" s="79">
        <f t="shared" si="8"/>
        <v>0</v>
      </c>
      <c r="K139" s="79">
        <f t="shared" si="9"/>
        <v>7200</v>
      </c>
      <c r="L139" s="121"/>
    </row>
    <row r="140" spans="2:12" x14ac:dyDescent="0.35">
      <c r="B140" s="111">
        <f t="shared" si="6"/>
        <v>130</v>
      </c>
      <c r="C140" s="82" t="s">
        <v>110</v>
      </c>
      <c r="D140" s="81" t="s">
        <v>32</v>
      </c>
      <c r="E140" s="78">
        <v>2</v>
      </c>
      <c r="F140" s="65">
        <f>4500*1.2</f>
        <v>5400</v>
      </c>
      <c r="G140" s="65"/>
      <c r="H140" s="65">
        <f t="shared" si="10"/>
        <v>5400</v>
      </c>
      <c r="I140" s="79">
        <f t="shared" si="7"/>
        <v>10800</v>
      </c>
      <c r="J140" s="79">
        <f t="shared" si="8"/>
        <v>0</v>
      </c>
      <c r="K140" s="79">
        <f t="shared" si="9"/>
        <v>10800</v>
      </c>
      <c r="L140" s="121"/>
    </row>
    <row r="141" spans="2:12" x14ac:dyDescent="0.35">
      <c r="B141" s="111">
        <f t="shared" ref="B141:B204" si="11">B140+1</f>
        <v>131</v>
      </c>
      <c r="C141" s="82" t="s">
        <v>306</v>
      </c>
      <c r="D141" s="81" t="s">
        <v>32</v>
      </c>
      <c r="E141" s="78">
        <v>1</v>
      </c>
      <c r="F141" s="65">
        <f>700*1.2</f>
        <v>840</v>
      </c>
      <c r="G141" s="65"/>
      <c r="H141" s="65">
        <f t="shared" si="10"/>
        <v>840</v>
      </c>
      <c r="I141" s="79">
        <f t="shared" ref="I141:I204" si="12">ROUND(F141*E141,2)</f>
        <v>840</v>
      </c>
      <c r="J141" s="79">
        <f t="shared" ref="J141:J204" si="13">ROUND(G141*E141,2)</f>
        <v>0</v>
      </c>
      <c r="K141" s="79">
        <f t="shared" ref="K141:K204" si="14">I141+J141</f>
        <v>840</v>
      </c>
      <c r="L141" s="121"/>
    </row>
    <row r="142" spans="2:12" ht="31" x14ac:dyDescent="0.35">
      <c r="B142" s="111">
        <f t="shared" si="11"/>
        <v>132</v>
      </c>
      <c r="C142" s="64" t="s">
        <v>85</v>
      </c>
      <c r="D142" s="81" t="s">
        <v>32</v>
      </c>
      <c r="E142" s="78">
        <v>1</v>
      </c>
      <c r="F142" s="65"/>
      <c r="G142" s="65">
        <v>2500</v>
      </c>
      <c r="H142" s="65">
        <f t="shared" si="10"/>
        <v>2500</v>
      </c>
      <c r="I142" s="79">
        <f t="shared" si="12"/>
        <v>0</v>
      </c>
      <c r="J142" s="79">
        <f t="shared" si="13"/>
        <v>2500</v>
      </c>
      <c r="K142" s="79">
        <f t="shared" si="14"/>
        <v>2500</v>
      </c>
      <c r="L142" s="121"/>
    </row>
    <row r="143" spans="2:12" x14ac:dyDescent="0.35">
      <c r="B143" s="111">
        <f t="shared" si="11"/>
        <v>133</v>
      </c>
      <c r="C143" s="82" t="s">
        <v>154</v>
      </c>
      <c r="D143" s="81" t="s">
        <v>32</v>
      </c>
      <c r="E143" s="78">
        <v>1</v>
      </c>
      <c r="F143" s="65">
        <f>5500*1.2</f>
        <v>6600</v>
      </c>
      <c r="G143" s="65"/>
      <c r="H143" s="65">
        <f t="shared" ref="H143:H206" si="15">F143+G143</f>
        <v>6600</v>
      </c>
      <c r="I143" s="79">
        <f t="shared" si="12"/>
        <v>6600</v>
      </c>
      <c r="J143" s="79">
        <f t="shared" si="13"/>
        <v>0</v>
      </c>
      <c r="K143" s="79">
        <f t="shared" si="14"/>
        <v>6600</v>
      </c>
      <c r="L143" s="121"/>
    </row>
    <row r="144" spans="2:12" ht="31" x14ac:dyDescent="0.35">
      <c r="B144" s="111">
        <f t="shared" si="11"/>
        <v>134</v>
      </c>
      <c r="C144" s="64" t="s">
        <v>316</v>
      </c>
      <c r="D144" s="81" t="s">
        <v>32</v>
      </c>
      <c r="E144" s="78">
        <v>1</v>
      </c>
      <c r="F144" s="65"/>
      <c r="G144" s="65"/>
      <c r="H144" s="65">
        <f t="shared" si="15"/>
        <v>0</v>
      </c>
      <c r="I144" s="79">
        <f t="shared" si="12"/>
        <v>0</v>
      </c>
      <c r="J144" s="79">
        <f t="shared" si="13"/>
        <v>0</v>
      </c>
      <c r="K144" s="79">
        <f t="shared" si="14"/>
        <v>0</v>
      </c>
      <c r="L144" s="121"/>
    </row>
    <row r="145" spans="2:12" x14ac:dyDescent="0.35">
      <c r="B145" s="111">
        <f t="shared" si="11"/>
        <v>135</v>
      </c>
      <c r="C145" s="82" t="s">
        <v>84</v>
      </c>
      <c r="D145" s="81" t="s">
        <v>32</v>
      </c>
      <c r="E145" s="78">
        <v>1</v>
      </c>
      <c r="F145" s="65">
        <v>1300</v>
      </c>
      <c r="G145" s="65">
        <v>990</v>
      </c>
      <c r="H145" s="65">
        <f t="shared" si="15"/>
        <v>2290</v>
      </c>
      <c r="I145" s="79">
        <f t="shared" si="12"/>
        <v>1300</v>
      </c>
      <c r="J145" s="79">
        <f t="shared" si="13"/>
        <v>990</v>
      </c>
      <c r="K145" s="79">
        <f t="shared" si="14"/>
        <v>2290</v>
      </c>
      <c r="L145" s="121"/>
    </row>
    <row r="146" spans="2:12" x14ac:dyDescent="0.35">
      <c r="B146" s="111">
        <f t="shared" si="11"/>
        <v>136</v>
      </c>
      <c r="C146" s="80" t="s">
        <v>301</v>
      </c>
      <c r="D146" s="81" t="s">
        <v>32</v>
      </c>
      <c r="E146" s="78">
        <v>1</v>
      </c>
      <c r="F146" s="65">
        <v>6000</v>
      </c>
      <c r="G146" s="65">
        <v>1464.09</v>
      </c>
      <c r="H146" s="65">
        <f t="shared" si="15"/>
        <v>7464.09</v>
      </c>
      <c r="I146" s="79">
        <f t="shared" si="12"/>
        <v>6000</v>
      </c>
      <c r="J146" s="79">
        <f t="shared" si="13"/>
        <v>1464.09</v>
      </c>
      <c r="K146" s="79">
        <f t="shared" si="14"/>
        <v>7464.09</v>
      </c>
      <c r="L146" s="121"/>
    </row>
    <row r="147" spans="2:12" ht="31" x14ac:dyDescent="0.35">
      <c r="B147" s="111">
        <f t="shared" si="11"/>
        <v>137</v>
      </c>
      <c r="C147" s="64" t="s">
        <v>156</v>
      </c>
      <c r="D147" s="81" t="s">
        <v>25</v>
      </c>
      <c r="E147" s="78">
        <f>(3.14*1.68)*2.82</f>
        <v>14.876064</v>
      </c>
      <c r="F147" s="65">
        <v>68.5</v>
      </c>
      <c r="G147" s="65">
        <v>150</v>
      </c>
      <c r="H147" s="65">
        <f t="shared" si="15"/>
        <v>218.5</v>
      </c>
      <c r="I147" s="79">
        <f t="shared" si="12"/>
        <v>1019.01</v>
      </c>
      <c r="J147" s="79">
        <f t="shared" si="13"/>
        <v>2231.41</v>
      </c>
      <c r="K147" s="79">
        <f t="shared" si="14"/>
        <v>3250.42</v>
      </c>
      <c r="L147" s="121"/>
    </row>
    <row r="148" spans="2:12" ht="46.5" x14ac:dyDescent="0.35">
      <c r="B148" s="111">
        <f t="shared" si="11"/>
        <v>138</v>
      </c>
      <c r="C148" s="64" t="s">
        <v>157</v>
      </c>
      <c r="D148" s="81" t="s">
        <v>25</v>
      </c>
      <c r="E148" s="78">
        <f>(3.14*1.68)*2.82</f>
        <v>14.876064</v>
      </c>
      <c r="F148" s="65">
        <v>927</v>
      </c>
      <c r="G148" s="65">
        <v>400</v>
      </c>
      <c r="H148" s="65">
        <f t="shared" si="15"/>
        <v>1327</v>
      </c>
      <c r="I148" s="79">
        <f t="shared" si="12"/>
        <v>13790.11</v>
      </c>
      <c r="J148" s="79">
        <f t="shared" si="13"/>
        <v>5950.43</v>
      </c>
      <c r="K148" s="79">
        <f t="shared" si="14"/>
        <v>19740.54</v>
      </c>
      <c r="L148" s="121"/>
    </row>
    <row r="149" spans="2:12" x14ac:dyDescent="0.35">
      <c r="B149" s="111">
        <f t="shared" si="11"/>
        <v>139</v>
      </c>
      <c r="C149" s="64" t="s">
        <v>307</v>
      </c>
      <c r="D149" s="81" t="s">
        <v>32</v>
      </c>
      <c r="E149" s="78">
        <v>1</v>
      </c>
      <c r="F149" s="65"/>
      <c r="G149" s="65"/>
      <c r="H149" s="65">
        <f t="shared" si="15"/>
        <v>0</v>
      </c>
      <c r="I149" s="79">
        <f t="shared" si="12"/>
        <v>0</v>
      </c>
      <c r="J149" s="79">
        <f t="shared" si="13"/>
        <v>0</v>
      </c>
      <c r="K149" s="79">
        <f t="shared" si="14"/>
        <v>0</v>
      </c>
      <c r="L149" s="121"/>
    </row>
    <row r="150" spans="2:12" x14ac:dyDescent="0.35">
      <c r="B150" s="111">
        <f t="shared" si="11"/>
        <v>140</v>
      </c>
      <c r="C150" s="82" t="s">
        <v>308</v>
      </c>
      <c r="D150" s="81" t="s">
        <v>31</v>
      </c>
      <c r="E150" s="78">
        <v>23.52</v>
      </c>
      <c r="F150" s="68">
        <v>71</v>
      </c>
      <c r="G150" s="65">
        <v>97.61</v>
      </c>
      <c r="H150" s="65">
        <f t="shared" si="15"/>
        <v>168.61</v>
      </c>
      <c r="I150" s="79">
        <f t="shared" si="12"/>
        <v>1669.92</v>
      </c>
      <c r="J150" s="79">
        <f t="shared" si="13"/>
        <v>2295.79</v>
      </c>
      <c r="K150" s="79">
        <f t="shared" si="14"/>
        <v>3965.71</v>
      </c>
      <c r="L150" s="121"/>
    </row>
    <row r="151" spans="2:12" x14ac:dyDescent="0.35">
      <c r="B151" s="111">
        <f t="shared" si="11"/>
        <v>141</v>
      </c>
      <c r="C151" s="64" t="s">
        <v>93</v>
      </c>
      <c r="D151" s="81" t="s">
        <v>32</v>
      </c>
      <c r="E151" s="78">
        <v>1</v>
      </c>
      <c r="F151" s="65"/>
      <c r="G151" s="65"/>
      <c r="H151" s="65">
        <f t="shared" si="15"/>
        <v>0</v>
      </c>
      <c r="I151" s="79">
        <f t="shared" si="12"/>
        <v>0</v>
      </c>
      <c r="J151" s="79">
        <f t="shared" si="13"/>
        <v>0</v>
      </c>
      <c r="K151" s="79">
        <f t="shared" si="14"/>
        <v>0</v>
      </c>
      <c r="L151" s="121"/>
    </row>
    <row r="152" spans="2:12" x14ac:dyDescent="0.35">
      <c r="B152" s="111">
        <f t="shared" si="11"/>
        <v>142</v>
      </c>
      <c r="C152" s="82" t="s">
        <v>94</v>
      </c>
      <c r="D152" s="81" t="s">
        <v>31</v>
      </c>
      <c r="E152" s="78">
        <v>0.82</v>
      </c>
      <c r="F152" s="68">
        <v>71</v>
      </c>
      <c r="G152" s="65">
        <v>97.61</v>
      </c>
      <c r="H152" s="65">
        <f t="shared" si="15"/>
        <v>168.61</v>
      </c>
      <c r="I152" s="79">
        <f t="shared" si="12"/>
        <v>58.22</v>
      </c>
      <c r="J152" s="79">
        <f t="shared" si="13"/>
        <v>80.040000000000006</v>
      </c>
      <c r="K152" s="79">
        <f t="shared" si="14"/>
        <v>138.26</v>
      </c>
      <c r="L152" s="121"/>
    </row>
    <row r="153" spans="2:12" ht="31" x14ac:dyDescent="0.35">
      <c r="B153" s="111">
        <f t="shared" si="11"/>
        <v>143</v>
      </c>
      <c r="C153" s="64" t="s">
        <v>153</v>
      </c>
      <c r="D153" s="81" t="s">
        <v>32</v>
      </c>
      <c r="E153" s="78">
        <v>3</v>
      </c>
      <c r="F153" s="65"/>
      <c r="G153" s="65">
        <v>1464</v>
      </c>
      <c r="H153" s="65">
        <f t="shared" si="15"/>
        <v>1464</v>
      </c>
      <c r="I153" s="79">
        <f t="shared" si="12"/>
        <v>0</v>
      </c>
      <c r="J153" s="79">
        <f t="shared" si="13"/>
        <v>4392</v>
      </c>
      <c r="K153" s="79">
        <f t="shared" si="14"/>
        <v>4392</v>
      </c>
      <c r="L153" s="121"/>
    </row>
    <row r="154" spans="2:12" x14ac:dyDescent="0.35">
      <c r="B154" s="111">
        <f t="shared" si="11"/>
        <v>144</v>
      </c>
      <c r="C154" s="64" t="s">
        <v>311</v>
      </c>
      <c r="D154" s="81"/>
      <c r="E154" s="78"/>
      <c r="F154" s="65"/>
      <c r="G154" s="65"/>
      <c r="H154" s="65">
        <f t="shared" si="15"/>
        <v>0</v>
      </c>
      <c r="I154" s="79">
        <f t="shared" si="12"/>
        <v>0</v>
      </c>
      <c r="J154" s="79">
        <f t="shared" si="13"/>
        <v>0</v>
      </c>
      <c r="K154" s="79">
        <f t="shared" si="14"/>
        <v>0</v>
      </c>
      <c r="L154" s="121">
        <v>1</v>
      </c>
    </row>
    <row r="155" spans="2:12" ht="31" x14ac:dyDescent="0.35">
      <c r="B155" s="111">
        <f t="shared" si="11"/>
        <v>145</v>
      </c>
      <c r="C155" s="80" t="s">
        <v>309</v>
      </c>
      <c r="D155" s="81" t="s">
        <v>32</v>
      </c>
      <c r="E155" s="78">
        <v>1</v>
      </c>
      <c r="F155" s="65">
        <v>2263</v>
      </c>
      <c r="G155" s="65">
        <v>1700</v>
      </c>
      <c r="H155" s="65">
        <f t="shared" si="15"/>
        <v>3963</v>
      </c>
      <c r="I155" s="79">
        <f t="shared" si="12"/>
        <v>2263</v>
      </c>
      <c r="J155" s="79">
        <f t="shared" si="13"/>
        <v>1700</v>
      </c>
      <c r="K155" s="79">
        <f t="shared" si="14"/>
        <v>3963</v>
      </c>
      <c r="L155" s="121"/>
    </row>
    <row r="156" spans="2:12" ht="31" x14ac:dyDescent="0.35">
      <c r="B156" s="111">
        <f t="shared" si="11"/>
        <v>146</v>
      </c>
      <c r="C156" s="80" t="s">
        <v>310</v>
      </c>
      <c r="D156" s="81" t="s">
        <v>32</v>
      </c>
      <c r="E156" s="78">
        <v>1</v>
      </c>
      <c r="F156" s="65">
        <v>1303</v>
      </c>
      <c r="G156" s="65">
        <v>1700</v>
      </c>
      <c r="H156" s="65">
        <f t="shared" si="15"/>
        <v>3003</v>
      </c>
      <c r="I156" s="79">
        <f t="shared" si="12"/>
        <v>1303</v>
      </c>
      <c r="J156" s="79">
        <f t="shared" si="13"/>
        <v>1700</v>
      </c>
      <c r="K156" s="79">
        <f t="shared" si="14"/>
        <v>3003</v>
      </c>
      <c r="L156" s="121"/>
    </row>
    <row r="157" spans="2:12" ht="31" x14ac:dyDescent="0.35">
      <c r="B157" s="111">
        <f t="shared" si="11"/>
        <v>147</v>
      </c>
      <c r="C157" s="80" t="s">
        <v>63</v>
      </c>
      <c r="D157" s="81" t="s">
        <v>27</v>
      </c>
      <c r="E157" s="78">
        <f>1.82*1.1</f>
        <v>2.0020000000000002</v>
      </c>
      <c r="F157" s="65">
        <v>855</v>
      </c>
      <c r="G157" s="65">
        <v>1700</v>
      </c>
      <c r="H157" s="65">
        <f t="shared" si="15"/>
        <v>2555</v>
      </c>
      <c r="I157" s="79">
        <f t="shared" si="12"/>
        <v>1711.71</v>
      </c>
      <c r="J157" s="79">
        <f t="shared" si="13"/>
        <v>3403.4</v>
      </c>
      <c r="K157" s="79">
        <f t="shared" si="14"/>
        <v>5115.1100000000006</v>
      </c>
      <c r="L157" s="121"/>
    </row>
    <row r="158" spans="2:12" ht="33" x14ac:dyDescent="0.35">
      <c r="B158" s="111">
        <f t="shared" si="11"/>
        <v>148</v>
      </c>
      <c r="C158" s="64" t="s">
        <v>362</v>
      </c>
      <c r="D158" s="81" t="s">
        <v>26</v>
      </c>
      <c r="E158" s="78">
        <v>8.6999999999999993</v>
      </c>
      <c r="F158" s="65"/>
      <c r="G158" s="65">
        <v>439</v>
      </c>
      <c r="H158" s="65">
        <f t="shared" si="15"/>
        <v>439</v>
      </c>
      <c r="I158" s="79">
        <f t="shared" si="12"/>
        <v>0</v>
      </c>
      <c r="J158" s="79">
        <f t="shared" si="13"/>
        <v>3819.3</v>
      </c>
      <c r="K158" s="79">
        <f t="shared" si="14"/>
        <v>3819.3</v>
      </c>
      <c r="L158" s="121"/>
    </row>
    <row r="159" spans="2:12" ht="30" x14ac:dyDescent="0.35">
      <c r="B159" s="111">
        <f t="shared" si="11"/>
        <v>149</v>
      </c>
      <c r="C159" s="98" t="s">
        <v>196</v>
      </c>
      <c r="D159" s="99" t="s">
        <v>27</v>
      </c>
      <c r="E159" s="100">
        <v>10.6</v>
      </c>
      <c r="F159" s="101"/>
      <c r="G159" s="101"/>
      <c r="H159" s="101">
        <f t="shared" si="15"/>
        <v>0</v>
      </c>
      <c r="I159" s="101">
        <f t="shared" si="12"/>
        <v>0</v>
      </c>
      <c r="J159" s="101">
        <f t="shared" si="13"/>
        <v>0</v>
      </c>
      <c r="K159" s="101">
        <f t="shared" si="14"/>
        <v>0</v>
      </c>
      <c r="L159" s="102"/>
    </row>
    <row r="160" spans="2:12" ht="31" x14ac:dyDescent="0.35">
      <c r="B160" s="111">
        <f t="shared" si="11"/>
        <v>150</v>
      </c>
      <c r="C160" s="64" t="s">
        <v>348</v>
      </c>
      <c r="D160" s="77" t="s">
        <v>26</v>
      </c>
      <c r="E160" s="78">
        <f>75.39*0.97</f>
        <v>73.128299999999996</v>
      </c>
      <c r="F160" s="65"/>
      <c r="G160" s="65">
        <v>300</v>
      </c>
      <c r="H160" s="65">
        <f t="shared" si="15"/>
        <v>300</v>
      </c>
      <c r="I160" s="79">
        <f t="shared" si="12"/>
        <v>0</v>
      </c>
      <c r="J160" s="79">
        <f t="shared" si="13"/>
        <v>21938.49</v>
      </c>
      <c r="K160" s="79">
        <f t="shared" si="14"/>
        <v>21938.49</v>
      </c>
      <c r="L160" s="121"/>
    </row>
    <row r="161" spans="2:12" x14ac:dyDescent="0.35">
      <c r="B161" s="111">
        <f t="shared" si="11"/>
        <v>151</v>
      </c>
      <c r="C161" s="64" t="s">
        <v>19</v>
      </c>
      <c r="D161" s="77" t="s">
        <v>26</v>
      </c>
      <c r="E161" s="78">
        <f>E160/97*3</f>
        <v>2.2616999999999998</v>
      </c>
      <c r="F161" s="65"/>
      <c r="G161" s="65">
        <v>1500</v>
      </c>
      <c r="H161" s="65">
        <f t="shared" si="15"/>
        <v>1500</v>
      </c>
      <c r="I161" s="79">
        <f t="shared" si="12"/>
        <v>0</v>
      </c>
      <c r="J161" s="79">
        <f t="shared" si="13"/>
        <v>3392.55</v>
      </c>
      <c r="K161" s="79">
        <f t="shared" si="14"/>
        <v>3392.55</v>
      </c>
      <c r="L161" s="121"/>
    </row>
    <row r="162" spans="2:12" x14ac:dyDescent="0.35">
      <c r="B162" s="111">
        <f t="shared" si="11"/>
        <v>152</v>
      </c>
      <c r="C162" s="64" t="s">
        <v>184</v>
      </c>
      <c r="D162" s="77" t="s">
        <v>25</v>
      </c>
      <c r="E162" s="78">
        <f>E159*0.75</f>
        <v>7.9499999999999993</v>
      </c>
      <c r="F162" s="65"/>
      <c r="G162" s="65"/>
      <c r="H162" s="65">
        <f t="shared" si="15"/>
        <v>0</v>
      </c>
      <c r="I162" s="79">
        <f t="shared" si="12"/>
        <v>0</v>
      </c>
      <c r="J162" s="79">
        <f t="shared" si="13"/>
        <v>0</v>
      </c>
      <c r="K162" s="79">
        <f t="shared" si="14"/>
        <v>0</v>
      </c>
      <c r="L162" s="121"/>
    </row>
    <row r="163" spans="2:12" ht="31" x14ac:dyDescent="0.35">
      <c r="B163" s="111">
        <f t="shared" si="11"/>
        <v>153</v>
      </c>
      <c r="C163" s="64" t="s">
        <v>194</v>
      </c>
      <c r="D163" s="77" t="s">
        <v>25</v>
      </c>
      <c r="E163" s="78">
        <f>E159*0.48</f>
        <v>5.0880000000000001</v>
      </c>
      <c r="F163" s="65">
        <f>1973*0.15</f>
        <v>295.95</v>
      </c>
      <c r="G163" s="65">
        <f>1500*0.15</f>
        <v>225</v>
      </c>
      <c r="H163" s="65">
        <f t="shared" si="15"/>
        <v>520.95000000000005</v>
      </c>
      <c r="I163" s="79">
        <f t="shared" si="12"/>
        <v>1505.79</v>
      </c>
      <c r="J163" s="79">
        <f t="shared" si="13"/>
        <v>1144.8</v>
      </c>
      <c r="K163" s="79">
        <f t="shared" si="14"/>
        <v>2650.59</v>
      </c>
      <c r="L163" s="121"/>
    </row>
    <row r="164" spans="2:12" x14ac:dyDescent="0.35">
      <c r="B164" s="111">
        <f t="shared" si="11"/>
        <v>154</v>
      </c>
      <c r="C164" s="64" t="s">
        <v>20</v>
      </c>
      <c r="D164" s="77" t="s">
        <v>26</v>
      </c>
      <c r="E164" s="78">
        <f>0.34*1.06</f>
        <v>0.36040000000000005</v>
      </c>
      <c r="F164" s="65"/>
      <c r="G164" s="65">
        <v>5860</v>
      </c>
      <c r="H164" s="65">
        <f t="shared" si="15"/>
        <v>5860</v>
      </c>
      <c r="I164" s="79">
        <f t="shared" si="12"/>
        <v>0</v>
      </c>
      <c r="J164" s="79">
        <f t="shared" si="13"/>
        <v>2111.94</v>
      </c>
      <c r="K164" s="79">
        <f t="shared" si="14"/>
        <v>2111.94</v>
      </c>
      <c r="L164" s="121"/>
    </row>
    <row r="165" spans="2:12" x14ac:dyDescent="0.35">
      <c r="B165" s="111">
        <f t="shared" si="11"/>
        <v>155</v>
      </c>
      <c r="C165" s="80" t="s">
        <v>159</v>
      </c>
      <c r="D165" s="77" t="s">
        <v>26</v>
      </c>
      <c r="E165" s="78">
        <f>E164*1.02</f>
        <v>0.36760800000000005</v>
      </c>
      <c r="F165" s="65">
        <v>6700</v>
      </c>
      <c r="G165" s="65"/>
      <c r="H165" s="65">
        <f t="shared" si="15"/>
        <v>6700</v>
      </c>
      <c r="I165" s="79">
        <f t="shared" si="12"/>
        <v>2462.9699999999998</v>
      </c>
      <c r="J165" s="79">
        <f t="shared" si="13"/>
        <v>0</v>
      </c>
      <c r="K165" s="79">
        <f t="shared" si="14"/>
        <v>2462.9699999999998</v>
      </c>
      <c r="L165" s="121"/>
    </row>
    <row r="166" spans="2:12" x14ac:dyDescent="0.35">
      <c r="B166" s="111">
        <f t="shared" si="11"/>
        <v>156</v>
      </c>
      <c r="C166" s="64" t="s">
        <v>28</v>
      </c>
      <c r="D166" s="77" t="s">
        <v>26</v>
      </c>
      <c r="E166" s="78">
        <f>0.8*E159*0.1</f>
        <v>0.84800000000000009</v>
      </c>
      <c r="F166" s="65"/>
      <c r="G166" s="65">
        <v>5860</v>
      </c>
      <c r="H166" s="65">
        <f t="shared" si="15"/>
        <v>5860</v>
      </c>
      <c r="I166" s="79">
        <f t="shared" si="12"/>
        <v>0</v>
      </c>
      <c r="J166" s="79">
        <f t="shared" si="13"/>
        <v>4969.28</v>
      </c>
      <c r="K166" s="79">
        <f t="shared" si="14"/>
        <v>4969.28</v>
      </c>
      <c r="L166" s="121"/>
    </row>
    <row r="167" spans="2:12" x14ac:dyDescent="0.35">
      <c r="B167" s="111">
        <f t="shared" si="11"/>
        <v>157</v>
      </c>
      <c r="C167" s="80" t="s">
        <v>29</v>
      </c>
      <c r="D167" s="77" t="s">
        <v>26</v>
      </c>
      <c r="E167" s="78">
        <f>E166*1.02</f>
        <v>0.86496000000000006</v>
      </c>
      <c r="F167" s="65">
        <v>7100</v>
      </c>
      <c r="G167" s="65"/>
      <c r="H167" s="65">
        <f t="shared" si="15"/>
        <v>7100</v>
      </c>
      <c r="I167" s="79">
        <f t="shared" si="12"/>
        <v>6141.22</v>
      </c>
      <c r="J167" s="79">
        <f t="shared" si="13"/>
        <v>0</v>
      </c>
      <c r="K167" s="79">
        <f t="shared" si="14"/>
        <v>6141.22</v>
      </c>
      <c r="L167" s="121"/>
    </row>
    <row r="168" spans="2:12" x14ac:dyDescent="0.35">
      <c r="B168" s="111">
        <f t="shared" si="11"/>
        <v>158</v>
      </c>
      <c r="C168" s="80" t="s">
        <v>30</v>
      </c>
      <c r="D168" s="77" t="s">
        <v>31</v>
      </c>
      <c r="E168" s="78">
        <f>31.39*E159*0.1</f>
        <v>33.273400000000002</v>
      </c>
      <c r="F168" s="65">
        <v>118.9</v>
      </c>
      <c r="G168" s="65"/>
      <c r="H168" s="65">
        <f t="shared" si="15"/>
        <v>118.9</v>
      </c>
      <c r="I168" s="79">
        <f t="shared" si="12"/>
        <v>3956.21</v>
      </c>
      <c r="J168" s="79">
        <f t="shared" si="13"/>
        <v>0</v>
      </c>
      <c r="K168" s="79">
        <f t="shared" si="14"/>
        <v>3956.21</v>
      </c>
      <c r="L168" s="121"/>
    </row>
    <row r="169" spans="2:12" x14ac:dyDescent="0.35">
      <c r="B169" s="111">
        <f t="shared" si="11"/>
        <v>159</v>
      </c>
      <c r="C169" s="64" t="s">
        <v>189</v>
      </c>
      <c r="D169" s="77" t="s">
        <v>27</v>
      </c>
      <c r="E169" s="78">
        <v>10.6</v>
      </c>
      <c r="F169" s="65"/>
      <c r="G169" s="65">
        <v>2928</v>
      </c>
      <c r="H169" s="65">
        <f t="shared" si="15"/>
        <v>2928</v>
      </c>
      <c r="I169" s="79">
        <f t="shared" si="12"/>
        <v>0</v>
      </c>
      <c r="J169" s="79">
        <f t="shared" si="13"/>
        <v>31036.799999999999</v>
      </c>
      <c r="K169" s="79">
        <f t="shared" si="14"/>
        <v>31036.799999999999</v>
      </c>
      <c r="L169" s="121"/>
    </row>
    <row r="170" spans="2:12" ht="31" x14ac:dyDescent="0.35">
      <c r="B170" s="111">
        <f t="shared" si="11"/>
        <v>160</v>
      </c>
      <c r="C170" s="80" t="s">
        <v>195</v>
      </c>
      <c r="D170" s="77" t="s">
        <v>27</v>
      </c>
      <c r="E170" s="78">
        <f>E169*1.1</f>
        <v>11.66</v>
      </c>
      <c r="F170" s="65">
        <v>855</v>
      </c>
      <c r="G170" s="65"/>
      <c r="H170" s="65">
        <f t="shared" si="15"/>
        <v>855</v>
      </c>
      <c r="I170" s="79">
        <f t="shared" si="12"/>
        <v>9969.2999999999993</v>
      </c>
      <c r="J170" s="79">
        <f t="shared" si="13"/>
        <v>0</v>
      </c>
      <c r="K170" s="79">
        <f t="shared" si="14"/>
        <v>9969.2999999999993</v>
      </c>
      <c r="L170" s="121"/>
    </row>
    <row r="171" spans="2:12" ht="33" x14ac:dyDescent="0.35">
      <c r="B171" s="111">
        <f t="shared" si="11"/>
        <v>161</v>
      </c>
      <c r="C171" s="64" t="s">
        <v>355</v>
      </c>
      <c r="D171" s="81" t="s">
        <v>26</v>
      </c>
      <c r="E171" s="78">
        <v>51.1</v>
      </c>
      <c r="F171" s="65"/>
      <c r="G171" s="65">
        <v>439</v>
      </c>
      <c r="H171" s="65">
        <f t="shared" si="15"/>
        <v>439</v>
      </c>
      <c r="I171" s="79">
        <f t="shared" si="12"/>
        <v>0</v>
      </c>
      <c r="J171" s="79">
        <f t="shared" si="13"/>
        <v>22432.9</v>
      </c>
      <c r="K171" s="79">
        <f t="shared" si="14"/>
        <v>22432.9</v>
      </c>
      <c r="L171" s="121"/>
    </row>
    <row r="172" spans="2:12" x14ac:dyDescent="0.35">
      <c r="B172" s="111">
        <f t="shared" si="11"/>
        <v>162</v>
      </c>
      <c r="C172" s="98" t="s">
        <v>192</v>
      </c>
      <c r="D172" s="103" t="s">
        <v>32</v>
      </c>
      <c r="E172" s="100">
        <v>1</v>
      </c>
      <c r="F172" s="101"/>
      <c r="G172" s="101"/>
      <c r="H172" s="101">
        <f t="shared" si="15"/>
        <v>0</v>
      </c>
      <c r="I172" s="101">
        <f t="shared" si="12"/>
        <v>0</v>
      </c>
      <c r="J172" s="101">
        <f t="shared" si="13"/>
        <v>0</v>
      </c>
      <c r="K172" s="101">
        <f t="shared" si="14"/>
        <v>0</v>
      </c>
      <c r="L172" s="102"/>
    </row>
    <row r="173" spans="2:12" ht="31" x14ac:dyDescent="0.35">
      <c r="B173" s="111">
        <f t="shared" si="11"/>
        <v>163</v>
      </c>
      <c r="C173" s="64" t="s">
        <v>348</v>
      </c>
      <c r="D173" s="81" t="s">
        <v>26</v>
      </c>
      <c r="E173" s="78">
        <f>12.78*0.97</f>
        <v>12.396599999999999</v>
      </c>
      <c r="F173" s="65"/>
      <c r="G173" s="65">
        <v>300</v>
      </c>
      <c r="H173" s="65">
        <f t="shared" si="15"/>
        <v>300</v>
      </c>
      <c r="I173" s="79">
        <f t="shared" si="12"/>
        <v>0</v>
      </c>
      <c r="J173" s="79">
        <f t="shared" si="13"/>
        <v>3718.98</v>
      </c>
      <c r="K173" s="79">
        <f t="shared" si="14"/>
        <v>3718.98</v>
      </c>
      <c r="L173" s="121"/>
    </row>
    <row r="174" spans="2:12" x14ac:dyDescent="0.35">
      <c r="B174" s="111">
        <f t="shared" si="11"/>
        <v>164</v>
      </c>
      <c r="C174" s="64" t="s">
        <v>19</v>
      </c>
      <c r="D174" s="81" t="s">
        <v>26</v>
      </c>
      <c r="E174" s="78">
        <f>E173/97*3</f>
        <v>0.38339999999999996</v>
      </c>
      <c r="F174" s="65"/>
      <c r="G174" s="65">
        <v>1500</v>
      </c>
      <c r="H174" s="65">
        <f t="shared" si="15"/>
        <v>1500</v>
      </c>
      <c r="I174" s="79">
        <f t="shared" si="12"/>
        <v>0</v>
      </c>
      <c r="J174" s="79">
        <f t="shared" si="13"/>
        <v>575.1</v>
      </c>
      <c r="K174" s="79">
        <f t="shared" si="14"/>
        <v>575.1</v>
      </c>
      <c r="L174" s="121"/>
    </row>
    <row r="175" spans="2:12" x14ac:dyDescent="0.35">
      <c r="B175" s="111">
        <f t="shared" si="11"/>
        <v>165</v>
      </c>
      <c r="C175" s="64" t="s">
        <v>67</v>
      </c>
      <c r="D175" s="81" t="s">
        <v>25</v>
      </c>
      <c r="E175" s="78">
        <f>(3.14*2.4^2)/4</f>
        <v>4.5216000000000003</v>
      </c>
      <c r="F175" s="65"/>
      <c r="G175" s="65"/>
      <c r="H175" s="65">
        <f t="shared" si="15"/>
        <v>0</v>
      </c>
      <c r="I175" s="79">
        <f t="shared" si="12"/>
        <v>0</v>
      </c>
      <c r="J175" s="79">
        <f t="shared" si="13"/>
        <v>0</v>
      </c>
      <c r="K175" s="79">
        <f t="shared" si="14"/>
        <v>0</v>
      </c>
      <c r="L175" s="121"/>
    </row>
    <row r="176" spans="2:12" x14ac:dyDescent="0.35">
      <c r="B176" s="111">
        <f t="shared" si="11"/>
        <v>166</v>
      </c>
      <c r="C176" s="64" t="s">
        <v>68</v>
      </c>
      <c r="D176" s="81" t="s">
        <v>26</v>
      </c>
      <c r="E176" s="78">
        <f>E175*0.1</f>
        <v>0.45216000000000006</v>
      </c>
      <c r="F176" s="65"/>
      <c r="G176" s="65">
        <v>5860</v>
      </c>
      <c r="H176" s="65">
        <f t="shared" si="15"/>
        <v>5860</v>
      </c>
      <c r="I176" s="79">
        <f t="shared" si="12"/>
        <v>0</v>
      </c>
      <c r="J176" s="79">
        <f t="shared" si="13"/>
        <v>2649.66</v>
      </c>
      <c r="K176" s="79">
        <f t="shared" si="14"/>
        <v>2649.66</v>
      </c>
      <c r="L176" s="121"/>
    </row>
    <row r="177" spans="2:12" x14ac:dyDescent="0.35">
      <c r="B177" s="111">
        <f t="shared" si="11"/>
        <v>167</v>
      </c>
      <c r="C177" s="80" t="s">
        <v>159</v>
      </c>
      <c r="D177" s="81" t="s">
        <v>26</v>
      </c>
      <c r="E177" s="78">
        <f>E176*1.02</f>
        <v>0.46120320000000009</v>
      </c>
      <c r="F177" s="65">
        <v>6700</v>
      </c>
      <c r="G177" s="65"/>
      <c r="H177" s="65">
        <f t="shared" si="15"/>
        <v>6700</v>
      </c>
      <c r="I177" s="79">
        <f t="shared" si="12"/>
        <v>3090.06</v>
      </c>
      <c r="J177" s="79">
        <f t="shared" si="13"/>
        <v>0</v>
      </c>
      <c r="K177" s="79">
        <f t="shared" si="14"/>
        <v>3090.06</v>
      </c>
      <c r="L177" s="121"/>
    </row>
    <row r="178" spans="2:12" x14ac:dyDescent="0.35">
      <c r="B178" s="111">
        <f t="shared" si="11"/>
        <v>168</v>
      </c>
      <c r="C178" s="64" t="s">
        <v>151</v>
      </c>
      <c r="D178" s="81" t="s">
        <v>25</v>
      </c>
      <c r="E178" s="78">
        <f>(3.14*2^2)/4</f>
        <v>3.14</v>
      </c>
      <c r="F178" s="65">
        <v>68.5</v>
      </c>
      <c r="G178" s="65">
        <v>150</v>
      </c>
      <c r="H178" s="65">
        <f t="shared" si="15"/>
        <v>218.5</v>
      </c>
      <c r="I178" s="79">
        <f t="shared" si="12"/>
        <v>215.09</v>
      </c>
      <c r="J178" s="79">
        <f t="shared" si="13"/>
        <v>471</v>
      </c>
      <c r="K178" s="79">
        <f t="shared" si="14"/>
        <v>686.09</v>
      </c>
      <c r="L178" s="121"/>
    </row>
    <row r="179" spans="2:12" ht="31" x14ac:dyDescent="0.35">
      <c r="B179" s="111">
        <f t="shared" si="11"/>
        <v>169</v>
      </c>
      <c r="C179" s="64" t="s">
        <v>152</v>
      </c>
      <c r="D179" s="81" t="s">
        <v>25</v>
      </c>
      <c r="E179" s="78">
        <f>E178</f>
        <v>3.14</v>
      </c>
      <c r="F179" s="65">
        <v>927</v>
      </c>
      <c r="G179" s="65">
        <v>400</v>
      </c>
      <c r="H179" s="65">
        <f t="shared" si="15"/>
        <v>1327</v>
      </c>
      <c r="I179" s="79">
        <f t="shared" si="12"/>
        <v>2910.78</v>
      </c>
      <c r="J179" s="79">
        <f t="shared" si="13"/>
        <v>1256</v>
      </c>
      <c r="K179" s="79">
        <f t="shared" si="14"/>
        <v>4166.7800000000007</v>
      </c>
      <c r="L179" s="121"/>
    </row>
    <row r="180" spans="2:12" ht="31" x14ac:dyDescent="0.35">
      <c r="B180" s="111">
        <f t="shared" si="11"/>
        <v>170</v>
      </c>
      <c r="C180" s="64" t="s">
        <v>107</v>
      </c>
      <c r="D180" s="81" t="s">
        <v>32</v>
      </c>
      <c r="E180" s="78">
        <v>1</v>
      </c>
      <c r="F180" s="65"/>
      <c r="G180" s="65">
        <v>5662</v>
      </c>
      <c r="H180" s="65">
        <f t="shared" si="15"/>
        <v>5662</v>
      </c>
      <c r="I180" s="79">
        <f t="shared" si="12"/>
        <v>0</v>
      </c>
      <c r="J180" s="79">
        <f t="shared" si="13"/>
        <v>5662</v>
      </c>
      <c r="K180" s="79">
        <f t="shared" si="14"/>
        <v>5662</v>
      </c>
      <c r="L180" s="121"/>
    </row>
    <row r="181" spans="2:12" x14ac:dyDescent="0.35">
      <c r="B181" s="111">
        <f t="shared" si="11"/>
        <v>171</v>
      </c>
      <c r="C181" s="82" t="s">
        <v>108</v>
      </c>
      <c r="D181" s="81" t="s">
        <v>32</v>
      </c>
      <c r="E181" s="78">
        <v>1</v>
      </c>
      <c r="F181" s="65">
        <f>6000*1.2</f>
        <v>7200</v>
      </c>
      <c r="G181" s="65"/>
      <c r="H181" s="65">
        <f t="shared" si="15"/>
        <v>7200</v>
      </c>
      <c r="I181" s="79">
        <f t="shared" si="12"/>
        <v>7200</v>
      </c>
      <c r="J181" s="79">
        <f t="shared" si="13"/>
        <v>0</v>
      </c>
      <c r="K181" s="79">
        <f t="shared" si="14"/>
        <v>7200</v>
      </c>
      <c r="L181" s="121"/>
    </row>
    <row r="182" spans="2:12" x14ac:dyDescent="0.35">
      <c r="B182" s="111">
        <f t="shared" si="11"/>
        <v>172</v>
      </c>
      <c r="C182" s="82" t="s">
        <v>101</v>
      </c>
      <c r="D182" s="81" t="s">
        <v>26</v>
      </c>
      <c r="E182" s="78">
        <f>((3.14*2^2)/4*0.02)*1.02</f>
        <v>6.4056000000000016E-2</v>
      </c>
      <c r="F182" s="65">
        <v>7300</v>
      </c>
      <c r="G182" s="65"/>
      <c r="H182" s="65">
        <f t="shared" si="15"/>
        <v>7300</v>
      </c>
      <c r="I182" s="79">
        <f t="shared" si="12"/>
        <v>467.61</v>
      </c>
      <c r="J182" s="79">
        <f t="shared" si="13"/>
        <v>0</v>
      </c>
      <c r="K182" s="79">
        <f t="shared" si="14"/>
        <v>467.61</v>
      </c>
      <c r="L182" s="121"/>
    </row>
    <row r="183" spans="2:12" ht="31" x14ac:dyDescent="0.35">
      <c r="B183" s="111">
        <f t="shared" si="11"/>
        <v>173</v>
      </c>
      <c r="C183" s="64" t="s">
        <v>179</v>
      </c>
      <c r="D183" s="81" t="s">
        <v>26</v>
      </c>
      <c r="E183" s="78">
        <v>1.2</v>
      </c>
      <c r="F183" s="65"/>
      <c r="G183" s="65">
        <v>5860</v>
      </c>
      <c r="H183" s="65">
        <f t="shared" si="15"/>
        <v>5860</v>
      </c>
      <c r="I183" s="79">
        <f t="shared" si="12"/>
        <v>0</v>
      </c>
      <c r="J183" s="79">
        <f t="shared" si="13"/>
        <v>7032</v>
      </c>
      <c r="K183" s="79">
        <f t="shared" si="14"/>
        <v>7032</v>
      </c>
      <c r="L183" s="121"/>
    </row>
    <row r="184" spans="2:12" x14ac:dyDescent="0.35">
      <c r="B184" s="111">
        <f t="shared" si="11"/>
        <v>174</v>
      </c>
      <c r="C184" s="82" t="s">
        <v>75</v>
      </c>
      <c r="D184" s="81" t="s">
        <v>26</v>
      </c>
      <c r="E184" s="78">
        <f>E183*1.02</f>
        <v>1.224</v>
      </c>
      <c r="F184" s="65">
        <v>7100</v>
      </c>
      <c r="G184" s="65"/>
      <c r="H184" s="65">
        <f t="shared" si="15"/>
        <v>7100</v>
      </c>
      <c r="I184" s="79">
        <f t="shared" si="12"/>
        <v>8690.4</v>
      </c>
      <c r="J184" s="79">
        <f t="shared" si="13"/>
        <v>0</v>
      </c>
      <c r="K184" s="79">
        <f t="shared" si="14"/>
        <v>8690.4</v>
      </c>
      <c r="L184" s="121"/>
    </row>
    <row r="185" spans="2:12" ht="31" x14ac:dyDescent="0.35">
      <c r="B185" s="111">
        <f t="shared" si="11"/>
        <v>175</v>
      </c>
      <c r="C185" s="64" t="s">
        <v>78</v>
      </c>
      <c r="D185" s="81" t="s">
        <v>32</v>
      </c>
      <c r="E185" s="78">
        <v>3</v>
      </c>
      <c r="F185" s="65"/>
      <c r="G185" s="65">
        <v>5662</v>
      </c>
      <c r="H185" s="65">
        <f t="shared" si="15"/>
        <v>5662</v>
      </c>
      <c r="I185" s="79">
        <f t="shared" si="12"/>
        <v>0</v>
      </c>
      <c r="J185" s="79">
        <f t="shared" si="13"/>
        <v>16986</v>
      </c>
      <c r="K185" s="79">
        <f t="shared" si="14"/>
        <v>16986</v>
      </c>
      <c r="L185" s="121"/>
    </row>
    <row r="186" spans="2:12" x14ac:dyDescent="0.35">
      <c r="B186" s="111">
        <f t="shared" si="11"/>
        <v>176</v>
      </c>
      <c r="C186" s="82" t="s">
        <v>109</v>
      </c>
      <c r="D186" s="81" t="s">
        <v>32</v>
      </c>
      <c r="E186" s="78">
        <v>2</v>
      </c>
      <c r="F186" s="65">
        <f>6000*1.2</f>
        <v>7200</v>
      </c>
      <c r="G186" s="65"/>
      <c r="H186" s="65">
        <f t="shared" si="15"/>
        <v>7200</v>
      </c>
      <c r="I186" s="79">
        <f t="shared" si="12"/>
        <v>14400</v>
      </c>
      <c r="J186" s="79">
        <f t="shared" si="13"/>
        <v>0</v>
      </c>
      <c r="K186" s="79">
        <f t="shared" si="14"/>
        <v>14400</v>
      </c>
      <c r="L186" s="121"/>
    </row>
    <row r="187" spans="2:12" x14ac:dyDescent="0.35">
      <c r="B187" s="111">
        <f t="shared" si="11"/>
        <v>177</v>
      </c>
      <c r="C187" s="82" t="s">
        <v>306</v>
      </c>
      <c r="D187" s="81" t="s">
        <v>32</v>
      </c>
      <c r="E187" s="78">
        <v>1</v>
      </c>
      <c r="F187" s="65">
        <v>840</v>
      </c>
      <c r="G187" s="65"/>
      <c r="H187" s="65">
        <f t="shared" si="15"/>
        <v>840</v>
      </c>
      <c r="I187" s="79">
        <f t="shared" si="12"/>
        <v>840</v>
      </c>
      <c r="J187" s="79">
        <f t="shared" si="13"/>
        <v>0</v>
      </c>
      <c r="K187" s="79">
        <f t="shared" si="14"/>
        <v>840</v>
      </c>
      <c r="L187" s="121"/>
    </row>
    <row r="188" spans="2:12" ht="31" x14ac:dyDescent="0.35">
      <c r="B188" s="111">
        <f t="shared" si="11"/>
        <v>178</v>
      </c>
      <c r="C188" s="64" t="s">
        <v>85</v>
      </c>
      <c r="D188" s="81" t="s">
        <v>32</v>
      </c>
      <c r="E188" s="78">
        <v>1</v>
      </c>
      <c r="F188" s="65"/>
      <c r="G188" s="65">
        <v>2500</v>
      </c>
      <c r="H188" s="65">
        <f t="shared" si="15"/>
        <v>2500</v>
      </c>
      <c r="I188" s="79">
        <f t="shared" si="12"/>
        <v>0</v>
      </c>
      <c r="J188" s="79">
        <f t="shared" si="13"/>
        <v>2500</v>
      </c>
      <c r="K188" s="79">
        <f t="shared" si="14"/>
        <v>2500</v>
      </c>
      <c r="L188" s="121"/>
    </row>
    <row r="189" spans="2:12" x14ac:dyDescent="0.35">
      <c r="B189" s="111">
        <f t="shared" si="11"/>
        <v>179</v>
      </c>
      <c r="C189" s="82" t="s">
        <v>154</v>
      </c>
      <c r="D189" s="81" t="s">
        <v>32</v>
      </c>
      <c r="E189" s="78">
        <v>1</v>
      </c>
      <c r="F189" s="65">
        <f>5500*1.2</f>
        <v>6600</v>
      </c>
      <c r="G189" s="65"/>
      <c r="H189" s="65">
        <f t="shared" si="15"/>
        <v>6600</v>
      </c>
      <c r="I189" s="79">
        <f t="shared" si="12"/>
        <v>6600</v>
      </c>
      <c r="J189" s="79">
        <f t="shared" si="13"/>
        <v>0</v>
      </c>
      <c r="K189" s="79">
        <f t="shared" si="14"/>
        <v>6600</v>
      </c>
      <c r="L189" s="121"/>
    </row>
    <row r="190" spans="2:12" ht="31" x14ac:dyDescent="0.35">
      <c r="B190" s="111">
        <f t="shared" si="11"/>
        <v>180</v>
      </c>
      <c r="C190" s="64" t="s">
        <v>316</v>
      </c>
      <c r="D190" s="81" t="s">
        <v>32</v>
      </c>
      <c r="E190" s="78">
        <v>1</v>
      </c>
      <c r="F190" s="65"/>
      <c r="G190" s="65"/>
      <c r="H190" s="65">
        <f t="shared" si="15"/>
        <v>0</v>
      </c>
      <c r="I190" s="79">
        <f t="shared" si="12"/>
        <v>0</v>
      </c>
      <c r="J190" s="79">
        <f t="shared" si="13"/>
        <v>0</v>
      </c>
      <c r="K190" s="79">
        <f t="shared" si="14"/>
        <v>0</v>
      </c>
      <c r="L190" s="121"/>
    </row>
    <row r="191" spans="2:12" x14ac:dyDescent="0.35">
      <c r="B191" s="111">
        <f t="shared" si="11"/>
        <v>181</v>
      </c>
      <c r="C191" s="82" t="s">
        <v>84</v>
      </c>
      <c r="D191" s="81" t="s">
        <v>32</v>
      </c>
      <c r="E191" s="78">
        <v>1</v>
      </c>
      <c r="F191" s="65">
        <v>1300</v>
      </c>
      <c r="G191" s="65">
        <v>990</v>
      </c>
      <c r="H191" s="65">
        <f t="shared" si="15"/>
        <v>2290</v>
      </c>
      <c r="I191" s="79">
        <f t="shared" si="12"/>
        <v>1300</v>
      </c>
      <c r="J191" s="79">
        <f t="shared" si="13"/>
        <v>990</v>
      </c>
      <c r="K191" s="79">
        <f t="shared" si="14"/>
        <v>2290</v>
      </c>
      <c r="L191" s="121"/>
    </row>
    <row r="192" spans="2:12" x14ac:dyDescent="0.35">
      <c r="B192" s="111">
        <f t="shared" si="11"/>
        <v>182</v>
      </c>
      <c r="C192" s="80" t="s">
        <v>301</v>
      </c>
      <c r="D192" s="81" t="s">
        <v>32</v>
      </c>
      <c r="E192" s="78">
        <v>1</v>
      </c>
      <c r="F192" s="65">
        <v>6000</v>
      </c>
      <c r="G192" s="65">
        <v>1464.09</v>
      </c>
      <c r="H192" s="65">
        <f t="shared" si="15"/>
        <v>7464.09</v>
      </c>
      <c r="I192" s="79">
        <f t="shared" si="12"/>
        <v>6000</v>
      </c>
      <c r="J192" s="79">
        <f t="shared" si="13"/>
        <v>1464.09</v>
      </c>
      <c r="K192" s="79">
        <f t="shared" si="14"/>
        <v>7464.09</v>
      </c>
      <c r="L192" s="121"/>
    </row>
    <row r="193" spans="2:12" ht="31" x14ac:dyDescent="0.35">
      <c r="B193" s="111">
        <f t="shared" si="11"/>
        <v>183</v>
      </c>
      <c r="C193" s="64" t="s">
        <v>156</v>
      </c>
      <c r="D193" s="81" t="s">
        <v>25</v>
      </c>
      <c r="E193" s="78">
        <f>(3.14*1.68)*2.51</f>
        <v>13.240751999999999</v>
      </c>
      <c r="F193" s="65">
        <v>68.5</v>
      </c>
      <c r="G193" s="65">
        <v>150</v>
      </c>
      <c r="H193" s="65">
        <f t="shared" si="15"/>
        <v>218.5</v>
      </c>
      <c r="I193" s="79">
        <f t="shared" si="12"/>
        <v>906.99</v>
      </c>
      <c r="J193" s="79">
        <f t="shared" si="13"/>
        <v>1986.11</v>
      </c>
      <c r="K193" s="79">
        <f t="shared" si="14"/>
        <v>2893.1</v>
      </c>
      <c r="L193" s="121"/>
    </row>
    <row r="194" spans="2:12" ht="46.5" x14ac:dyDescent="0.35">
      <c r="B194" s="111">
        <f t="shared" si="11"/>
        <v>184</v>
      </c>
      <c r="C194" s="64" t="s">
        <v>157</v>
      </c>
      <c r="D194" s="81" t="s">
        <v>25</v>
      </c>
      <c r="E194" s="78">
        <f>(3.14*1.68)*2.51</f>
        <v>13.240751999999999</v>
      </c>
      <c r="F194" s="65">
        <v>927</v>
      </c>
      <c r="G194" s="65">
        <v>400</v>
      </c>
      <c r="H194" s="65">
        <f t="shared" si="15"/>
        <v>1327</v>
      </c>
      <c r="I194" s="79">
        <f t="shared" si="12"/>
        <v>12274.18</v>
      </c>
      <c r="J194" s="79">
        <f t="shared" si="13"/>
        <v>5296.3</v>
      </c>
      <c r="K194" s="79">
        <f t="shared" si="14"/>
        <v>17570.48</v>
      </c>
      <c r="L194" s="121"/>
    </row>
    <row r="195" spans="2:12" x14ac:dyDescent="0.35">
      <c r="B195" s="111">
        <f t="shared" si="11"/>
        <v>185</v>
      </c>
      <c r="C195" s="64" t="s">
        <v>312</v>
      </c>
      <c r="D195" s="81" t="s">
        <v>32</v>
      </c>
      <c r="E195" s="78">
        <v>1</v>
      </c>
      <c r="F195" s="65"/>
      <c r="G195" s="65"/>
      <c r="H195" s="65">
        <f t="shared" si="15"/>
        <v>0</v>
      </c>
      <c r="I195" s="79">
        <f t="shared" si="12"/>
        <v>0</v>
      </c>
      <c r="J195" s="79">
        <f t="shared" si="13"/>
        <v>0</v>
      </c>
      <c r="K195" s="79">
        <f t="shared" si="14"/>
        <v>0</v>
      </c>
      <c r="L195" s="121"/>
    </row>
    <row r="196" spans="2:12" x14ac:dyDescent="0.35">
      <c r="B196" s="111">
        <f t="shared" si="11"/>
        <v>186</v>
      </c>
      <c r="C196" s="82" t="s">
        <v>313</v>
      </c>
      <c r="D196" s="81" t="s">
        <v>31</v>
      </c>
      <c r="E196" s="78">
        <v>20.3</v>
      </c>
      <c r="F196" s="68">
        <v>71</v>
      </c>
      <c r="G196" s="65">
        <v>97.61</v>
      </c>
      <c r="H196" s="65">
        <f t="shared" si="15"/>
        <v>168.61</v>
      </c>
      <c r="I196" s="79">
        <f t="shared" si="12"/>
        <v>1441.3</v>
      </c>
      <c r="J196" s="79">
        <f t="shared" si="13"/>
        <v>1981.48</v>
      </c>
      <c r="K196" s="79">
        <f t="shared" si="14"/>
        <v>3422.7799999999997</v>
      </c>
      <c r="L196" s="121"/>
    </row>
    <row r="197" spans="2:12" x14ac:dyDescent="0.35">
      <c r="B197" s="111">
        <f t="shared" si="11"/>
        <v>187</v>
      </c>
      <c r="C197" s="64" t="s">
        <v>93</v>
      </c>
      <c r="D197" s="81" t="s">
        <v>32</v>
      </c>
      <c r="E197" s="78">
        <v>1</v>
      </c>
      <c r="F197" s="65"/>
      <c r="G197" s="65"/>
      <c r="H197" s="65">
        <f t="shared" si="15"/>
        <v>0</v>
      </c>
      <c r="I197" s="79">
        <f t="shared" si="12"/>
        <v>0</v>
      </c>
      <c r="J197" s="79">
        <f t="shared" si="13"/>
        <v>0</v>
      </c>
      <c r="K197" s="79">
        <f t="shared" si="14"/>
        <v>0</v>
      </c>
      <c r="L197" s="121"/>
    </row>
    <row r="198" spans="2:12" x14ac:dyDescent="0.35">
      <c r="B198" s="111">
        <f t="shared" si="11"/>
        <v>188</v>
      </c>
      <c r="C198" s="82" t="s">
        <v>94</v>
      </c>
      <c r="D198" s="81" t="s">
        <v>31</v>
      </c>
      <c r="E198" s="78">
        <v>0.82</v>
      </c>
      <c r="F198" s="68">
        <v>71</v>
      </c>
      <c r="G198" s="65">
        <v>97.61</v>
      </c>
      <c r="H198" s="65">
        <f t="shared" si="15"/>
        <v>168.61</v>
      </c>
      <c r="I198" s="79">
        <f t="shared" si="12"/>
        <v>58.22</v>
      </c>
      <c r="J198" s="79">
        <f t="shared" si="13"/>
        <v>80.040000000000006</v>
      </c>
      <c r="K198" s="79">
        <f t="shared" si="14"/>
        <v>138.26</v>
      </c>
      <c r="L198" s="121"/>
    </row>
    <row r="199" spans="2:12" ht="31" x14ac:dyDescent="0.35">
      <c r="B199" s="111">
        <f t="shared" si="11"/>
        <v>189</v>
      </c>
      <c r="C199" s="64" t="s">
        <v>153</v>
      </c>
      <c r="D199" s="81" t="s">
        <v>32</v>
      </c>
      <c r="E199" s="78">
        <v>3</v>
      </c>
      <c r="F199" s="65"/>
      <c r="G199" s="65">
        <v>1464</v>
      </c>
      <c r="H199" s="65">
        <f t="shared" si="15"/>
        <v>1464</v>
      </c>
      <c r="I199" s="79">
        <f t="shared" si="12"/>
        <v>0</v>
      </c>
      <c r="J199" s="79">
        <f t="shared" si="13"/>
        <v>4392</v>
      </c>
      <c r="K199" s="79">
        <f t="shared" si="14"/>
        <v>4392</v>
      </c>
      <c r="L199" s="121"/>
    </row>
    <row r="200" spans="2:12" x14ac:dyDescent="0.35">
      <c r="B200" s="111">
        <f t="shared" si="11"/>
        <v>190</v>
      </c>
      <c r="C200" s="64" t="s">
        <v>188</v>
      </c>
      <c r="D200" s="81"/>
      <c r="E200" s="78"/>
      <c r="F200" s="65"/>
      <c r="G200" s="65"/>
      <c r="H200" s="65">
        <f t="shared" si="15"/>
        <v>0</v>
      </c>
      <c r="I200" s="79">
        <f t="shared" si="12"/>
        <v>0</v>
      </c>
      <c r="J200" s="79">
        <f t="shared" si="13"/>
        <v>0</v>
      </c>
      <c r="K200" s="79">
        <f t="shared" si="14"/>
        <v>0</v>
      </c>
      <c r="L200" s="121">
        <v>1</v>
      </c>
    </row>
    <row r="201" spans="2:12" ht="31" x14ac:dyDescent="0.35">
      <c r="B201" s="111">
        <f t="shared" si="11"/>
        <v>191</v>
      </c>
      <c r="C201" s="80" t="s">
        <v>309</v>
      </c>
      <c r="D201" s="81" t="s">
        <v>32</v>
      </c>
      <c r="E201" s="78">
        <v>1</v>
      </c>
      <c r="F201" s="65">
        <v>2263</v>
      </c>
      <c r="G201" s="65">
        <v>1700</v>
      </c>
      <c r="H201" s="65">
        <f t="shared" si="15"/>
        <v>3963</v>
      </c>
      <c r="I201" s="79">
        <f t="shared" si="12"/>
        <v>2263</v>
      </c>
      <c r="J201" s="79">
        <f t="shared" si="13"/>
        <v>1700</v>
      </c>
      <c r="K201" s="79">
        <f t="shared" si="14"/>
        <v>3963</v>
      </c>
      <c r="L201" s="121"/>
    </row>
    <row r="202" spans="2:12" ht="31" x14ac:dyDescent="0.35">
      <c r="B202" s="111">
        <f t="shared" si="11"/>
        <v>192</v>
      </c>
      <c r="C202" s="80" t="s">
        <v>310</v>
      </c>
      <c r="D202" s="81" t="s">
        <v>32</v>
      </c>
      <c r="E202" s="78">
        <v>1</v>
      </c>
      <c r="F202" s="65">
        <v>1303</v>
      </c>
      <c r="G202" s="65">
        <v>1700</v>
      </c>
      <c r="H202" s="65">
        <f t="shared" si="15"/>
        <v>3003</v>
      </c>
      <c r="I202" s="79">
        <f t="shared" si="12"/>
        <v>1303</v>
      </c>
      <c r="J202" s="79">
        <f t="shared" si="13"/>
        <v>1700</v>
      </c>
      <c r="K202" s="79">
        <f t="shared" si="14"/>
        <v>3003</v>
      </c>
      <c r="L202" s="121"/>
    </row>
    <row r="203" spans="2:12" ht="31" x14ac:dyDescent="0.35">
      <c r="B203" s="111">
        <f t="shared" si="11"/>
        <v>193</v>
      </c>
      <c r="C203" s="80" t="s">
        <v>63</v>
      </c>
      <c r="D203" s="81" t="s">
        <v>27</v>
      </c>
      <c r="E203" s="78">
        <f>1.8*1.1</f>
        <v>1.9800000000000002</v>
      </c>
      <c r="F203" s="65">
        <v>855</v>
      </c>
      <c r="G203" s="65">
        <v>1700</v>
      </c>
      <c r="H203" s="65">
        <f t="shared" si="15"/>
        <v>2555</v>
      </c>
      <c r="I203" s="79">
        <f t="shared" si="12"/>
        <v>1692.9</v>
      </c>
      <c r="J203" s="79">
        <f t="shared" si="13"/>
        <v>3366</v>
      </c>
      <c r="K203" s="79">
        <f t="shared" si="14"/>
        <v>5058.8999999999996</v>
      </c>
      <c r="L203" s="121"/>
    </row>
    <row r="204" spans="2:12" ht="33" x14ac:dyDescent="0.35">
      <c r="B204" s="111">
        <f t="shared" si="11"/>
        <v>194</v>
      </c>
      <c r="C204" s="64" t="s">
        <v>362</v>
      </c>
      <c r="D204" s="81" t="s">
        <v>26</v>
      </c>
      <c r="E204" s="78">
        <v>5.84</v>
      </c>
      <c r="F204" s="65"/>
      <c r="G204" s="65">
        <v>439</v>
      </c>
      <c r="H204" s="65">
        <f t="shared" si="15"/>
        <v>439</v>
      </c>
      <c r="I204" s="79">
        <f t="shared" si="12"/>
        <v>0</v>
      </c>
      <c r="J204" s="79">
        <f t="shared" si="13"/>
        <v>2563.7600000000002</v>
      </c>
      <c r="K204" s="79">
        <f t="shared" si="14"/>
        <v>2563.7600000000002</v>
      </c>
      <c r="L204" s="121"/>
    </row>
    <row r="205" spans="2:12" ht="30" x14ac:dyDescent="0.35">
      <c r="B205" s="111">
        <f t="shared" ref="B205:B268" si="16">B204+1</f>
        <v>195</v>
      </c>
      <c r="C205" s="98" t="s">
        <v>198</v>
      </c>
      <c r="D205" s="99" t="s">
        <v>27</v>
      </c>
      <c r="E205" s="100">
        <v>11.4</v>
      </c>
      <c r="F205" s="101"/>
      <c r="G205" s="101"/>
      <c r="H205" s="101">
        <f t="shared" si="15"/>
        <v>0</v>
      </c>
      <c r="I205" s="101">
        <f t="shared" ref="I205:I268" si="17">ROUND(F205*E205,2)</f>
        <v>0</v>
      </c>
      <c r="J205" s="101">
        <f t="shared" ref="J205:J268" si="18">ROUND(G205*E205,2)</f>
        <v>0</v>
      </c>
      <c r="K205" s="101">
        <f t="shared" ref="K205:K268" si="19">I205+J205</f>
        <v>0</v>
      </c>
      <c r="L205" s="102"/>
    </row>
    <row r="206" spans="2:12" ht="31" x14ac:dyDescent="0.35">
      <c r="B206" s="111">
        <f t="shared" si="16"/>
        <v>196</v>
      </c>
      <c r="C206" s="64" t="s">
        <v>348</v>
      </c>
      <c r="D206" s="77" t="s">
        <v>26</v>
      </c>
      <c r="E206" s="78">
        <f>37.2*0.97</f>
        <v>36.084000000000003</v>
      </c>
      <c r="F206" s="65"/>
      <c r="G206" s="65">
        <v>300</v>
      </c>
      <c r="H206" s="65">
        <f t="shared" si="15"/>
        <v>300</v>
      </c>
      <c r="I206" s="79">
        <f t="shared" si="17"/>
        <v>0</v>
      </c>
      <c r="J206" s="79">
        <f t="shared" si="18"/>
        <v>10825.2</v>
      </c>
      <c r="K206" s="79">
        <f t="shared" si="19"/>
        <v>10825.2</v>
      </c>
      <c r="L206" s="121"/>
    </row>
    <row r="207" spans="2:12" x14ac:dyDescent="0.35">
      <c r="B207" s="111">
        <f t="shared" si="16"/>
        <v>197</v>
      </c>
      <c r="C207" s="64" t="s">
        <v>19</v>
      </c>
      <c r="D207" s="77" t="s">
        <v>26</v>
      </c>
      <c r="E207" s="78">
        <f>E206/97*3</f>
        <v>1.1160000000000001</v>
      </c>
      <c r="F207" s="65"/>
      <c r="G207" s="65">
        <v>1500</v>
      </c>
      <c r="H207" s="65">
        <f t="shared" ref="H207:H270" si="20">F207+G207</f>
        <v>1500</v>
      </c>
      <c r="I207" s="79">
        <f t="shared" si="17"/>
        <v>0</v>
      </c>
      <c r="J207" s="79">
        <f t="shared" si="18"/>
        <v>1674</v>
      </c>
      <c r="K207" s="79">
        <f t="shared" si="19"/>
        <v>1674</v>
      </c>
      <c r="L207" s="121"/>
    </row>
    <row r="208" spans="2:12" x14ac:dyDescent="0.35">
      <c r="B208" s="111">
        <f t="shared" si="16"/>
        <v>198</v>
      </c>
      <c r="C208" s="64" t="s">
        <v>184</v>
      </c>
      <c r="D208" s="77" t="s">
        <v>25</v>
      </c>
      <c r="E208" s="78">
        <f>E205*0.75</f>
        <v>8.5500000000000007</v>
      </c>
      <c r="F208" s="65"/>
      <c r="G208" s="65"/>
      <c r="H208" s="65">
        <f t="shared" si="20"/>
        <v>0</v>
      </c>
      <c r="I208" s="79">
        <f t="shared" si="17"/>
        <v>0</v>
      </c>
      <c r="J208" s="79">
        <f t="shared" si="18"/>
        <v>0</v>
      </c>
      <c r="K208" s="79">
        <f t="shared" si="19"/>
        <v>0</v>
      </c>
      <c r="L208" s="121"/>
    </row>
    <row r="209" spans="2:12" ht="31" x14ac:dyDescent="0.35">
      <c r="B209" s="111">
        <f t="shared" si="16"/>
        <v>199</v>
      </c>
      <c r="C209" s="64" t="s">
        <v>194</v>
      </c>
      <c r="D209" s="77" t="s">
        <v>25</v>
      </c>
      <c r="E209" s="78">
        <f>E205*0.48</f>
        <v>5.4719999999999995</v>
      </c>
      <c r="F209" s="65">
        <f>1973*0.15</f>
        <v>295.95</v>
      </c>
      <c r="G209" s="65">
        <f>1500*0.15</f>
        <v>225</v>
      </c>
      <c r="H209" s="65">
        <f t="shared" si="20"/>
        <v>520.95000000000005</v>
      </c>
      <c r="I209" s="79">
        <f t="shared" si="17"/>
        <v>1619.44</v>
      </c>
      <c r="J209" s="79">
        <f t="shared" si="18"/>
        <v>1231.2</v>
      </c>
      <c r="K209" s="79">
        <f t="shared" si="19"/>
        <v>2850.6400000000003</v>
      </c>
      <c r="L209" s="121"/>
    </row>
    <row r="210" spans="2:12" x14ac:dyDescent="0.35">
      <c r="B210" s="111">
        <f t="shared" si="16"/>
        <v>200</v>
      </c>
      <c r="C210" s="64" t="s">
        <v>20</v>
      </c>
      <c r="D210" s="77" t="s">
        <v>26</v>
      </c>
      <c r="E210" s="78">
        <f>0.34*E205*0.1</f>
        <v>0.38760000000000006</v>
      </c>
      <c r="F210" s="65"/>
      <c r="G210" s="65">
        <v>5860</v>
      </c>
      <c r="H210" s="65">
        <f t="shared" si="20"/>
        <v>5860</v>
      </c>
      <c r="I210" s="79">
        <f t="shared" si="17"/>
        <v>0</v>
      </c>
      <c r="J210" s="79">
        <f t="shared" si="18"/>
        <v>2271.34</v>
      </c>
      <c r="K210" s="79">
        <f t="shared" si="19"/>
        <v>2271.34</v>
      </c>
      <c r="L210" s="121"/>
    </row>
    <row r="211" spans="2:12" x14ac:dyDescent="0.35">
      <c r="B211" s="111">
        <f t="shared" si="16"/>
        <v>201</v>
      </c>
      <c r="C211" s="80" t="s">
        <v>159</v>
      </c>
      <c r="D211" s="77" t="s">
        <v>26</v>
      </c>
      <c r="E211" s="78">
        <f>E210*1.02</f>
        <v>0.39535200000000004</v>
      </c>
      <c r="F211" s="65">
        <v>6700</v>
      </c>
      <c r="G211" s="65"/>
      <c r="H211" s="65">
        <f t="shared" si="20"/>
        <v>6700</v>
      </c>
      <c r="I211" s="79">
        <f t="shared" si="17"/>
        <v>2648.86</v>
      </c>
      <c r="J211" s="79">
        <f t="shared" si="18"/>
        <v>0</v>
      </c>
      <c r="K211" s="79">
        <f t="shared" si="19"/>
        <v>2648.86</v>
      </c>
      <c r="L211" s="121"/>
    </row>
    <row r="212" spans="2:12" x14ac:dyDescent="0.35">
      <c r="B212" s="111">
        <f t="shared" si="16"/>
        <v>202</v>
      </c>
      <c r="C212" s="64" t="s">
        <v>28</v>
      </c>
      <c r="D212" s="77" t="s">
        <v>26</v>
      </c>
      <c r="E212" s="78">
        <f>0.8*E205*0.1</f>
        <v>0.91200000000000014</v>
      </c>
      <c r="F212" s="65"/>
      <c r="G212" s="65">
        <v>5860</v>
      </c>
      <c r="H212" s="65">
        <f t="shared" si="20"/>
        <v>5860</v>
      </c>
      <c r="I212" s="79">
        <f t="shared" si="17"/>
        <v>0</v>
      </c>
      <c r="J212" s="79">
        <f t="shared" si="18"/>
        <v>5344.32</v>
      </c>
      <c r="K212" s="79">
        <f t="shared" si="19"/>
        <v>5344.32</v>
      </c>
      <c r="L212" s="121"/>
    </row>
    <row r="213" spans="2:12" x14ac:dyDescent="0.35">
      <c r="B213" s="111">
        <f t="shared" si="16"/>
        <v>203</v>
      </c>
      <c r="C213" s="80" t="s">
        <v>29</v>
      </c>
      <c r="D213" s="77" t="s">
        <v>26</v>
      </c>
      <c r="E213" s="78">
        <f>E212*1.02</f>
        <v>0.93024000000000018</v>
      </c>
      <c r="F213" s="65">
        <v>7100</v>
      </c>
      <c r="G213" s="65"/>
      <c r="H213" s="65">
        <f t="shared" si="20"/>
        <v>7100</v>
      </c>
      <c r="I213" s="79">
        <f t="shared" si="17"/>
        <v>6604.7</v>
      </c>
      <c r="J213" s="79">
        <f t="shared" si="18"/>
        <v>0</v>
      </c>
      <c r="K213" s="79">
        <f t="shared" si="19"/>
        <v>6604.7</v>
      </c>
      <c r="L213" s="121"/>
    </row>
    <row r="214" spans="2:12" x14ac:dyDescent="0.35">
      <c r="B214" s="111">
        <f t="shared" si="16"/>
        <v>204</v>
      </c>
      <c r="C214" s="80" t="s">
        <v>30</v>
      </c>
      <c r="D214" s="77" t="s">
        <v>31</v>
      </c>
      <c r="E214" s="78">
        <f>31.39*E205*0.1</f>
        <v>35.784600000000005</v>
      </c>
      <c r="F214" s="65">
        <v>118.9</v>
      </c>
      <c r="G214" s="65"/>
      <c r="H214" s="65">
        <f t="shared" si="20"/>
        <v>118.9</v>
      </c>
      <c r="I214" s="79">
        <f t="shared" si="17"/>
        <v>4254.79</v>
      </c>
      <c r="J214" s="79">
        <f t="shared" si="18"/>
        <v>0</v>
      </c>
      <c r="K214" s="79">
        <f t="shared" si="19"/>
        <v>4254.79</v>
      </c>
      <c r="L214" s="121"/>
    </row>
    <row r="215" spans="2:12" x14ac:dyDescent="0.35">
      <c r="B215" s="111">
        <f t="shared" si="16"/>
        <v>205</v>
      </c>
      <c r="C215" s="64" t="s">
        <v>189</v>
      </c>
      <c r="D215" s="77" t="s">
        <v>27</v>
      </c>
      <c r="E215" s="78">
        <f>E205</f>
        <v>11.4</v>
      </c>
      <c r="F215" s="65"/>
      <c r="G215" s="65">
        <v>2928</v>
      </c>
      <c r="H215" s="65">
        <f t="shared" si="20"/>
        <v>2928</v>
      </c>
      <c r="I215" s="79">
        <f t="shared" si="17"/>
        <v>0</v>
      </c>
      <c r="J215" s="79">
        <f t="shared" si="18"/>
        <v>33379.199999999997</v>
      </c>
      <c r="K215" s="79">
        <f t="shared" si="19"/>
        <v>33379.199999999997</v>
      </c>
      <c r="L215" s="121"/>
    </row>
    <row r="216" spans="2:12" ht="31" x14ac:dyDescent="0.35">
      <c r="B216" s="111">
        <f t="shared" si="16"/>
        <v>206</v>
      </c>
      <c r="C216" s="80" t="s">
        <v>195</v>
      </c>
      <c r="D216" s="77" t="s">
        <v>27</v>
      </c>
      <c r="E216" s="78">
        <f>E215*1.1</f>
        <v>12.540000000000001</v>
      </c>
      <c r="F216" s="65">
        <v>855</v>
      </c>
      <c r="G216" s="65"/>
      <c r="H216" s="65">
        <f t="shared" si="20"/>
        <v>855</v>
      </c>
      <c r="I216" s="79">
        <f t="shared" si="17"/>
        <v>10721.7</v>
      </c>
      <c r="J216" s="79">
        <f t="shared" si="18"/>
        <v>0</v>
      </c>
      <c r="K216" s="79">
        <f t="shared" si="19"/>
        <v>10721.7</v>
      </c>
      <c r="L216" s="121"/>
    </row>
    <row r="217" spans="2:12" ht="33" x14ac:dyDescent="0.35">
      <c r="B217" s="111">
        <f t="shared" si="16"/>
        <v>207</v>
      </c>
      <c r="C217" s="64" t="s">
        <v>355</v>
      </c>
      <c r="D217" s="81" t="s">
        <v>26</v>
      </c>
      <c r="E217" s="78">
        <v>33.799999999999997</v>
      </c>
      <c r="F217" s="65"/>
      <c r="G217" s="65">
        <v>439</v>
      </c>
      <c r="H217" s="65">
        <f t="shared" si="20"/>
        <v>439</v>
      </c>
      <c r="I217" s="79">
        <f t="shared" si="17"/>
        <v>0</v>
      </c>
      <c r="J217" s="79">
        <f t="shared" si="18"/>
        <v>14838.2</v>
      </c>
      <c r="K217" s="79">
        <f t="shared" si="19"/>
        <v>14838.2</v>
      </c>
      <c r="L217" s="121"/>
    </row>
    <row r="218" spans="2:12" ht="27" customHeight="1" x14ac:dyDescent="0.35">
      <c r="B218" s="111">
        <f t="shared" si="16"/>
        <v>208</v>
      </c>
      <c r="C218" s="98" t="s">
        <v>199</v>
      </c>
      <c r="D218" s="103" t="s">
        <v>32</v>
      </c>
      <c r="E218" s="100">
        <v>1</v>
      </c>
      <c r="F218" s="101"/>
      <c r="G218" s="101"/>
      <c r="H218" s="101">
        <f t="shared" si="20"/>
        <v>0</v>
      </c>
      <c r="I218" s="101">
        <f t="shared" si="17"/>
        <v>0</v>
      </c>
      <c r="J218" s="101">
        <f t="shared" si="18"/>
        <v>0</v>
      </c>
      <c r="K218" s="101">
        <f t="shared" si="19"/>
        <v>0</v>
      </c>
      <c r="L218" s="102"/>
    </row>
    <row r="219" spans="2:12" ht="31" x14ac:dyDescent="0.35">
      <c r="B219" s="111">
        <f t="shared" si="16"/>
        <v>209</v>
      </c>
      <c r="C219" s="64" t="s">
        <v>348</v>
      </c>
      <c r="D219" s="81" t="s">
        <v>26</v>
      </c>
      <c r="E219" s="78">
        <f>8.25*0.97</f>
        <v>8.0024999999999995</v>
      </c>
      <c r="F219" s="65"/>
      <c r="G219" s="65">
        <v>300</v>
      </c>
      <c r="H219" s="65">
        <f t="shared" si="20"/>
        <v>300</v>
      </c>
      <c r="I219" s="79">
        <f t="shared" si="17"/>
        <v>0</v>
      </c>
      <c r="J219" s="79">
        <f t="shared" si="18"/>
        <v>2400.75</v>
      </c>
      <c r="K219" s="79">
        <f t="shared" si="19"/>
        <v>2400.75</v>
      </c>
      <c r="L219" s="121"/>
    </row>
    <row r="220" spans="2:12" x14ac:dyDescent="0.35">
      <c r="B220" s="111">
        <f t="shared" si="16"/>
        <v>210</v>
      </c>
      <c r="C220" s="64" t="s">
        <v>19</v>
      </c>
      <c r="D220" s="81" t="s">
        <v>26</v>
      </c>
      <c r="E220" s="78">
        <f>E219/9</f>
        <v>0.88916666666666666</v>
      </c>
      <c r="F220" s="65"/>
      <c r="G220" s="65">
        <v>1500</v>
      </c>
      <c r="H220" s="65">
        <f t="shared" si="20"/>
        <v>1500</v>
      </c>
      <c r="I220" s="79">
        <f t="shared" si="17"/>
        <v>0</v>
      </c>
      <c r="J220" s="79">
        <f t="shared" si="18"/>
        <v>1333.75</v>
      </c>
      <c r="K220" s="79">
        <f t="shared" si="19"/>
        <v>1333.75</v>
      </c>
      <c r="L220" s="121"/>
    </row>
    <row r="221" spans="2:12" x14ac:dyDescent="0.35">
      <c r="B221" s="111">
        <f t="shared" si="16"/>
        <v>211</v>
      </c>
      <c r="C221" s="64" t="s">
        <v>67</v>
      </c>
      <c r="D221" s="81" t="s">
        <v>25</v>
      </c>
      <c r="E221" s="78">
        <f>(3.14*2.4^2)/4</f>
        <v>4.5216000000000003</v>
      </c>
      <c r="F221" s="65"/>
      <c r="G221" s="65"/>
      <c r="H221" s="65">
        <f t="shared" si="20"/>
        <v>0</v>
      </c>
      <c r="I221" s="79">
        <f t="shared" si="17"/>
        <v>0</v>
      </c>
      <c r="J221" s="79">
        <f t="shared" si="18"/>
        <v>0</v>
      </c>
      <c r="K221" s="79">
        <f t="shared" si="19"/>
        <v>0</v>
      </c>
      <c r="L221" s="121"/>
    </row>
    <row r="222" spans="2:12" x14ac:dyDescent="0.35">
      <c r="B222" s="111">
        <f t="shared" si="16"/>
        <v>212</v>
      </c>
      <c r="C222" s="64" t="s">
        <v>68</v>
      </c>
      <c r="D222" s="81" t="s">
        <v>26</v>
      </c>
      <c r="E222" s="78">
        <f>E221*0.1</f>
        <v>0.45216000000000006</v>
      </c>
      <c r="F222" s="65"/>
      <c r="G222" s="65">
        <v>5860</v>
      </c>
      <c r="H222" s="65">
        <f t="shared" si="20"/>
        <v>5860</v>
      </c>
      <c r="I222" s="79">
        <f t="shared" si="17"/>
        <v>0</v>
      </c>
      <c r="J222" s="79">
        <f t="shared" si="18"/>
        <v>2649.66</v>
      </c>
      <c r="K222" s="79">
        <f t="shared" si="19"/>
        <v>2649.66</v>
      </c>
      <c r="L222" s="121"/>
    </row>
    <row r="223" spans="2:12" x14ac:dyDescent="0.35">
      <c r="B223" s="111">
        <f t="shared" si="16"/>
        <v>213</v>
      </c>
      <c r="C223" s="80" t="s">
        <v>159</v>
      </c>
      <c r="D223" s="81" t="s">
        <v>26</v>
      </c>
      <c r="E223" s="78">
        <f>E222*1.02</f>
        <v>0.46120320000000009</v>
      </c>
      <c r="F223" s="65">
        <v>6700</v>
      </c>
      <c r="G223" s="65"/>
      <c r="H223" s="65">
        <f t="shared" si="20"/>
        <v>6700</v>
      </c>
      <c r="I223" s="79">
        <f t="shared" si="17"/>
        <v>3090.06</v>
      </c>
      <c r="J223" s="79">
        <f t="shared" si="18"/>
        <v>0</v>
      </c>
      <c r="K223" s="79">
        <f t="shared" si="19"/>
        <v>3090.06</v>
      </c>
      <c r="L223" s="121"/>
    </row>
    <row r="224" spans="2:12" x14ac:dyDescent="0.35">
      <c r="B224" s="111">
        <f t="shared" si="16"/>
        <v>214</v>
      </c>
      <c r="C224" s="64" t="s">
        <v>151</v>
      </c>
      <c r="D224" s="81" t="s">
        <v>25</v>
      </c>
      <c r="E224" s="78">
        <f>(3.14*2^2)/4</f>
        <v>3.14</v>
      </c>
      <c r="F224" s="65">
        <v>68.5</v>
      </c>
      <c r="G224" s="65">
        <v>150</v>
      </c>
      <c r="H224" s="65">
        <f t="shared" si="20"/>
        <v>218.5</v>
      </c>
      <c r="I224" s="79">
        <f t="shared" si="17"/>
        <v>215.09</v>
      </c>
      <c r="J224" s="79">
        <f t="shared" si="18"/>
        <v>471</v>
      </c>
      <c r="K224" s="79">
        <f t="shared" si="19"/>
        <v>686.09</v>
      </c>
      <c r="L224" s="121"/>
    </row>
    <row r="225" spans="2:12" ht="31" x14ac:dyDescent="0.35">
      <c r="B225" s="111">
        <f t="shared" si="16"/>
        <v>215</v>
      </c>
      <c r="C225" s="64" t="s">
        <v>152</v>
      </c>
      <c r="D225" s="81" t="s">
        <v>25</v>
      </c>
      <c r="E225" s="78">
        <f>E224</f>
        <v>3.14</v>
      </c>
      <c r="F225" s="65">
        <v>927</v>
      </c>
      <c r="G225" s="65">
        <v>400</v>
      </c>
      <c r="H225" s="65">
        <f t="shared" si="20"/>
        <v>1327</v>
      </c>
      <c r="I225" s="79">
        <f t="shared" si="17"/>
        <v>2910.78</v>
      </c>
      <c r="J225" s="79">
        <f t="shared" si="18"/>
        <v>1256</v>
      </c>
      <c r="K225" s="79">
        <f t="shared" si="19"/>
        <v>4166.7800000000007</v>
      </c>
      <c r="L225" s="121"/>
    </row>
    <row r="226" spans="2:12" ht="31" x14ac:dyDescent="0.35">
      <c r="B226" s="111">
        <f t="shared" si="16"/>
        <v>216</v>
      </c>
      <c r="C226" s="64" t="s">
        <v>107</v>
      </c>
      <c r="D226" s="81" t="s">
        <v>32</v>
      </c>
      <c r="E226" s="78">
        <v>1</v>
      </c>
      <c r="F226" s="65"/>
      <c r="G226" s="65">
        <v>5662</v>
      </c>
      <c r="H226" s="65">
        <f t="shared" si="20"/>
        <v>5662</v>
      </c>
      <c r="I226" s="79">
        <f t="shared" si="17"/>
        <v>0</v>
      </c>
      <c r="J226" s="79">
        <f t="shared" si="18"/>
        <v>5662</v>
      </c>
      <c r="K226" s="79">
        <f t="shared" si="19"/>
        <v>5662</v>
      </c>
      <c r="L226" s="121"/>
    </row>
    <row r="227" spans="2:12" x14ac:dyDescent="0.35">
      <c r="B227" s="111">
        <f t="shared" si="16"/>
        <v>217</v>
      </c>
      <c r="C227" s="82" t="s">
        <v>108</v>
      </c>
      <c r="D227" s="81" t="s">
        <v>32</v>
      </c>
      <c r="E227" s="78">
        <v>1</v>
      </c>
      <c r="F227" s="65">
        <f>6000*1.2</f>
        <v>7200</v>
      </c>
      <c r="G227" s="65"/>
      <c r="H227" s="65">
        <f t="shared" si="20"/>
        <v>7200</v>
      </c>
      <c r="I227" s="79">
        <f t="shared" si="17"/>
        <v>7200</v>
      </c>
      <c r="J227" s="79">
        <f t="shared" si="18"/>
        <v>0</v>
      </c>
      <c r="K227" s="79">
        <f t="shared" si="19"/>
        <v>7200</v>
      </c>
      <c r="L227" s="121"/>
    </row>
    <row r="228" spans="2:12" x14ac:dyDescent="0.35">
      <c r="B228" s="111">
        <f t="shared" si="16"/>
        <v>218</v>
      </c>
      <c r="C228" s="82" t="s">
        <v>101</v>
      </c>
      <c r="D228" s="81" t="s">
        <v>26</v>
      </c>
      <c r="E228" s="78">
        <f>((3.14*2^2)/4*0.02)*1.02</f>
        <v>6.4056000000000016E-2</v>
      </c>
      <c r="F228" s="65">
        <v>7300</v>
      </c>
      <c r="G228" s="65"/>
      <c r="H228" s="65">
        <f t="shared" si="20"/>
        <v>7300</v>
      </c>
      <c r="I228" s="79">
        <f t="shared" si="17"/>
        <v>467.61</v>
      </c>
      <c r="J228" s="79">
        <f t="shared" si="18"/>
        <v>0</v>
      </c>
      <c r="K228" s="79">
        <f t="shared" si="19"/>
        <v>467.61</v>
      </c>
      <c r="L228" s="121"/>
    </row>
    <row r="229" spans="2:12" ht="31" x14ac:dyDescent="0.35">
      <c r="B229" s="111">
        <f t="shared" si="16"/>
        <v>219</v>
      </c>
      <c r="C229" s="64" t="s">
        <v>179</v>
      </c>
      <c r="D229" s="81" t="s">
        <v>26</v>
      </c>
      <c r="E229" s="78">
        <v>1.2</v>
      </c>
      <c r="F229" s="65"/>
      <c r="G229" s="65">
        <v>5860</v>
      </c>
      <c r="H229" s="65">
        <f t="shared" si="20"/>
        <v>5860</v>
      </c>
      <c r="I229" s="79">
        <f t="shared" si="17"/>
        <v>0</v>
      </c>
      <c r="J229" s="79">
        <f t="shared" si="18"/>
        <v>7032</v>
      </c>
      <c r="K229" s="79">
        <f t="shared" si="19"/>
        <v>7032</v>
      </c>
      <c r="L229" s="121"/>
    </row>
    <row r="230" spans="2:12" x14ac:dyDescent="0.35">
      <c r="B230" s="111">
        <f t="shared" si="16"/>
        <v>220</v>
      </c>
      <c r="C230" s="82" t="s">
        <v>75</v>
      </c>
      <c r="D230" s="81" t="s">
        <v>26</v>
      </c>
      <c r="E230" s="78">
        <f>E229*1.02</f>
        <v>1.224</v>
      </c>
      <c r="F230" s="65">
        <v>7100</v>
      </c>
      <c r="G230" s="65"/>
      <c r="H230" s="65">
        <f t="shared" si="20"/>
        <v>7100</v>
      </c>
      <c r="I230" s="79">
        <f t="shared" si="17"/>
        <v>8690.4</v>
      </c>
      <c r="J230" s="79">
        <f t="shared" si="18"/>
        <v>0</v>
      </c>
      <c r="K230" s="79">
        <f t="shared" si="19"/>
        <v>8690.4</v>
      </c>
      <c r="L230" s="121"/>
    </row>
    <row r="231" spans="2:12" ht="31" x14ac:dyDescent="0.35">
      <c r="B231" s="111">
        <f t="shared" si="16"/>
        <v>221</v>
      </c>
      <c r="C231" s="64" t="s">
        <v>78</v>
      </c>
      <c r="D231" s="81" t="s">
        <v>32</v>
      </c>
      <c r="E231" s="78">
        <v>1</v>
      </c>
      <c r="F231" s="65"/>
      <c r="G231" s="65">
        <v>5662</v>
      </c>
      <c r="H231" s="65">
        <f t="shared" si="20"/>
        <v>5662</v>
      </c>
      <c r="I231" s="79">
        <f t="shared" si="17"/>
        <v>0</v>
      </c>
      <c r="J231" s="79">
        <f t="shared" si="18"/>
        <v>5662</v>
      </c>
      <c r="K231" s="79">
        <f t="shared" si="19"/>
        <v>5662</v>
      </c>
      <c r="L231" s="121"/>
    </row>
    <row r="232" spans="2:12" x14ac:dyDescent="0.35">
      <c r="B232" s="111">
        <f t="shared" si="16"/>
        <v>222</v>
      </c>
      <c r="C232" s="82" t="s">
        <v>109</v>
      </c>
      <c r="D232" s="81" t="s">
        <v>32</v>
      </c>
      <c r="E232" s="78">
        <v>1</v>
      </c>
      <c r="F232" s="65">
        <f>6000*1.2</f>
        <v>7200</v>
      </c>
      <c r="G232" s="65"/>
      <c r="H232" s="65">
        <f t="shared" si="20"/>
        <v>7200</v>
      </c>
      <c r="I232" s="79">
        <f t="shared" si="17"/>
        <v>7200</v>
      </c>
      <c r="J232" s="79">
        <f t="shared" si="18"/>
        <v>0</v>
      </c>
      <c r="K232" s="79">
        <f t="shared" si="19"/>
        <v>7200</v>
      </c>
      <c r="L232" s="121"/>
    </row>
    <row r="233" spans="2:12" ht="31" x14ac:dyDescent="0.35">
      <c r="B233" s="111">
        <f t="shared" si="16"/>
        <v>223</v>
      </c>
      <c r="C233" s="64" t="s">
        <v>85</v>
      </c>
      <c r="D233" s="81" t="s">
        <v>32</v>
      </c>
      <c r="E233" s="78">
        <v>1</v>
      </c>
      <c r="F233" s="65"/>
      <c r="G233" s="65">
        <v>2500</v>
      </c>
      <c r="H233" s="65">
        <f t="shared" si="20"/>
        <v>2500</v>
      </c>
      <c r="I233" s="79">
        <f t="shared" si="17"/>
        <v>0</v>
      </c>
      <c r="J233" s="79">
        <f t="shared" si="18"/>
        <v>2500</v>
      </c>
      <c r="K233" s="79">
        <f t="shared" si="19"/>
        <v>2500</v>
      </c>
      <c r="L233" s="121"/>
    </row>
    <row r="234" spans="2:12" x14ac:dyDescent="0.35">
      <c r="B234" s="111">
        <f t="shared" si="16"/>
        <v>224</v>
      </c>
      <c r="C234" s="82" t="s">
        <v>154</v>
      </c>
      <c r="D234" s="81" t="s">
        <v>32</v>
      </c>
      <c r="E234" s="78">
        <v>1</v>
      </c>
      <c r="F234" s="65">
        <f>5500*1.2</f>
        <v>6600</v>
      </c>
      <c r="G234" s="65"/>
      <c r="H234" s="65">
        <f t="shared" si="20"/>
        <v>6600</v>
      </c>
      <c r="I234" s="79">
        <f t="shared" si="17"/>
        <v>6600</v>
      </c>
      <c r="J234" s="79">
        <f t="shared" si="18"/>
        <v>0</v>
      </c>
      <c r="K234" s="79">
        <f t="shared" si="19"/>
        <v>6600</v>
      </c>
      <c r="L234" s="121"/>
    </row>
    <row r="235" spans="2:12" ht="31" x14ac:dyDescent="0.35">
      <c r="B235" s="111">
        <f t="shared" si="16"/>
        <v>225</v>
      </c>
      <c r="C235" s="64" t="s">
        <v>316</v>
      </c>
      <c r="D235" s="81" t="s">
        <v>32</v>
      </c>
      <c r="E235" s="78">
        <v>1</v>
      </c>
      <c r="F235" s="65"/>
      <c r="G235" s="65"/>
      <c r="H235" s="65">
        <f t="shared" si="20"/>
        <v>0</v>
      </c>
      <c r="I235" s="79">
        <f t="shared" si="17"/>
        <v>0</v>
      </c>
      <c r="J235" s="79">
        <f t="shared" si="18"/>
        <v>0</v>
      </c>
      <c r="K235" s="79">
        <f t="shared" si="19"/>
        <v>0</v>
      </c>
      <c r="L235" s="121"/>
    </row>
    <row r="236" spans="2:12" x14ac:dyDescent="0.35">
      <c r="B236" s="111">
        <f t="shared" si="16"/>
        <v>226</v>
      </c>
      <c r="C236" s="82" t="s">
        <v>84</v>
      </c>
      <c r="D236" s="81" t="s">
        <v>32</v>
      </c>
      <c r="E236" s="78">
        <v>1</v>
      </c>
      <c r="F236" s="65">
        <v>1300</v>
      </c>
      <c r="G236" s="65">
        <v>990</v>
      </c>
      <c r="H236" s="65">
        <f t="shared" si="20"/>
        <v>2290</v>
      </c>
      <c r="I236" s="79">
        <f t="shared" si="17"/>
        <v>1300</v>
      </c>
      <c r="J236" s="79">
        <f t="shared" si="18"/>
        <v>990</v>
      </c>
      <c r="K236" s="79">
        <f t="shared" si="19"/>
        <v>2290</v>
      </c>
      <c r="L236" s="121"/>
    </row>
    <row r="237" spans="2:12" x14ac:dyDescent="0.35">
      <c r="B237" s="111">
        <f t="shared" si="16"/>
        <v>227</v>
      </c>
      <c r="C237" s="80" t="s">
        <v>301</v>
      </c>
      <c r="D237" s="81" t="s">
        <v>32</v>
      </c>
      <c r="E237" s="78">
        <v>1</v>
      </c>
      <c r="F237" s="65">
        <v>6000</v>
      </c>
      <c r="G237" s="65">
        <v>1464.09</v>
      </c>
      <c r="H237" s="65">
        <f t="shared" si="20"/>
        <v>7464.09</v>
      </c>
      <c r="I237" s="79">
        <f t="shared" si="17"/>
        <v>6000</v>
      </c>
      <c r="J237" s="79">
        <f t="shared" si="18"/>
        <v>1464.09</v>
      </c>
      <c r="K237" s="79">
        <f t="shared" si="19"/>
        <v>7464.09</v>
      </c>
      <c r="L237" s="121"/>
    </row>
    <row r="238" spans="2:12" ht="31" x14ac:dyDescent="0.35">
      <c r="B238" s="111">
        <f t="shared" si="16"/>
        <v>228</v>
      </c>
      <c r="C238" s="64" t="s">
        <v>156</v>
      </c>
      <c r="D238" s="81" t="s">
        <v>25</v>
      </c>
      <c r="E238" s="78">
        <f>(3.14*1.68)*1.48</f>
        <v>7.807296</v>
      </c>
      <c r="F238" s="65">
        <v>68.5</v>
      </c>
      <c r="G238" s="65">
        <v>150</v>
      </c>
      <c r="H238" s="65">
        <f t="shared" si="20"/>
        <v>218.5</v>
      </c>
      <c r="I238" s="79">
        <f t="shared" si="17"/>
        <v>534.79999999999995</v>
      </c>
      <c r="J238" s="79">
        <f t="shared" si="18"/>
        <v>1171.0899999999999</v>
      </c>
      <c r="K238" s="79">
        <f t="shared" si="19"/>
        <v>1705.8899999999999</v>
      </c>
      <c r="L238" s="121"/>
    </row>
    <row r="239" spans="2:12" ht="46.5" x14ac:dyDescent="0.35">
      <c r="B239" s="111">
        <f t="shared" si="16"/>
        <v>229</v>
      </c>
      <c r="C239" s="64" t="s">
        <v>157</v>
      </c>
      <c r="D239" s="81" t="s">
        <v>25</v>
      </c>
      <c r="E239" s="78">
        <f>(3.14*1.68)*1.48</f>
        <v>7.807296</v>
      </c>
      <c r="F239" s="65">
        <v>927</v>
      </c>
      <c r="G239" s="65">
        <v>400</v>
      </c>
      <c r="H239" s="65">
        <f t="shared" si="20"/>
        <v>1327</v>
      </c>
      <c r="I239" s="79">
        <f t="shared" si="17"/>
        <v>7237.36</v>
      </c>
      <c r="J239" s="79">
        <f t="shared" si="18"/>
        <v>3122.92</v>
      </c>
      <c r="K239" s="79">
        <f t="shared" si="19"/>
        <v>10360.279999999999</v>
      </c>
      <c r="L239" s="121"/>
    </row>
    <row r="240" spans="2:12" x14ac:dyDescent="0.35">
      <c r="B240" s="111">
        <f t="shared" si="16"/>
        <v>230</v>
      </c>
      <c r="C240" s="64" t="s">
        <v>302</v>
      </c>
      <c r="D240" s="81" t="s">
        <v>32</v>
      </c>
      <c r="E240" s="78">
        <v>1</v>
      </c>
      <c r="F240" s="65"/>
      <c r="G240" s="65"/>
      <c r="H240" s="65">
        <f t="shared" si="20"/>
        <v>0</v>
      </c>
      <c r="I240" s="79">
        <f t="shared" si="17"/>
        <v>0</v>
      </c>
      <c r="J240" s="79">
        <f t="shared" si="18"/>
        <v>0</v>
      </c>
      <c r="K240" s="79">
        <f t="shared" si="19"/>
        <v>0</v>
      </c>
      <c r="L240" s="121"/>
    </row>
    <row r="241" spans="2:12" x14ac:dyDescent="0.35">
      <c r="B241" s="111">
        <f t="shared" si="16"/>
        <v>231</v>
      </c>
      <c r="C241" s="82" t="s">
        <v>303</v>
      </c>
      <c r="D241" s="81" t="s">
        <v>31</v>
      </c>
      <c r="E241" s="78">
        <v>13.84</v>
      </c>
      <c r="F241" s="68">
        <v>71</v>
      </c>
      <c r="G241" s="65">
        <v>97.61</v>
      </c>
      <c r="H241" s="65">
        <f t="shared" si="20"/>
        <v>168.61</v>
      </c>
      <c r="I241" s="79">
        <f t="shared" si="17"/>
        <v>982.64</v>
      </c>
      <c r="J241" s="79">
        <f t="shared" si="18"/>
        <v>1350.92</v>
      </c>
      <c r="K241" s="79">
        <f t="shared" si="19"/>
        <v>2333.56</v>
      </c>
      <c r="L241" s="121"/>
    </row>
    <row r="242" spans="2:12" x14ac:dyDescent="0.35">
      <c r="B242" s="111">
        <f t="shared" si="16"/>
        <v>232</v>
      </c>
      <c r="C242" s="64" t="s">
        <v>93</v>
      </c>
      <c r="D242" s="81" t="s">
        <v>32</v>
      </c>
      <c r="E242" s="78">
        <v>1</v>
      </c>
      <c r="F242" s="65"/>
      <c r="G242" s="65"/>
      <c r="H242" s="65">
        <f t="shared" si="20"/>
        <v>0</v>
      </c>
      <c r="I242" s="79">
        <f t="shared" si="17"/>
        <v>0</v>
      </c>
      <c r="J242" s="79">
        <f t="shared" si="18"/>
        <v>0</v>
      </c>
      <c r="K242" s="79">
        <f t="shared" si="19"/>
        <v>0</v>
      </c>
      <c r="L242" s="121"/>
    </row>
    <row r="243" spans="2:12" x14ac:dyDescent="0.35">
      <c r="B243" s="111">
        <f t="shared" si="16"/>
        <v>233</v>
      </c>
      <c r="C243" s="82" t="s">
        <v>94</v>
      </c>
      <c r="D243" s="81" t="s">
        <v>31</v>
      </c>
      <c r="E243" s="78">
        <v>0.82</v>
      </c>
      <c r="F243" s="68">
        <v>71</v>
      </c>
      <c r="G243" s="65">
        <v>97.61</v>
      </c>
      <c r="H243" s="65">
        <f t="shared" si="20"/>
        <v>168.61</v>
      </c>
      <c r="I243" s="79">
        <f t="shared" si="17"/>
        <v>58.22</v>
      </c>
      <c r="J243" s="79">
        <f t="shared" si="18"/>
        <v>80.040000000000006</v>
      </c>
      <c r="K243" s="79">
        <f t="shared" si="19"/>
        <v>138.26</v>
      </c>
      <c r="L243" s="121"/>
    </row>
    <row r="244" spans="2:12" ht="31" x14ac:dyDescent="0.35">
      <c r="B244" s="111">
        <f t="shared" si="16"/>
        <v>234</v>
      </c>
      <c r="C244" s="64" t="s">
        <v>153</v>
      </c>
      <c r="D244" s="81" t="s">
        <v>32</v>
      </c>
      <c r="E244" s="78">
        <v>3</v>
      </c>
      <c r="F244" s="65"/>
      <c r="G244" s="65">
        <v>1464</v>
      </c>
      <c r="H244" s="65">
        <f t="shared" si="20"/>
        <v>1464</v>
      </c>
      <c r="I244" s="79">
        <f t="shared" si="17"/>
        <v>0</v>
      </c>
      <c r="J244" s="79">
        <f t="shared" si="18"/>
        <v>4392</v>
      </c>
      <c r="K244" s="79">
        <f t="shared" si="19"/>
        <v>4392</v>
      </c>
      <c r="L244" s="121"/>
    </row>
    <row r="245" spans="2:12" ht="33" x14ac:dyDescent="0.35">
      <c r="B245" s="111">
        <f t="shared" si="16"/>
        <v>235</v>
      </c>
      <c r="C245" s="64" t="s">
        <v>362</v>
      </c>
      <c r="D245" s="81" t="s">
        <v>26</v>
      </c>
      <c r="E245" s="78">
        <v>4.93</v>
      </c>
      <c r="F245" s="65"/>
      <c r="G245" s="65">
        <v>439</v>
      </c>
      <c r="H245" s="65">
        <f t="shared" si="20"/>
        <v>439</v>
      </c>
      <c r="I245" s="79">
        <f t="shared" si="17"/>
        <v>0</v>
      </c>
      <c r="J245" s="79">
        <f t="shared" si="18"/>
        <v>2164.27</v>
      </c>
      <c r="K245" s="79">
        <f t="shared" si="19"/>
        <v>2164.27</v>
      </c>
      <c r="L245" s="121"/>
    </row>
    <row r="246" spans="2:12" ht="30" x14ac:dyDescent="0.35">
      <c r="B246" s="111">
        <f t="shared" si="16"/>
        <v>236</v>
      </c>
      <c r="C246" s="98" t="s">
        <v>200</v>
      </c>
      <c r="D246" s="99" t="s">
        <v>27</v>
      </c>
      <c r="E246" s="100">
        <v>5.3</v>
      </c>
      <c r="F246" s="101"/>
      <c r="G246" s="101"/>
      <c r="H246" s="101">
        <f t="shared" si="20"/>
        <v>0</v>
      </c>
      <c r="I246" s="101">
        <f t="shared" si="17"/>
        <v>0</v>
      </c>
      <c r="J246" s="101">
        <f t="shared" si="18"/>
        <v>0</v>
      </c>
      <c r="K246" s="101">
        <f t="shared" si="19"/>
        <v>0</v>
      </c>
      <c r="L246" s="102"/>
    </row>
    <row r="247" spans="2:12" ht="31" x14ac:dyDescent="0.35">
      <c r="B247" s="111">
        <f t="shared" si="16"/>
        <v>237</v>
      </c>
      <c r="C247" s="64" t="s">
        <v>348</v>
      </c>
      <c r="D247" s="77" t="s">
        <v>26</v>
      </c>
      <c r="E247" s="78">
        <f>0.97*5.89</f>
        <v>5.7132999999999994</v>
      </c>
      <c r="F247" s="65"/>
      <c r="G247" s="65">
        <v>300</v>
      </c>
      <c r="H247" s="65">
        <f t="shared" si="20"/>
        <v>300</v>
      </c>
      <c r="I247" s="79">
        <f t="shared" si="17"/>
        <v>0</v>
      </c>
      <c r="J247" s="79">
        <f t="shared" si="18"/>
        <v>1713.99</v>
      </c>
      <c r="K247" s="79">
        <f t="shared" si="19"/>
        <v>1713.99</v>
      </c>
      <c r="L247" s="121"/>
    </row>
    <row r="248" spans="2:12" x14ac:dyDescent="0.35">
      <c r="B248" s="111">
        <f t="shared" si="16"/>
        <v>238</v>
      </c>
      <c r="C248" s="64" t="s">
        <v>19</v>
      </c>
      <c r="D248" s="77" t="s">
        <v>26</v>
      </c>
      <c r="E248" s="78">
        <f>E247/97*3</f>
        <v>0.17669999999999997</v>
      </c>
      <c r="F248" s="65"/>
      <c r="G248" s="65">
        <v>1500</v>
      </c>
      <c r="H248" s="65">
        <f t="shared" si="20"/>
        <v>1500</v>
      </c>
      <c r="I248" s="79">
        <f t="shared" si="17"/>
        <v>0</v>
      </c>
      <c r="J248" s="79">
        <f t="shared" si="18"/>
        <v>265.05</v>
      </c>
      <c r="K248" s="79">
        <f t="shared" si="19"/>
        <v>265.05</v>
      </c>
      <c r="L248" s="121"/>
    </row>
    <row r="249" spans="2:12" x14ac:dyDescent="0.35">
      <c r="B249" s="111">
        <f t="shared" si="16"/>
        <v>239</v>
      </c>
      <c r="C249" s="64" t="s">
        <v>184</v>
      </c>
      <c r="D249" s="77" t="s">
        <v>25</v>
      </c>
      <c r="E249" s="78">
        <f>E246*0.75</f>
        <v>3.9749999999999996</v>
      </c>
      <c r="F249" s="65"/>
      <c r="G249" s="65"/>
      <c r="H249" s="65">
        <f t="shared" si="20"/>
        <v>0</v>
      </c>
      <c r="I249" s="79">
        <f t="shared" si="17"/>
        <v>0</v>
      </c>
      <c r="J249" s="79">
        <f t="shared" si="18"/>
        <v>0</v>
      </c>
      <c r="K249" s="79">
        <f t="shared" si="19"/>
        <v>0</v>
      </c>
      <c r="L249" s="121"/>
    </row>
    <row r="250" spans="2:12" ht="31" x14ac:dyDescent="0.35">
      <c r="B250" s="111">
        <f t="shared" si="16"/>
        <v>240</v>
      </c>
      <c r="C250" s="64" t="s">
        <v>194</v>
      </c>
      <c r="D250" s="77" t="s">
        <v>25</v>
      </c>
      <c r="E250" s="78">
        <f>E246*0.48</f>
        <v>2.544</v>
      </c>
      <c r="F250" s="65">
        <f>1973*0.15</f>
        <v>295.95</v>
      </c>
      <c r="G250" s="65">
        <f>1500*0.15</f>
        <v>225</v>
      </c>
      <c r="H250" s="65">
        <f t="shared" si="20"/>
        <v>520.95000000000005</v>
      </c>
      <c r="I250" s="79">
        <f t="shared" si="17"/>
        <v>752.9</v>
      </c>
      <c r="J250" s="79">
        <f t="shared" si="18"/>
        <v>572.4</v>
      </c>
      <c r="K250" s="79">
        <f t="shared" si="19"/>
        <v>1325.3</v>
      </c>
      <c r="L250" s="121"/>
    </row>
    <row r="251" spans="2:12" x14ac:dyDescent="0.35">
      <c r="B251" s="111">
        <f t="shared" si="16"/>
        <v>241</v>
      </c>
      <c r="C251" s="64" t="s">
        <v>20</v>
      </c>
      <c r="D251" s="77" t="s">
        <v>26</v>
      </c>
      <c r="E251" s="78">
        <f>0.34*E246*0.1</f>
        <v>0.18020000000000003</v>
      </c>
      <c r="F251" s="65"/>
      <c r="G251" s="65">
        <v>5860</v>
      </c>
      <c r="H251" s="65">
        <f t="shared" si="20"/>
        <v>5860</v>
      </c>
      <c r="I251" s="79">
        <f t="shared" si="17"/>
        <v>0</v>
      </c>
      <c r="J251" s="79">
        <f t="shared" si="18"/>
        <v>1055.97</v>
      </c>
      <c r="K251" s="79">
        <f t="shared" si="19"/>
        <v>1055.97</v>
      </c>
      <c r="L251" s="121"/>
    </row>
    <row r="252" spans="2:12" x14ac:dyDescent="0.35">
      <c r="B252" s="111">
        <f t="shared" si="16"/>
        <v>242</v>
      </c>
      <c r="C252" s="80" t="s">
        <v>159</v>
      </c>
      <c r="D252" s="77" t="s">
        <v>26</v>
      </c>
      <c r="E252" s="78">
        <f>E251*1.02</f>
        <v>0.18380400000000002</v>
      </c>
      <c r="F252" s="65">
        <v>6700</v>
      </c>
      <c r="G252" s="65"/>
      <c r="H252" s="65">
        <f t="shared" si="20"/>
        <v>6700</v>
      </c>
      <c r="I252" s="79">
        <f t="shared" si="17"/>
        <v>1231.49</v>
      </c>
      <c r="J252" s="79">
        <f t="shared" si="18"/>
        <v>0</v>
      </c>
      <c r="K252" s="79">
        <f t="shared" si="19"/>
        <v>1231.49</v>
      </c>
      <c r="L252" s="121"/>
    </row>
    <row r="253" spans="2:12" x14ac:dyDescent="0.35">
      <c r="B253" s="111">
        <f t="shared" si="16"/>
        <v>243</v>
      </c>
      <c r="C253" s="64" t="s">
        <v>28</v>
      </c>
      <c r="D253" s="77" t="s">
        <v>26</v>
      </c>
      <c r="E253" s="78">
        <f>0.8*E246*0.1</f>
        <v>0.42400000000000004</v>
      </c>
      <c r="F253" s="65"/>
      <c r="G253" s="65">
        <v>5860</v>
      </c>
      <c r="H253" s="65">
        <f t="shared" si="20"/>
        <v>5860</v>
      </c>
      <c r="I253" s="79">
        <f t="shared" si="17"/>
        <v>0</v>
      </c>
      <c r="J253" s="79">
        <f t="shared" si="18"/>
        <v>2484.64</v>
      </c>
      <c r="K253" s="79">
        <f t="shared" si="19"/>
        <v>2484.64</v>
      </c>
      <c r="L253" s="121"/>
    </row>
    <row r="254" spans="2:12" x14ac:dyDescent="0.35">
      <c r="B254" s="111">
        <f t="shared" si="16"/>
        <v>244</v>
      </c>
      <c r="C254" s="80" t="s">
        <v>29</v>
      </c>
      <c r="D254" s="77" t="s">
        <v>26</v>
      </c>
      <c r="E254" s="78">
        <f>E253*1.02</f>
        <v>0.43248000000000003</v>
      </c>
      <c r="F254" s="65">
        <v>7100</v>
      </c>
      <c r="G254" s="65"/>
      <c r="H254" s="65">
        <f t="shared" si="20"/>
        <v>7100</v>
      </c>
      <c r="I254" s="79">
        <f t="shared" si="17"/>
        <v>3070.61</v>
      </c>
      <c r="J254" s="79">
        <f t="shared" si="18"/>
        <v>0</v>
      </c>
      <c r="K254" s="79">
        <f t="shared" si="19"/>
        <v>3070.61</v>
      </c>
      <c r="L254" s="121"/>
    </row>
    <row r="255" spans="2:12" x14ac:dyDescent="0.35">
      <c r="B255" s="111">
        <f t="shared" si="16"/>
        <v>245</v>
      </c>
      <c r="C255" s="80" t="s">
        <v>30</v>
      </c>
      <c r="D255" s="77" t="s">
        <v>31</v>
      </c>
      <c r="E255" s="78">
        <f>31.39*E246*0.1</f>
        <v>16.636700000000001</v>
      </c>
      <c r="F255" s="65">
        <v>118.9</v>
      </c>
      <c r="G255" s="65"/>
      <c r="H255" s="65">
        <f t="shared" si="20"/>
        <v>118.9</v>
      </c>
      <c r="I255" s="79">
        <f t="shared" si="17"/>
        <v>1978.1</v>
      </c>
      <c r="J255" s="79">
        <f t="shared" si="18"/>
        <v>0</v>
      </c>
      <c r="K255" s="79">
        <f t="shared" si="19"/>
        <v>1978.1</v>
      </c>
      <c r="L255" s="121"/>
    </row>
    <row r="256" spans="2:12" x14ac:dyDescent="0.35">
      <c r="B256" s="111">
        <f t="shared" si="16"/>
        <v>246</v>
      </c>
      <c r="C256" s="64" t="s">
        <v>189</v>
      </c>
      <c r="D256" s="77" t="s">
        <v>27</v>
      </c>
      <c r="E256" s="78">
        <f>E246</f>
        <v>5.3</v>
      </c>
      <c r="F256" s="65"/>
      <c r="G256" s="65">
        <v>2928</v>
      </c>
      <c r="H256" s="65">
        <f t="shared" si="20"/>
        <v>2928</v>
      </c>
      <c r="I256" s="79">
        <f t="shared" si="17"/>
        <v>0</v>
      </c>
      <c r="J256" s="79">
        <f t="shared" si="18"/>
        <v>15518.4</v>
      </c>
      <c r="K256" s="79">
        <f t="shared" si="19"/>
        <v>15518.4</v>
      </c>
      <c r="L256" s="121"/>
    </row>
    <row r="257" spans="2:12" ht="31" x14ac:dyDescent="0.35">
      <c r="B257" s="111">
        <f t="shared" si="16"/>
        <v>247</v>
      </c>
      <c r="C257" s="80" t="s">
        <v>195</v>
      </c>
      <c r="D257" s="77" t="s">
        <v>27</v>
      </c>
      <c r="E257" s="78">
        <f>E256*1.1</f>
        <v>5.83</v>
      </c>
      <c r="F257" s="65">
        <v>855</v>
      </c>
      <c r="G257" s="65"/>
      <c r="H257" s="65">
        <f t="shared" si="20"/>
        <v>855</v>
      </c>
      <c r="I257" s="79">
        <f t="shared" si="17"/>
        <v>4984.6499999999996</v>
      </c>
      <c r="J257" s="79">
        <f t="shared" si="18"/>
        <v>0</v>
      </c>
      <c r="K257" s="79">
        <f t="shared" si="19"/>
        <v>4984.6499999999996</v>
      </c>
      <c r="L257" s="121"/>
    </row>
    <row r="258" spans="2:12" ht="33" x14ac:dyDescent="0.35">
      <c r="B258" s="111">
        <f t="shared" si="16"/>
        <v>248</v>
      </c>
      <c r="C258" s="64" t="s">
        <v>355</v>
      </c>
      <c r="D258" s="81" t="s">
        <v>26</v>
      </c>
      <c r="E258" s="78">
        <v>4.7</v>
      </c>
      <c r="F258" s="65"/>
      <c r="G258" s="65">
        <v>439</v>
      </c>
      <c r="H258" s="65">
        <f t="shared" si="20"/>
        <v>439</v>
      </c>
      <c r="I258" s="79">
        <f t="shared" si="17"/>
        <v>0</v>
      </c>
      <c r="J258" s="79">
        <f t="shared" si="18"/>
        <v>2063.3000000000002</v>
      </c>
      <c r="K258" s="79">
        <f t="shared" si="19"/>
        <v>2063.3000000000002</v>
      </c>
      <c r="L258" s="121"/>
    </row>
    <row r="259" spans="2:12" ht="24" customHeight="1" x14ac:dyDescent="0.35">
      <c r="B259" s="111">
        <f t="shared" si="16"/>
        <v>249</v>
      </c>
      <c r="C259" s="98" t="s">
        <v>201</v>
      </c>
      <c r="D259" s="103" t="s">
        <v>32</v>
      </c>
      <c r="E259" s="100">
        <v>1</v>
      </c>
      <c r="F259" s="101"/>
      <c r="G259" s="101"/>
      <c r="H259" s="101">
        <f t="shared" si="20"/>
        <v>0</v>
      </c>
      <c r="I259" s="101">
        <f t="shared" si="17"/>
        <v>0</v>
      </c>
      <c r="J259" s="101">
        <f t="shared" si="18"/>
        <v>0</v>
      </c>
      <c r="K259" s="101">
        <f t="shared" si="19"/>
        <v>0</v>
      </c>
      <c r="L259" s="102"/>
    </row>
    <row r="260" spans="2:12" ht="31" x14ac:dyDescent="0.35">
      <c r="B260" s="111">
        <f t="shared" si="16"/>
        <v>250</v>
      </c>
      <c r="C260" s="64" t="s">
        <v>348</v>
      </c>
      <c r="D260" s="81" t="s">
        <v>26</v>
      </c>
      <c r="E260" s="78">
        <f>5.79*0.97</f>
        <v>5.6162999999999998</v>
      </c>
      <c r="F260" s="65"/>
      <c r="G260" s="65">
        <v>300</v>
      </c>
      <c r="H260" s="65">
        <f t="shared" si="20"/>
        <v>300</v>
      </c>
      <c r="I260" s="79">
        <f t="shared" si="17"/>
        <v>0</v>
      </c>
      <c r="J260" s="79">
        <f t="shared" si="18"/>
        <v>1684.89</v>
      </c>
      <c r="K260" s="79">
        <f t="shared" si="19"/>
        <v>1684.89</v>
      </c>
      <c r="L260" s="121"/>
    </row>
    <row r="261" spans="2:12" x14ac:dyDescent="0.35">
      <c r="B261" s="111">
        <f t="shared" si="16"/>
        <v>251</v>
      </c>
      <c r="C261" s="64" t="s">
        <v>19</v>
      </c>
      <c r="D261" s="81" t="s">
        <v>26</v>
      </c>
      <c r="E261" s="78">
        <f>E260/9</f>
        <v>0.62403333333333333</v>
      </c>
      <c r="F261" s="65"/>
      <c r="G261" s="65">
        <v>1500</v>
      </c>
      <c r="H261" s="65">
        <f t="shared" si="20"/>
        <v>1500</v>
      </c>
      <c r="I261" s="79">
        <f t="shared" si="17"/>
        <v>0</v>
      </c>
      <c r="J261" s="79">
        <f t="shared" si="18"/>
        <v>936.05</v>
      </c>
      <c r="K261" s="79">
        <f t="shared" si="19"/>
        <v>936.05</v>
      </c>
      <c r="L261" s="121"/>
    </row>
    <row r="262" spans="2:12" x14ac:dyDescent="0.35">
      <c r="B262" s="111">
        <f t="shared" si="16"/>
        <v>252</v>
      </c>
      <c r="C262" s="64" t="s">
        <v>67</v>
      </c>
      <c r="D262" s="81" t="s">
        <v>25</v>
      </c>
      <c r="E262" s="78">
        <f>(3.14*2.4^2)/4</f>
        <v>4.5216000000000003</v>
      </c>
      <c r="F262" s="65"/>
      <c r="G262" s="65"/>
      <c r="H262" s="65">
        <f t="shared" si="20"/>
        <v>0</v>
      </c>
      <c r="I262" s="79">
        <f t="shared" si="17"/>
        <v>0</v>
      </c>
      <c r="J262" s="79">
        <f t="shared" si="18"/>
        <v>0</v>
      </c>
      <c r="K262" s="79">
        <f t="shared" si="19"/>
        <v>0</v>
      </c>
      <c r="L262" s="121"/>
    </row>
    <row r="263" spans="2:12" x14ac:dyDescent="0.35">
      <c r="B263" s="111">
        <f t="shared" si="16"/>
        <v>253</v>
      </c>
      <c r="C263" s="64" t="s">
        <v>68</v>
      </c>
      <c r="D263" s="81" t="s">
        <v>26</v>
      </c>
      <c r="E263" s="78">
        <f>E262*0.1</f>
        <v>0.45216000000000006</v>
      </c>
      <c r="F263" s="65"/>
      <c r="G263" s="65">
        <v>5860</v>
      </c>
      <c r="H263" s="65">
        <f t="shared" si="20"/>
        <v>5860</v>
      </c>
      <c r="I263" s="79">
        <f t="shared" si="17"/>
        <v>0</v>
      </c>
      <c r="J263" s="79">
        <f t="shared" si="18"/>
        <v>2649.66</v>
      </c>
      <c r="K263" s="79">
        <f t="shared" si="19"/>
        <v>2649.66</v>
      </c>
      <c r="L263" s="121"/>
    </row>
    <row r="264" spans="2:12" x14ac:dyDescent="0.35">
      <c r="B264" s="111">
        <f t="shared" si="16"/>
        <v>254</v>
      </c>
      <c r="C264" s="80" t="s">
        <v>159</v>
      </c>
      <c r="D264" s="81" t="s">
        <v>26</v>
      </c>
      <c r="E264" s="78">
        <f>E263*1.02</f>
        <v>0.46120320000000009</v>
      </c>
      <c r="F264" s="65">
        <v>6700</v>
      </c>
      <c r="G264" s="65"/>
      <c r="H264" s="65">
        <f t="shared" si="20"/>
        <v>6700</v>
      </c>
      <c r="I264" s="79">
        <f t="shared" si="17"/>
        <v>3090.06</v>
      </c>
      <c r="J264" s="79">
        <f t="shared" si="18"/>
        <v>0</v>
      </c>
      <c r="K264" s="79">
        <f t="shared" si="19"/>
        <v>3090.06</v>
      </c>
      <c r="L264" s="121"/>
    </row>
    <row r="265" spans="2:12" x14ac:dyDescent="0.35">
      <c r="B265" s="111">
        <f t="shared" si="16"/>
        <v>255</v>
      </c>
      <c r="C265" s="64" t="s">
        <v>151</v>
      </c>
      <c r="D265" s="81" t="s">
        <v>25</v>
      </c>
      <c r="E265" s="78">
        <f>(3.14*2^2)/4</f>
        <v>3.14</v>
      </c>
      <c r="F265" s="65">
        <v>68.5</v>
      </c>
      <c r="G265" s="65">
        <v>150</v>
      </c>
      <c r="H265" s="65">
        <f t="shared" si="20"/>
        <v>218.5</v>
      </c>
      <c r="I265" s="79">
        <f t="shared" si="17"/>
        <v>215.09</v>
      </c>
      <c r="J265" s="79">
        <f t="shared" si="18"/>
        <v>471</v>
      </c>
      <c r="K265" s="79">
        <f t="shared" si="19"/>
        <v>686.09</v>
      </c>
      <c r="L265" s="121"/>
    </row>
    <row r="266" spans="2:12" ht="31" x14ac:dyDescent="0.35">
      <c r="B266" s="111">
        <f t="shared" si="16"/>
        <v>256</v>
      </c>
      <c r="C266" s="64" t="s">
        <v>152</v>
      </c>
      <c r="D266" s="81" t="s">
        <v>25</v>
      </c>
      <c r="E266" s="78">
        <f>E265</f>
        <v>3.14</v>
      </c>
      <c r="F266" s="65">
        <v>927</v>
      </c>
      <c r="G266" s="65">
        <v>400</v>
      </c>
      <c r="H266" s="65">
        <f t="shared" si="20"/>
        <v>1327</v>
      </c>
      <c r="I266" s="79">
        <f t="shared" si="17"/>
        <v>2910.78</v>
      </c>
      <c r="J266" s="79">
        <f t="shared" si="18"/>
        <v>1256</v>
      </c>
      <c r="K266" s="79">
        <f t="shared" si="19"/>
        <v>4166.7800000000007</v>
      </c>
      <c r="L266" s="121"/>
    </row>
    <row r="267" spans="2:12" ht="31" x14ac:dyDescent="0.35">
      <c r="B267" s="111">
        <f t="shared" si="16"/>
        <v>257</v>
      </c>
      <c r="C267" s="64" t="s">
        <v>107</v>
      </c>
      <c r="D267" s="81" t="s">
        <v>32</v>
      </c>
      <c r="E267" s="78">
        <v>1</v>
      </c>
      <c r="F267" s="65"/>
      <c r="G267" s="65">
        <v>5662</v>
      </c>
      <c r="H267" s="65">
        <f t="shared" si="20"/>
        <v>5662</v>
      </c>
      <c r="I267" s="79">
        <f t="shared" si="17"/>
        <v>0</v>
      </c>
      <c r="J267" s="79">
        <f t="shared" si="18"/>
        <v>5662</v>
      </c>
      <c r="K267" s="79">
        <f t="shared" si="19"/>
        <v>5662</v>
      </c>
      <c r="L267" s="121"/>
    </row>
    <row r="268" spans="2:12" x14ac:dyDescent="0.35">
      <c r="B268" s="111">
        <f t="shared" si="16"/>
        <v>258</v>
      </c>
      <c r="C268" s="82" t="s">
        <v>108</v>
      </c>
      <c r="D268" s="81" t="s">
        <v>32</v>
      </c>
      <c r="E268" s="78">
        <v>1</v>
      </c>
      <c r="F268" s="65">
        <f>6000*1.2</f>
        <v>7200</v>
      </c>
      <c r="G268" s="65"/>
      <c r="H268" s="65">
        <f t="shared" si="20"/>
        <v>7200</v>
      </c>
      <c r="I268" s="79">
        <f t="shared" si="17"/>
        <v>7200</v>
      </c>
      <c r="J268" s="79">
        <f t="shared" si="18"/>
        <v>0</v>
      </c>
      <c r="K268" s="79">
        <f t="shared" si="19"/>
        <v>7200</v>
      </c>
      <c r="L268" s="121"/>
    </row>
    <row r="269" spans="2:12" x14ac:dyDescent="0.35">
      <c r="B269" s="111">
        <f t="shared" ref="B269:B332" si="21">B268+1</f>
        <v>259</v>
      </c>
      <c r="C269" s="82" t="s">
        <v>101</v>
      </c>
      <c r="D269" s="81" t="s">
        <v>26</v>
      </c>
      <c r="E269" s="78">
        <v>0.06</v>
      </c>
      <c r="F269" s="65">
        <v>7300</v>
      </c>
      <c r="G269" s="65"/>
      <c r="H269" s="65">
        <f t="shared" si="20"/>
        <v>7300</v>
      </c>
      <c r="I269" s="79">
        <f t="shared" ref="I269:I332" si="22">ROUND(F269*E269,2)</f>
        <v>438</v>
      </c>
      <c r="J269" s="79">
        <f t="shared" ref="J269:J332" si="23">ROUND(G269*E269,2)</f>
        <v>0</v>
      </c>
      <c r="K269" s="79">
        <f t="shared" ref="K269:K332" si="24">I269+J269</f>
        <v>438</v>
      </c>
      <c r="L269" s="121"/>
    </row>
    <row r="270" spans="2:12" ht="31" x14ac:dyDescent="0.35">
      <c r="B270" s="111">
        <f t="shared" si="21"/>
        <v>260</v>
      </c>
      <c r="C270" s="64" t="s">
        <v>179</v>
      </c>
      <c r="D270" s="81" t="s">
        <v>26</v>
      </c>
      <c r="E270" s="78">
        <v>1.2</v>
      </c>
      <c r="F270" s="65"/>
      <c r="G270" s="65">
        <v>5860</v>
      </c>
      <c r="H270" s="65">
        <f t="shared" si="20"/>
        <v>5860</v>
      </c>
      <c r="I270" s="79">
        <f t="shared" si="22"/>
        <v>0</v>
      </c>
      <c r="J270" s="79">
        <f t="shared" si="23"/>
        <v>7032</v>
      </c>
      <c r="K270" s="79">
        <f t="shared" si="24"/>
        <v>7032</v>
      </c>
      <c r="L270" s="121"/>
    </row>
    <row r="271" spans="2:12" x14ac:dyDescent="0.35">
      <c r="B271" s="111">
        <f t="shared" si="21"/>
        <v>261</v>
      </c>
      <c r="C271" s="82" t="s">
        <v>75</v>
      </c>
      <c r="D271" s="81" t="s">
        <v>26</v>
      </c>
      <c r="E271" s="78">
        <v>1.22</v>
      </c>
      <c r="F271" s="65">
        <v>7100</v>
      </c>
      <c r="G271" s="65"/>
      <c r="H271" s="65">
        <f t="shared" ref="H271:H334" si="25">F271+G271</f>
        <v>7100</v>
      </c>
      <c r="I271" s="79">
        <f t="shared" si="22"/>
        <v>8662</v>
      </c>
      <c r="J271" s="79">
        <f t="shared" si="23"/>
        <v>0</v>
      </c>
      <c r="K271" s="79">
        <f t="shared" si="24"/>
        <v>8662</v>
      </c>
      <c r="L271" s="121"/>
    </row>
    <row r="272" spans="2:12" ht="31" x14ac:dyDescent="0.35">
      <c r="B272" s="111">
        <f t="shared" si="21"/>
        <v>262</v>
      </c>
      <c r="C272" s="64" t="s">
        <v>78</v>
      </c>
      <c r="D272" s="81" t="s">
        <v>32</v>
      </c>
      <c r="E272" s="78">
        <v>3</v>
      </c>
      <c r="F272" s="65"/>
      <c r="G272" s="65">
        <v>5662</v>
      </c>
      <c r="H272" s="65">
        <f t="shared" si="25"/>
        <v>5662</v>
      </c>
      <c r="I272" s="79">
        <f t="shared" si="22"/>
        <v>0</v>
      </c>
      <c r="J272" s="79">
        <f t="shared" si="23"/>
        <v>16986</v>
      </c>
      <c r="K272" s="79">
        <f t="shared" si="24"/>
        <v>16986</v>
      </c>
      <c r="L272" s="121"/>
    </row>
    <row r="273" spans="2:12" x14ac:dyDescent="0.35">
      <c r="B273" s="111">
        <f t="shared" si="21"/>
        <v>263</v>
      </c>
      <c r="C273" s="82" t="s">
        <v>110</v>
      </c>
      <c r="D273" s="81" t="s">
        <v>32</v>
      </c>
      <c r="E273" s="78">
        <v>1</v>
      </c>
      <c r="F273" s="65">
        <f>4500*1.2</f>
        <v>5400</v>
      </c>
      <c r="G273" s="65"/>
      <c r="H273" s="65">
        <f t="shared" si="25"/>
        <v>5400</v>
      </c>
      <c r="I273" s="79">
        <f t="shared" si="22"/>
        <v>5400</v>
      </c>
      <c r="J273" s="79">
        <f t="shared" si="23"/>
        <v>0</v>
      </c>
      <c r="K273" s="79">
        <f t="shared" si="24"/>
        <v>5400</v>
      </c>
      <c r="L273" s="121"/>
    </row>
    <row r="274" spans="2:12" x14ac:dyDescent="0.35">
      <c r="B274" s="111">
        <f t="shared" si="21"/>
        <v>264</v>
      </c>
      <c r="C274" s="82" t="s">
        <v>306</v>
      </c>
      <c r="D274" s="81" t="s">
        <v>32</v>
      </c>
      <c r="E274" s="78">
        <v>2</v>
      </c>
      <c r="F274" s="65">
        <v>840</v>
      </c>
      <c r="G274" s="65"/>
      <c r="H274" s="65">
        <f t="shared" si="25"/>
        <v>840</v>
      </c>
      <c r="I274" s="79">
        <f t="shared" si="22"/>
        <v>1680</v>
      </c>
      <c r="J274" s="79">
        <f t="shared" si="23"/>
        <v>0</v>
      </c>
      <c r="K274" s="79">
        <f t="shared" si="24"/>
        <v>1680</v>
      </c>
      <c r="L274" s="121"/>
    </row>
    <row r="275" spans="2:12" ht="31" x14ac:dyDescent="0.35">
      <c r="B275" s="111">
        <f t="shared" si="21"/>
        <v>265</v>
      </c>
      <c r="C275" s="64" t="s">
        <v>85</v>
      </c>
      <c r="D275" s="81" t="s">
        <v>32</v>
      </c>
      <c r="E275" s="78">
        <v>1</v>
      </c>
      <c r="F275" s="65"/>
      <c r="G275" s="65">
        <v>2500</v>
      </c>
      <c r="H275" s="65">
        <f t="shared" si="25"/>
        <v>2500</v>
      </c>
      <c r="I275" s="79">
        <f t="shared" si="22"/>
        <v>0</v>
      </c>
      <c r="J275" s="79">
        <f t="shared" si="23"/>
        <v>2500</v>
      </c>
      <c r="K275" s="79">
        <f t="shared" si="24"/>
        <v>2500</v>
      </c>
      <c r="L275" s="121"/>
    </row>
    <row r="276" spans="2:12" x14ac:dyDescent="0.35">
      <c r="B276" s="111">
        <f t="shared" si="21"/>
        <v>266</v>
      </c>
      <c r="C276" s="82" t="s">
        <v>154</v>
      </c>
      <c r="D276" s="81" t="s">
        <v>32</v>
      </c>
      <c r="E276" s="78">
        <v>1</v>
      </c>
      <c r="F276" s="65">
        <f>5500*1.2</f>
        <v>6600</v>
      </c>
      <c r="G276" s="65"/>
      <c r="H276" s="65">
        <f t="shared" si="25"/>
        <v>6600</v>
      </c>
      <c r="I276" s="79">
        <f t="shared" si="22"/>
        <v>6600</v>
      </c>
      <c r="J276" s="79">
        <f t="shared" si="23"/>
        <v>0</v>
      </c>
      <c r="K276" s="79">
        <f t="shared" si="24"/>
        <v>6600</v>
      </c>
      <c r="L276" s="121"/>
    </row>
    <row r="277" spans="2:12" ht="31" x14ac:dyDescent="0.35">
      <c r="B277" s="111">
        <f t="shared" si="21"/>
        <v>267</v>
      </c>
      <c r="C277" s="64" t="s">
        <v>316</v>
      </c>
      <c r="D277" s="81" t="s">
        <v>32</v>
      </c>
      <c r="E277" s="78">
        <v>1</v>
      </c>
      <c r="F277" s="65"/>
      <c r="G277" s="65"/>
      <c r="H277" s="65">
        <f t="shared" si="25"/>
        <v>0</v>
      </c>
      <c r="I277" s="79">
        <f t="shared" si="22"/>
        <v>0</v>
      </c>
      <c r="J277" s="79">
        <f t="shared" si="23"/>
        <v>0</v>
      </c>
      <c r="K277" s="79">
        <f t="shared" si="24"/>
        <v>0</v>
      </c>
      <c r="L277" s="121"/>
    </row>
    <row r="278" spans="2:12" x14ac:dyDescent="0.35">
      <c r="B278" s="111">
        <f t="shared" si="21"/>
        <v>268</v>
      </c>
      <c r="C278" s="82" t="s">
        <v>84</v>
      </c>
      <c r="D278" s="81" t="s">
        <v>32</v>
      </c>
      <c r="E278" s="78">
        <v>1</v>
      </c>
      <c r="F278" s="65">
        <v>1300</v>
      </c>
      <c r="G278" s="65">
        <v>990</v>
      </c>
      <c r="H278" s="65">
        <f t="shared" si="25"/>
        <v>2290</v>
      </c>
      <c r="I278" s="79">
        <f t="shared" si="22"/>
        <v>1300</v>
      </c>
      <c r="J278" s="79">
        <f t="shared" si="23"/>
        <v>990</v>
      </c>
      <c r="K278" s="79">
        <f t="shared" si="24"/>
        <v>2290</v>
      </c>
      <c r="L278" s="121"/>
    </row>
    <row r="279" spans="2:12" x14ac:dyDescent="0.35">
      <c r="B279" s="111">
        <f t="shared" si="21"/>
        <v>269</v>
      </c>
      <c r="C279" s="80" t="s">
        <v>301</v>
      </c>
      <c r="D279" s="81" t="s">
        <v>32</v>
      </c>
      <c r="E279" s="78">
        <v>1</v>
      </c>
      <c r="F279" s="65">
        <v>6000</v>
      </c>
      <c r="G279" s="65">
        <v>1464.09</v>
      </c>
      <c r="H279" s="65">
        <f t="shared" si="25"/>
        <v>7464.09</v>
      </c>
      <c r="I279" s="79">
        <f t="shared" si="22"/>
        <v>6000</v>
      </c>
      <c r="J279" s="79">
        <f t="shared" si="23"/>
        <v>1464.09</v>
      </c>
      <c r="K279" s="79">
        <f t="shared" si="24"/>
        <v>7464.09</v>
      </c>
      <c r="L279" s="121"/>
    </row>
    <row r="280" spans="2:12" ht="31" x14ac:dyDescent="0.35">
      <c r="B280" s="111">
        <f t="shared" si="21"/>
        <v>270</v>
      </c>
      <c r="C280" s="64" t="s">
        <v>156</v>
      </c>
      <c r="D280" s="81" t="s">
        <v>25</v>
      </c>
      <c r="E280" s="78">
        <v>7.4</v>
      </c>
      <c r="F280" s="65">
        <v>68.5</v>
      </c>
      <c r="G280" s="65">
        <v>150</v>
      </c>
      <c r="H280" s="65">
        <f t="shared" si="25"/>
        <v>218.5</v>
      </c>
      <c r="I280" s="79">
        <f t="shared" si="22"/>
        <v>506.9</v>
      </c>
      <c r="J280" s="79">
        <f t="shared" si="23"/>
        <v>1110</v>
      </c>
      <c r="K280" s="79">
        <f t="shared" si="24"/>
        <v>1616.9</v>
      </c>
      <c r="L280" s="121"/>
    </row>
    <row r="281" spans="2:12" ht="46.5" x14ac:dyDescent="0.35">
      <c r="B281" s="111">
        <f t="shared" si="21"/>
        <v>271</v>
      </c>
      <c r="C281" s="64" t="s">
        <v>157</v>
      </c>
      <c r="D281" s="81" t="s">
        <v>25</v>
      </c>
      <c r="E281" s="78">
        <v>7.4</v>
      </c>
      <c r="F281" s="65">
        <v>927</v>
      </c>
      <c r="G281" s="65">
        <v>400</v>
      </c>
      <c r="H281" s="65">
        <f t="shared" si="25"/>
        <v>1327</v>
      </c>
      <c r="I281" s="79">
        <f t="shared" si="22"/>
        <v>6859.8</v>
      </c>
      <c r="J281" s="79">
        <f t="shared" si="23"/>
        <v>2960</v>
      </c>
      <c r="K281" s="79">
        <f t="shared" si="24"/>
        <v>9819.7999999999993</v>
      </c>
      <c r="L281" s="121"/>
    </row>
    <row r="282" spans="2:12" x14ac:dyDescent="0.35">
      <c r="B282" s="111">
        <f t="shared" si="21"/>
        <v>272</v>
      </c>
      <c r="C282" s="64" t="s">
        <v>93</v>
      </c>
      <c r="D282" s="81" t="s">
        <v>32</v>
      </c>
      <c r="E282" s="78">
        <v>2</v>
      </c>
      <c r="F282" s="65"/>
      <c r="G282" s="65"/>
      <c r="H282" s="65">
        <f t="shared" si="25"/>
        <v>0</v>
      </c>
      <c r="I282" s="79">
        <f t="shared" si="22"/>
        <v>0</v>
      </c>
      <c r="J282" s="79">
        <f t="shared" si="23"/>
        <v>0</v>
      </c>
      <c r="K282" s="79">
        <f t="shared" si="24"/>
        <v>0</v>
      </c>
      <c r="L282" s="121"/>
    </row>
    <row r="283" spans="2:12" x14ac:dyDescent="0.35">
      <c r="B283" s="111">
        <f t="shared" si="21"/>
        <v>273</v>
      </c>
      <c r="C283" s="82" t="s">
        <v>94</v>
      </c>
      <c r="D283" s="81" t="s">
        <v>31</v>
      </c>
      <c r="E283" s="78">
        <f>0.82*2</f>
        <v>1.64</v>
      </c>
      <c r="F283" s="68">
        <v>71</v>
      </c>
      <c r="G283" s="65">
        <v>97.61</v>
      </c>
      <c r="H283" s="65">
        <f t="shared" si="25"/>
        <v>168.61</v>
      </c>
      <c r="I283" s="79">
        <f t="shared" si="22"/>
        <v>116.44</v>
      </c>
      <c r="J283" s="79">
        <f t="shared" si="23"/>
        <v>160.08000000000001</v>
      </c>
      <c r="K283" s="79">
        <f t="shared" si="24"/>
        <v>276.52</v>
      </c>
      <c r="L283" s="121"/>
    </row>
    <row r="284" spans="2:12" ht="31" x14ac:dyDescent="0.35">
      <c r="B284" s="111">
        <f t="shared" si="21"/>
        <v>274</v>
      </c>
      <c r="C284" s="64" t="s">
        <v>153</v>
      </c>
      <c r="D284" s="81" t="s">
        <v>32</v>
      </c>
      <c r="E284" s="78">
        <v>3</v>
      </c>
      <c r="F284" s="65"/>
      <c r="G284" s="65">
        <v>1464</v>
      </c>
      <c r="H284" s="65">
        <f t="shared" si="25"/>
        <v>1464</v>
      </c>
      <c r="I284" s="79">
        <f t="shared" si="22"/>
        <v>0</v>
      </c>
      <c r="J284" s="79">
        <f t="shared" si="23"/>
        <v>4392</v>
      </c>
      <c r="K284" s="79">
        <f t="shared" si="24"/>
        <v>4392</v>
      </c>
      <c r="L284" s="121"/>
    </row>
    <row r="285" spans="2:12" x14ac:dyDescent="0.35">
      <c r="B285" s="111">
        <f t="shared" si="21"/>
        <v>275</v>
      </c>
      <c r="C285" s="64" t="s">
        <v>188</v>
      </c>
      <c r="D285" s="81"/>
      <c r="E285" s="78"/>
      <c r="F285" s="65"/>
      <c r="G285" s="65"/>
      <c r="H285" s="65">
        <f t="shared" si="25"/>
        <v>0</v>
      </c>
      <c r="I285" s="79">
        <f t="shared" si="22"/>
        <v>0</v>
      </c>
      <c r="J285" s="79">
        <f t="shared" si="23"/>
        <v>0</v>
      </c>
      <c r="K285" s="79">
        <f t="shared" si="24"/>
        <v>0</v>
      </c>
      <c r="L285" s="121">
        <v>1</v>
      </c>
    </row>
    <row r="286" spans="2:12" ht="31" x14ac:dyDescent="0.35">
      <c r="B286" s="111">
        <f t="shared" si="21"/>
        <v>276</v>
      </c>
      <c r="C286" s="80" t="s">
        <v>309</v>
      </c>
      <c r="D286" s="81" t="s">
        <v>32</v>
      </c>
      <c r="E286" s="78">
        <v>1</v>
      </c>
      <c r="F286" s="65">
        <v>2263</v>
      </c>
      <c r="G286" s="65">
        <v>1700</v>
      </c>
      <c r="H286" s="65">
        <f t="shared" si="25"/>
        <v>3963</v>
      </c>
      <c r="I286" s="79">
        <f t="shared" si="22"/>
        <v>2263</v>
      </c>
      <c r="J286" s="79">
        <f t="shared" si="23"/>
        <v>1700</v>
      </c>
      <c r="K286" s="79">
        <f t="shared" si="24"/>
        <v>3963</v>
      </c>
      <c r="L286" s="121"/>
    </row>
    <row r="287" spans="2:12" ht="31" x14ac:dyDescent="0.35">
      <c r="B287" s="111">
        <f t="shared" si="21"/>
        <v>277</v>
      </c>
      <c r="C287" s="80" t="s">
        <v>310</v>
      </c>
      <c r="D287" s="81" t="s">
        <v>32</v>
      </c>
      <c r="E287" s="78">
        <v>1</v>
      </c>
      <c r="F287" s="65">
        <v>1303</v>
      </c>
      <c r="G287" s="65">
        <v>1700</v>
      </c>
      <c r="H287" s="65">
        <f t="shared" si="25"/>
        <v>3003</v>
      </c>
      <c r="I287" s="79">
        <f t="shared" si="22"/>
        <v>1303</v>
      </c>
      <c r="J287" s="79">
        <f t="shared" si="23"/>
        <v>1700</v>
      </c>
      <c r="K287" s="79">
        <f t="shared" si="24"/>
        <v>3003</v>
      </c>
      <c r="L287" s="121"/>
    </row>
    <row r="288" spans="2:12" ht="31" x14ac:dyDescent="0.35">
      <c r="B288" s="111">
        <f t="shared" si="21"/>
        <v>278</v>
      </c>
      <c r="C288" s="80" t="s">
        <v>63</v>
      </c>
      <c r="D288" s="81" t="s">
        <v>27</v>
      </c>
      <c r="E288" s="78">
        <f>0.38*1.1</f>
        <v>0.41800000000000004</v>
      </c>
      <c r="F288" s="65">
        <v>855</v>
      </c>
      <c r="G288" s="65">
        <v>1700</v>
      </c>
      <c r="H288" s="65">
        <f t="shared" si="25"/>
        <v>2555</v>
      </c>
      <c r="I288" s="79">
        <f t="shared" si="22"/>
        <v>357.39</v>
      </c>
      <c r="J288" s="79">
        <f t="shared" si="23"/>
        <v>710.6</v>
      </c>
      <c r="K288" s="79">
        <f t="shared" si="24"/>
        <v>1067.99</v>
      </c>
      <c r="L288" s="121"/>
    </row>
    <row r="289" spans="2:12" ht="33" x14ac:dyDescent="0.35">
      <c r="B289" s="111">
        <f t="shared" si="21"/>
        <v>279</v>
      </c>
      <c r="C289" s="64" t="s">
        <v>362</v>
      </c>
      <c r="D289" s="81" t="s">
        <v>26</v>
      </c>
      <c r="E289" s="78">
        <v>2.91</v>
      </c>
      <c r="F289" s="65"/>
      <c r="G289" s="65">
        <v>439</v>
      </c>
      <c r="H289" s="65">
        <f t="shared" si="25"/>
        <v>439</v>
      </c>
      <c r="I289" s="79">
        <f t="shared" si="22"/>
        <v>0</v>
      </c>
      <c r="J289" s="79">
        <f t="shared" si="23"/>
        <v>1277.49</v>
      </c>
      <c r="K289" s="79">
        <f t="shared" si="24"/>
        <v>1277.49</v>
      </c>
      <c r="L289" s="121"/>
    </row>
    <row r="290" spans="2:12" ht="30" x14ac:dyDescent="0.35">
      <c r="B290" s="111">
        <f t="shared" si="21"/>
        <v>280</v>
      </c>
      <c r="C290" s="98" t="s">
        <v>202</v>
      </c>
      <c r="D290" s="99" t="s">
        <v>27</v>
      </c>
      <c r="E290" s="100">
        <v>7.8</v>
      </c>
      <c r="F290" s="101"/>
      <c r="G290" s="101"/>
      <c r="H290" s="101">
        <f t="shared" si="25"/>
        <v>0</v>
      </c>
      <c r="I290" s="101">
        <f t="shared" si="22"/>
        <v>0</v>
      </c>
      <c r="J290" s="101">
        <f t="shared" si="23"/>
        <v>0</v>
      </c>
      <c r="K290" s="101">
        <f t="shared" si="24"/>
        <v>0</v>
      </c>
      <c r="L290" s="102"/>
    </row>
    <row r="291" spans="2:12" ht="31" x14ac:dyDescent="0.35">
      <c r="B291" s="111">
        <f t="shared" si="21"/>
        <v>281</v>
      </c>
      <c r="C291" s="64" t="s">
        <v>348</v>
      </c>
      <c r="D291" s="77" t="s">
        <v>26</v>
      </c>
      <c r="E291" s="78">
        <f>0.97*6.54</f>
        <v>6.3437999999999999</v>
      </c>
      <c r="F291" s="65"/>
      <c r="G291" s="65">
        <v>300</v>
      </c>
      <c r="H291" s="65">
        <f t="shared" si="25"/>
        <v>300</v>
      </c>
      <c r="I291" s="79">
        <f t="shared" si="22"/>
        <v>0</v>
      </c>
      <c r="J291" s="79">
        <f t="shared" si="23"/>
        <v>1903.14</v>
      </c>
      <c r="K291" s="79">
        <f t="shared" si="24"/>
        <v>1903.14</v>
      </c>
      <c r="L291" s="121"/>
    </row>
    <row r="292" spans="2:12" x14ac:dyDescent="0.35">
      <c r="B292" s="111">
        <f t="shared" si="21"/>
        <v>282</v>
      </c>
      <c r="C292" s="64" t="s">
        <v>19</v>
      </c>
      <c r="D292" s="77" t="s">
        <v>26</v>
      </c>
      <c r="E292" s="78">
        <f>E291/97*3</f>
        <v>0.19619999999999999</v>
      </c>
      <c r="F292" s="65"/>
      <c r="G292" s="65">
        <v>1500</v>
      </c>
      <c r="H292" s="65">
        <f t="shared" si="25"/>
        <v>1500</v>
      </c>
      <c r="I292" s="79">
        <f t="shared" si="22"/>
        <v>0</v>
      </c>
      <c r="J292" s="79">
        <f t="shared" si="23"/>
        <v>294.3</v>
      </c>
      <c r="K292" s="79">
        <f t="shared" si="24"/>
        <v>294.3</v>
      </c>
      <c r="L292" s="121"/>
    </row>
    <row r="293" spans="2:12" x14ac:dyDescent="0.35">
      <c r="B293" s="111">
        <f t="shared" si="21"/>
        <v>283</v>
      </c>
      <c r="C293" s="64" t="s">
        <v>184</v>
      </c>
      <c r="D293" s="77" t="s">
        <v>25</v>
      </c>
      <c r="E293" s="78">
        <f>E290*0.75</f>
        <v>5.85</v>
      </c>
      <c r="F293" s="65"/>
      <c r="G293" s="65"/>
      <c r="H293" s="65">
        <f t="shared" si="25"/>
        <v>0</v>
      </c>
      <c r="I293" s="79">
        <f t="shared" si="22"/>
        <v>0</v>
      </c>
      <c r="J293" s="79">
        <f t="shared" si="23"/>
        <v>0</v>
      </c>
      <c r="K293" s="79">
        <f t="shared" si="24"/>
        <v>0</v>
      </c>
      <c r="L293" s="121"/>
    </row>
    <row r="294" spans="2:12" ht="31" x14ac:dyDescent="0.35">
      <c r="B294" s="111">
        <f t="shared" si="21"/>
        <v>284</v>
      </c>
      <c r="C294" s="64" t="s">
        <v>194</v>
      </c>
      <c r="D294" s="77" t="s">
        <v>25</v>
      </c>
      <c r="E294" s="78">
        <f>E290*0.48</f>
        <v>3.7439999999999998</v>
      </c>
      <c r="F294" s="65">
        <f>1973*0.15</f>
        <v>295.95</v>
      </c>
      <c r="G294" s="65">
        <f>1500*0.15</f>
        <v>225</v>
      </c>
      <c r="H294" s="65">
        <f t="shared" si="25"/>
        <v>520.95000000000005</v>
      </c>
      <c r="I294" s="79">
        <f t="shared" si="22"/>
        <v>1108.04</v>
      </c>
      <c r="J294" s="79">
        <f t="shared" si="23"/>
        <v>842.4</v>
      </c>
      <c r="K294" s="79">
        <f t="shared" si="24"/>
        <v>1950.44</v>
      </c>
      <c r="L294" s="121"/>
    </row>
    <row r="295" spans="2:12" x14ac:dyDescent="0.35">
      <c r="B295" s="111">
        <f t="shared" si="21"/>
        <v>285</v>
      </c>
      <c r="C295" s="64" t="s">
        <v>20</v>
      </c>
      <c r="D295" s="77" t="s">
        <v>26</v>
      </c>
      <c r="E295" s="78">
        <f>0.34*E290*0.1</f>
        <v>0.26520000000000005</v>
      </c>
      <c r="F295" s="65"/>
      <c r="G295" s="65">
        <v>5860</v>
      </c>
      <c r="H295" s="65">
        <f t="shared" si="25"/>
        <v>5860</v>
      </c>
      <c r="I295" s="79">
        <f t="shared" si="22"/>
        <v>0</v>
      </c>
      <c r="J295" s="79">
        <f t="shared" si="23"/>
        <v>1554.07</v>
      </c>
      <c r="K295" s="79">
        <f t="shared" si="24"/>
        <v>1554.07</v>
      </c>
      <c r="L295" s="121"/>
    </row>
    <row r="296" spans="2:12" x14ac:dyDescent="0.35">
      <c r="B296" s="111">
        <f t="shared" si="21"/>
        <v>286</v>
      </c>
      <c r="C296" s="80" t="s">
        <v>159</v>
      </c>
      <c r="D296" s="77" t="s">
        <v>26</v>
      </c>
      <c r="E296" s="78">
        <f>E295*1.02</f>
        <v>0.27050400000000008</v>
      </c>
      <c r="F296" s="65">
        <v>6700</v>
      </c>
      <c r="G296" s="65"/>
      <c r="H296" s="65">
        <f t="shared" si="25"/>
        <v>6700</v>
      </c>
      <c r="I296" s="79">
        <f t="shared" si="22"/>
        <v>1812.38</v>
      </c>
      <c r="J296" s="79">
        <f t="shared" si="23"/>
        <v>0</v>
      </c>
      <c r="K296" s="79">
        <f t="shared" si="24"/>
        <v>1812.38</v>
      </c>
      <c r="L296" s="121"/>
    </row>
    <row r="297" spans="2:12" x14ac:dyDescent="0.35">
      <c r="B297" s="111">
        <f t="shared" si="21"/>
        <v>287</v>
      </c>
      <c r="C297" s="64" t="s">
        <v>28</v>
      </c>
      <c r="D297" s="77" t="s">
        <v>26</v>
      </c>
      <c r="E297" s="78">
        <f>0.8*E290*0.1</f>
        <v>0.62400000000000011</v>
      </c>
      <c r="F297" s="65"/>
      <c r="G297" s="65">
        <v>5860</v>
      </c>
      <c r="H297" s="65">
        <f t="shared" si="25"/>
        <v>5860</v>
      </c>
      <c r="I297" s="79">
        <f t="shared" si="22"/>
        <v>0</v>
      </c>
      <c r="J297" s="79">
        <f t="shared" si="23"/>
        <v>3656.64</v>
      </c>
      <c r="K297" s="79">
        <f t="shared" si="24"/>
        <v>3656.64</v>
      </c>
      <c r="L297" s="121"/>
    </row>
    <row r="298" spans="2:12" x14ac:dyDescent="0.35">
      <c r="B298" s="111">
        <f t="shared" si="21"/>
        <v>288</v>
      </c>
      <c r="C298" s="80" t="s">
        <v>29</v>
      </c>
      <c r="D298" s="77" t="s">
        <v>26</v>
      </c>
      <c r="E298" s="78">
        <f>E297*1.02</f>
        <v>0.63648000000000016</v>
      </c>
      <c r="F298" s="65">
        <v>7100</v>
      </c>
      <c r="G298" s="65"/>
      <c r="H298" s="65">
        <f t="shared" si="25"/>
        <v>7100</v>
      </c>
      <c r="I298" s="79">
        <f t="shared" si="22"/>
        <v>4519.01</v>
      </c>
      <c r="J298" s="79">
        <f t="shared" si="23"/>
        <v>0</v>
      </c>
      <c r="K298" s="79">
        <f t="shared" si="24"/>
        <v>4519.01</v>
      </c>
      <c r="L298" s="121"/>
    </row>
    <row r="299" spans="2:12" x14ac:dyDescent="0.35">
      <c r="B299" s="111">
        <f t="shared" si="21"/>
        <v>289</v>
      </c>
      <c r="C299" s="80" t="s">
        <v>30</v>
      </c>
      <c r="D299" s="77" t="s">
        <v>31</v>
      </c>
      <c r="E299" s="78">
        <f>31.39*E290*0.1</f>
        <v>24.484200000000001</v>
      </c>
      <c r="F299" s="65">
        <v>118.9</v>
      </c>
      <c r="G299" s="65"/>
      <c r="H299" s="65">
        <f t="shared" si="25"/>
        <v>118.9</v>
      </c>
      <c r="I299" s="79">
        <f t="shared" si="22"/>
        <v>2911.17</v>
      </c>
      <c r="J299" s="79">
        <f t="shared" si="23"/>
        <v>0</v>
      </c>
      <c r="K299" s="79">
        <f t="shared" si="24"/>
        <v>2911.17</v>
      </c>
      <c r="L299" s="121"/>
    </row>
    <row r="300" spans="2:12" x14ac:dyDescent="0.35">
      <c r="B300" s="111">
        <f t="shared" si="21"/>
        <v>290</v>
      </c>
      <c r="C300" s="64" t="s">
        <v>189</v>
      </c>
      <c r="D300" s="77" t="s">
        <v>27</v>
      </c>
      <c r="E300" s="78">
        <f>E290</f>
        <v>7.8</v>
      </c>
      <c r="F300" s="65"/>
      <c r="G300" s="65">
        <v>2928</v>
      </c>
      <c r="H300" s="65">
        <f t="shared" si="25"/>
        <v>2928</v>
      </c>
      <c r="I300" s="79">
        <f t="shared" si="22"/>
        <v>0</v>
      </c>
      <c r="J300" s="79">
        <f t="shared" si="23"/>
        <v>22838.400000000001</v>
      </c>
      <c r="K300" s="79">
        <f t="shared" si="24"/>
        <v>22838.400000000001</v>
      </c>
      <c r="L300" s="121"/>
    </row>
    <row r="301" spans="2:12" ht="31" x14ac:dyDescent="0.35">
      <c r="B301" s="111">
        <f t="shared" si="21"/>
        <v>291</v>
      </c>
      <c r="C301" s="80" t="s">
        <v>195</v>
      </c>
      <c r="D301" s="77" t="s">
        <v>27</v>
      </c>
      <c r="E301" s="78">
        <f>E300*1.1</f>
        <v>8.58</v>
      </c>
      <c r="F301" s="65">
        <v>855</v>
      </c>
      <c r="G301" s="65"/>
      <c r="H301" s="65">
        <f t="shared" si="25"/>
        <v>855</v>
      </c>
      <c r="I301" s="79">
        <f t="shared" si="22"/>
        <v>7335.9</v>
      </c>
      <c r="J301" s="79">
        <f t="shared" si="23"/>
        <v>0</v>
      </c>
      <c r="K301" s="79">
        <f t="shared" si="24"/>
        <v>7335.9</v>
      </c>
      <c r="L301" s="121"/>
    </row>
    <row r="302" spans="2:12" ht="33" x14ac:dyDescent="0.35">
      <c r="B302" s="111">
        <f t="shared" si="21"/>
        <v>292</v>
      </c>
      <c r="C302" s="64" t="s">
        <v>355</v>
      </c>
      <c r="D302" s="81" t="s">
        <v>26</v>
      </c>
      <c r="E302" s="78">
        <v>13.4</v>
      </c>
      <c r="F302" s="65"/>
      <c r="G302" s="65">
        <v>439</v>
      </c>
      <c r="H302" s="65">
        <f t="shared" si="25"/>
        <v>439</v>
      </c>
      <c r="I302" s="79">
        <f t="shared" si="22"/>
        <v>0</v>
      </c>
      <c r="J302" s="79">
        <f t="shared" si="23"/>
        <v>5882.6</v>
      </c>
      <c r="K302" s="79">
        <f t="shared" si="24"/>
        <v>5882.6</v>
      </c>
      <c r="L302" s="121"/>
    </row>
    <row r="303" spans="2:12" ht="22.25" customHeight="1" x14ac:dyDescent="0.35">
      <c r="B303" s="111">
        <f t="shared" si="21"/>
        <v>293</v>
      </c>
      <c r="C303" s="98" t="s">
        <v>203</v>
      </c>
      <c r="D303" s="103" t="s">
        <v>32</v>
      </c>
      <c r="E303" s="100">
        <v>1</v>
      </c>
      <c r="F303" s="101"/>
      <c r="G303" s="101"/>
      <c r="H303" s="101">
        <f t="shared" si="25"/>
        <v>0</v>
      </c>
      <c r="I303" s="101">
        <f t="shared" si="22"/>
        <v>0</v>
      </c>
      <c r="J303" s="101">
        <f t="shared" si="23"/>
        <v>0</v>
      </c>
      <c r="K303" s="101">
        <f t="shared" si="24"/>
        <v>0</v>
      </c>
      <c r="L303" s="102"/>
    </row>
    <row r="304" spans="2:12" ht="31" x14ac:dyDescent="0.35">
      <c r="B304" s="111">
        <f t="shared" si="21"/>
        <v>294</v>
      </c>
      <c r="C304" s="64" t="s">
        <v>348</v>
      </c>
      <c r="D304" s="81" t="s">
        <v>26</v>
      </c>
      <c r="E304" s="78">
        <f>3.3*0.97</f>
        <v>3.2009999999999996</v>
      </c>
      <c r="F304" s="65"/>
      <c r="G304" s="65">
        <v>300</v>
      </c>
      <c r="H304" s="65">
        <f t="shared" si="25"/>
        <v>300</v>
      </c>
      <c r="I304" s="79">
        <f t="shared" si="22"/>
        <v>0</v>
      </c>
      <c r="J304" s="79">
        <f t="shared" si="23"/>
        <v>960.3</v>
      </c>
      <c r="K304" s="79">
        <f t="shared" si="24"/>
        <v>960.3</v>
      </c>
      <c r="L304" s="121"/>
    </row>
    <row r="305" spans="2:12" x14ac:dyDescent="0.35">
      <c r="B305" s="111">
        <f t="shared" si="21"/>
        <v>295</v>
      </c>
      <c r="C305" s="64" t="s">
        <v>19</v>
      </c>
      <c r="D305" s="81" t="s">
        <v>26</v>
      </c>
      <c r="E305" s="78">
        <f>E304/9</f>
        <v>0.35566666666666663</v>
      </c>
      <c r="F305" s="65"/>
      <c r="G305" s="65">
        <v>1500</v>
      </c>
      <c r="H305" s="65">
        <f t="shared" si="25"/>
        <v>1500</v>
      </c>
      <c r="I305" s="79">
        <f t="shared" si="22"/>
        <v>0</v>
      </c>
      <c r="J305" s="79">
        <f t="shared" si="23"/>
        <v>533.5</v>
      </c>
      <c r="K305" s="79">
        <f t="shared" si="24"/>
        <v>533.5</v>
      </c>
      <c r="L305" s="121"/>
    </row>
    <row r="306" spans="2:12" x14ac:dyDescent="0.35">
      <c r="B306" s="111">
        <f t="shared" si="21"/>
        <v>296</v>
      </c>
      <c r="C306" s="64" t="s">
        <v>67</v>
      </c>
      <c r="D306" s="81" t="s">
        <v>25</v>
      </c>
      <c r="E306" s="78">
        <f>(3.14*2.4^2)/4</f>
        <v>4.5216000000000003</v>
      </c>
      <c r="F306" s="65"/>
      <c r="G306" s="65"/>
      <c r="H306" s="65">
        <f t="shared" si="25"/>
        <v>0</v>
      </c>
      <c r="I306" s="79">
        <f t="shared" si="22"/>
        <v>0</v>
      </c>
      <c r="J306" s="79">
        <f t="shared" si="23"/>
        <v>0</v>
      </c>
      <c r="K306" s="79">
        <f t="shared" si="24"/>
        <v>0</v>
      </c>
      <c r="L306" s="121"/>
    </row>
    <row r="307" spans="2:12" x14ac:dyDescent="0.35">
      <c r="B307" s="111">
        <f t="shared" si="21"/>
        <v>297</v>
      </c>
      <c r="C307" s="64" t="s">
        <v>68</v>
      </c>
      <c r="D307" s="81" t="s">
        <v>26</v>
      </c>
      <c r="E307" s="78">
        <f>E306*0.1</f>
        <v>0.45216000000000006</v>
      </c>
      <c r="F307" s="65"/>
      <c r="G307" s="65">
        <v>5860</v>
      </c>
      <c r="H307" s="65">
        <f t="shared" si="25"/>
        <v>5860</v>
      </c>
      <c r="I307" s="79">
        <f t="shared" si="22"/>
        <v>0</v>
      </c>
      <c r="J307" s="79">
        <f t="shared" si="23"/>
        <v>2649.66</v>
      </c>
      <c r="K307" s="79">
        <f t="shared" si="24"/>
        <v>2649.66</v>
      </c>
      <c r="L307" s="121"/>
    </row>
    <row r="308" spans="2:12" x14ac:dyDescent="0.35">
      <c r="B308" s="111">
        <f t="shared" si="21"/>
        <v>298</v>
      </c>
      <c r="C308" s="80" t="s">
        <v>159</v>
      </c>
      <c r="D308" s="81" t="s">
        <v>26</v>
      </c>
      <c r="E308" s="78">
        <f>E307*1.02</f>
        <v>0.46120320000000009</v>
      </c>
      <c r="F308" s="65">
        <v>6700</v>
      </c>
      <c r="G308" s="65"/>
      <c r="H308" s="65">
        <f t="shared" si="25"/>
        <v>6700</v>
      </c>
      <c r="I308" s="79">
        <f t="shared" si="22"/>
        <v>3090.06</v>
      </c>
      <c r="J308" s="79">
        <f t="shared" si="23"/>
        <v>0</v>
      </c>
      <c r="K308" s="79">
        <f t="shared" si="24"/>
        <v>3090.06</v>
      </c>
      <c r="L308" s="121"/>
    </row>
    <row r="309" spans="2:12" x14ac:dyDescent="0.35">
      <c r="B309" s="111">
        <f t="shared" si="21"/>
        <v>299</v>
      </c>
      <c r="C309" s="64" t="s">
        <v>151</v>
      </c>
      <c r="D309" s="81" t="s">
        <v>25</v>
      </c>
      <c r="E309" s="78">
        <f>(3.14*2^2)/4</f>
        <v>3.14</v>
      </c>
      <c r="F309" s="65">
        <v>68.5</v>
      </c>
      <c r="G309" s="65">
        <v>150</v>
      </c>
      <c r="H309" s="65">
        <f t="shared" si="25"/>
        <v>218.5</v>
      </c>
      <c r="I309" s="79">
        <f t="shared" si="22"/>
        <v>215.09</v>
      </c>
      <c r="J309" s="79">
        <f t="shared" si="23"/>
        <v>471</v>
      </c>
      <c r="K309" s="79">
        <f t="shared" si="24"/>
        <v>686.09</v>
      </c>
      <c r="L309" s="121"/>
    </row>
    <row r="310" spans="2:12" ht="31" x14ac:dyDescent="0.35">
      <c r="B310" s="111">
        <f t="shared" si="21"/>
        <v>300</v>
      </c>
      <c r="C310" s="64" t="s">
        <v>152</v>
      </c>
      <c r="D310" s="81" t="s">
        <v>25</v>
      </c>
      <c r="E310" s="78">
        <f>E309</f>
        <v>3.14</v>
      </c>
      <c r="F310" s="65">
        <v>927</v>
      </c>
      <c r="G310" s="65">
        <v>400</v>
      </c>
      <c r="H310" s="65">
        <f t="shared" si="25"/>
        <v>1327</v>
      </c>
      <c r="I310" s="79">
        <f t="shared" si="22"/>
        <v>2910.78</v>
      </c>
      <c r="J310" s="79">
        <f t="shared" si="23"/>
        <v>1256</v>
      </c>
      <c r="K310" s="79">
        <f t="shared" si="24"/>
        <v>4166.7800000000007</v>
      </c>
      <c r="L310" s="121"/>
    </row>
    <row r="311" spans="2:12" ht="31" x14ac:dyDescent="0.35">
      <c r="B311" s="111">
        <f t="shared" si="21"/>
        <v>301</v>
      </c>
      <c r="C311" s="64" t="s">
        <v>107</v>
      </c>
      <c r="D311" s="81" t="s">
        <v>32</v>
      </c>
      <c r="E311" s="78">
        <v>1</v>
      </c>
      <c r="F311" s="65"/>
      <c r="G311" s="65">
        <v>5662</v>
      </c>
      <c r="H311" s="65">
        <f t="shared" si="25"/>
        <v>5662</v>
      </c>
      <c r="I311" s="79">
        <f t="shared" si="22"/>
        <v>0</v>
      </c>
      <c r="J311" s="79">
        <f t="shared" si="23"/>
        <v>5662</v>
      </c>
      <c r="K311" s="79">
        <f t="shared" si="24"/>
        <v>5662</v>
      </c>
      <c r="L311" s="121"/>
    </row>
    <row r="312" spans="2:12" x14ac:dyDescent="0.35">
      <c r="B312" s="111">
        <f t="shared" si="21"/>
        <v>302</v>
      </c>
      <c r="C312" s="82" t="s">
        <v>108</v>
      </c>
      <c r="D312" s="81" t="s">
        <v>32</v>
      </c>
      <c r="E312" s="78">
        <v>1</v>
      </c>
      <c r="F312" s="65">
        <f>6000*1.2</f>
        <v>7200</v>
      </c>
      <c r="G312" s="65"/>
      <c r="H312" s="65">
        <f t="shared" si="25"/>
        <v>7200</v>
      </c>
      <c r="I312" s="79">
        <f t="shared" si="22"/>
        <v>7200</v>
      </c>
      <c r="J312" s="79">
        <f t="shared" si="23"/>
        <v>0</v>
      </c>
      <c r="K312" s="79">
        <f t="shared" si="24"/>
        <v>7200</v>
      </c>
      <c r="L312" s="121"/>
    </row>
    <row r="313" spans="2:12" x14ac:dyDescent="0.35">
      <c r="B313" s="111">
        <f t="shared" si="21"/>
        <v>303</v>
      </c>
      <c r="C313" s="82" t="s">
        <v>101</v>
      </c>
      <c r="D313" s="81" t="s">
        <v>26</v>
      </c>
      <c r="E313" s="78">
        <v>0.06</v>
      </c>
      <c r="F313" s="65">
        <v>7300</v>
      </c>
      <c r="G313" s="65"/>
      <c r="H313" s="65">
        <f t="shared" si="25"/>
        <v>7300</v>
      </c>
      <c r="I313" s="79">
        <f t="shared" si="22"/>
        <v>438</v>
      </c>
      <c r="J313" s="79">
        <f t="shared" si="23"/>
        <v>0</v>
      </c>
      <c r="K313" s="79">
        <f t="shared" si="24"/>
        <v>438</v>
      </c>
      <c r="L313" s="121"/>
    </row>
    <row r="314" spans="2:12" ht="31" x14ac:dyDescent="0.35">
      <c r="B314" s="111">
        <f t="shared" si="21"/>
        <v>304</v>
      </c>
      <c r="C314" s="64" t="s">
        <v>179</v>
      </c>
      <c r="D314" s="81" t="s">
        <v>26</v>
      </c>
      <c r="E314" s="78">
        <v>1.2</v>
      </c>
      <c r="F314" s="65"/>
      <c r="G314" s="65">
        <v>5860</v>
      </c>
      <c r="H314" s="65">
        <f t="shared" si="25"/>
        <v>5860</v>
      </c>
      <c r="I314" s="79">
        <f t="shared" si="22"/>
        <v>0</v>
      </c>
      <c r="J314" s="79">
        <f t="shared" si="23"/>
        <v>7032</v>
      </c>
      <c r="K314" s="79">
        <f t="shared" si="24"/>
        <v>7032</v>
      </c>
      <c r="L314" s="121"/>
    </row>
    <row r="315" spans="2:12" x14ac:dyDescent="0.35">
      <c r="B315" s="111">
        <f t="shared" si="21"/>
        <v>305</v>
      </c>
      <c r="C315" s="82" t="s">
        <v>75</v>
      </c>
      <c r="D315" s="81" t="s">
        <v>26</v>
      </c>
      <c r="E315" s="78">
        <v>1.22</v>
      </c>
      <c r="F315" s="65">
        <v>7100</v>
      </c>
      <c r="G315" s="65"/>
      <c r="H315" s="65">
        <f t="shared" si="25"/>
        <v>7100</v>
      </c>
      <c r="I315" s="79">
        <f t="shared" si="22"/>
        <v>8662</v>
      </c>
      <c r="J315" s="79">
        <f t="shared" si="23"/>
        <v>0</v>
      </c>
      <c r="K315" s="79">
        <f t="shared" si="24"/>
        <v>8662</v>
      </c>
      <c r="L315" s="121"/>
    </row>
    <row r="316" spans="2:12" ht="31" x14ac:dyDescent="0.35">
      <c r="B316" s="111">
        <f t="shared" si="21"/>
        <v>306</v>
      </c>
      <c r="C316" s="64" t="s">
        <v>78</v>
      </c>
      <c r="D316" s="81" t="s">
        <v>32</v>
      </c>
      <c r="E316" s="78">
        <v>1</v>
      </c>
      <c r="F316" s="65"/>
      <c r="G316" s="65">
        <v>5662</v>
      </c>
      <c r="H316" s="65">
        <f t="shared" si="25"/>
        <v>5662</v>
      </c>
      <c r="I316" s="79">
        <f t="shared" si="22"/>
        <v>0</v>
      </c>
      <c r="J316" s="79">
        <f t="shared" si="23"/>
        <v>5662</v>
      </c>
      <c r="K316" s="79">
        <f t="shared" si="24"/>
        <v>5662</v>
      </c>
      <c r="L316" s="121"/>
    </row>
    <row r="317" spans="2:12" x14ac:dyDescent="0.35">
      <c r="B317" s="111">
        <f t="shared" si="21"/>
        <v>307</v>
      </c>
      <c r="C317" s="82" t="s">
        <v>109</v>
      </c>
      <c r="D317" s="81" t="s">
        <v>32</v>
      </c>
      <c r="E317" s="78">
        <v>1</v>
      </c>
      <c r="F317" s="65">
        <f>6000*1.2</f>
        <v>7200</v>
      </c>
      <c r="G317" s="65"/>
      <c r="H317" s="65">
        <f t="shared" si="25"/>
        <v>7200</v>
      </c>
      <c r="I317" s="79">
        <f t="shared" si="22"/>
        <v>7200</v>
      </c>
      <c r="J317" s="79">
        <f t="shared" si="23"/>
        <v>0</v>
      </c>
      <c r="K317" s="79">
        <f t="shared" si="24"/>
        <v>7200</v>
      </c>
      <c r="L317" s="121"/>
    </row>
    <row r="318" spans="2:12" ht="31" x14ac:dyDescent="0.35">
      <c r="B318" s="111">
        <f t="shared" si="21"/>
        <v>308</v>
      </c>
      <c r="C318" s="64" t="s">
        <v>85</v>
      </c>
      <c r="D318" s="81" t="s">
        <v>32</v>
      </c>
      <c r="E318" s="78">
        <v>1</v>
      </c>
      <c r="F318" s="65"/>
      <c r="G318" s="65">
        <v>2500</v>
      </c>
      <c r="H318" s="65">
        <f t="shared" si="25"/>
        <v>2500</v>
      </c>
      <c r="I318" s="79">
        <f t="shared" si="22"/>
        <v>0</v>
      </c>
      <c r="J318" s="79">
        <f t="shared" si="23"/>
        <v>2500</v>
      </c>
      <c r="K318" s="79">
        <f t="shared" si="24"/>
        <v>2500</v>
      </c>
      <c r="L318" s="121"/>
    </row>
    <row r="319" spans="2:12" x14ac:dyDescent="0.35">
      <c r="B319" s="111">
        <f t="shared" si="21"/>
        <v>309</v>
      </c>
      <c r="C319" s="82" t="s">
        <v>154</v>
      </c>
      <c r="D319" s="81" t="s">
        <v>32</v>
      </c>
      <c r="E319" s="78">
        <v>1</v>
      </c>
      <c r="F319" s="65">
        <f>5500*1.2</f>
        <v>6600</v>
      </c>
      <c r="G319" s="65"/>
      <c r="H319" s="65">
        <f t="shared" si="25"/>
        <v>6600</v>
      </c>
      <c r="I319" s="79">
        <f t="shared" si="22"/>
        <v>6600</v>
      </c>
      <c r="J319" s="79">
        <f t="shared" si="23"/>
        <v>0</v>
      </c>
      <c r="K319" s="79">
        <f t="shared" si="24"/>
        <v>6600</v>
      </c>
      <c r="L319" s="121"/>
    </row>
    <row r="320" spans="2:12" ht="31" x14ac:dyDescent="0.35">
      <c r="B320" s="111">
        <f t="shared" si="21"/>
        <v>310</v>
      </c>
      <c r="C320" s="64" t="s">
        <v>316</v>
      </c>
      <c r="D320" s="81" t="s">
        <v>32</v>
      </c>
      <c r="E320" s="78">
        <v>1</v>
      </c>
      <c r="F320" s="65"/>
      <c r="G320" s="65"/>
      <c r="H320" s="65">
        <f t="shared" si="25"/>
        <v>0</v>
      </c>
      <c r="I320" s="79">
        <f t="shared" si="22"/>
        <v>0</v>
      </c>
      <c r="J320" s="79">
        <f t="shared" si="23"/>
        <v>0</v>
      </c>
      <c r="K320" s="79">
        <f t="shared" si="24"/>
        <v>0</v>
      </c>
      <c r="L320" s="121"/>
    </row>
    <row r="321" spans="2:12" x14ac:dyDescent="0.35">
      <c r="B321" s="111">
        <f t="shared" si="21"/>
        <v>311</v>
      </c>
      <c r="C321" s="82" t="s">
        <v>84</v>
      </c>
      <c r="D321" s="81" t="s">
        <v>32</v>
      </c>
      <c r="E321" s="78">
        <v>1</v>
      </c>
      <c r="F321" s="65">
        <v>1300</v>
      </c>
      <c r="G321" s="65">
        <v>990</v>
      </c>
      <c r="H321" s="65">
        <f t="shared" si="25"/>
        <v>2290</v>
      </c>
      <c r="I321" s="79">
        <f t="shared" si="22"/>
        <v>1300</v>
      </c>
      <c r="J321" s="79">
        <f t="shared" si="23"/>
        <v>990</v>
      </c>
      <c r="K321" s="79">
        <f t="shared" si="24"/>
        <v>2290</v>
      </c>
      <c r="L321" s="121"/>
    </row>
    <row r="322" spans="2:12" x14ac:dyDescent="0.35">
      <c r="B322" s="111">
        <f t="shared" si="21"/>
        <v>312</v>
      </c>
      <c r="C322" s="80" t="s">
        <v>301</v>
      </c>
      <c r="D322" s="81" t="s">
        <v>32</v>
      </c>
      <c r="E322" s="78">
        <v>1</v>
      </c>
      <c r="F322" s="65">
        <v>6000</v>
      </c>
      <c r="G322" s="65">
        <v>1464.09</v>
      </c>
      <c r="H322" s="65">
        <f t="shared" si="25"/>
        <v>7464.09</v>
      </c>
      <c r="I322" s="79">
        <f t="shared" si="22"/>
        <v>6000</v>
      </c>
      <c r="J322" s="79">
        <f t="shared" si="23"/>
        <v>1464.09</v>
      </c>
      <c r="K322" s="79">
        <f t="shared" si="24"/>
        <v>7464.09</v>
      </c>
      <c r="L322" s="121"/>
    </row>
    <row r="323" spans="2:12" ht="31" x14ac:dyDescent="0.35">
      <c r="B323" s="111">
        <f t="shared" si="21"/>
        <v>313</v>
      </c>
      <c r="C323" s="64" t="s">
        <v>156</v>
      </c>
      <c r="D323" s="81" t="s">
        <v>25</v>
      </c>
      <c r="E323" s="78">
        <f>(3.14*1.68)*1.48</f>
        <v>7.807296</v>
      </c>
      <c r="F323" s="65">
        <v>68.5</v>
      </c>
      <c r="G323" s="65">
        <v>150</v>
      </c>
      <c r="H323" s="65">
        <f t="shared" si="25"/>
        <v>218.5</v>
      </c>
      <c r="I323" s="79">
        <f t="shared" si="22"/>
        <v>534.79999999999995</v>
      </c>
      <c r="J323" s="79">
        <f t="shared" si="23"/>
        <v>1171.0899999999999</v>
      </c>
      <c r="K323" s="79">
        <f t="shared" si="24"/>
        <v>1705.8899999999999</v>
      </c>
      <c r="L323" s="121"/>
    </row>
    <row r="324" spans="2:12" ht="46.5" x14ac:dyDescent="0.35">
      <c r="B324" s="111">
        <f t="shared" si="21"/>
        <v>314</v>
      </c>
      <c r="C324" s="64" t="s">
        <v>157</v>
      </c>
      <c r="D324" s="81" t="s">
        <v>25</v>
      </c>
      <c r="E324" s="78">
        <f>(3.14*1.68)*1.48</f>
        <v>7.807296</v>
      </c>
      <c r="F324" s="65">
        <v>927</v>
      </c>
      <c r="G324" s="65">
        <v>400</v>
      </c>
      <c r="H324" s="65">
        <f t="shared" si="25"/>
        <v>1327</v>
      </c>
      <c r="I324" s="79">
        <f t="shared" si="22"/>
        <v>7237.36</v>
      </c>
      <c r="J324" s="79">
        <f t="shared" si="23"/>
        <v>3122.92</v>
      </c>
      <c r="K324" s="79">
        <f t="shared" si="24"/>
        <v>10360.279999999999</v>
      </c>
      <c r="L324" s="121"/>
    </row>
    <row r="325" spans="2:12" x14ac:dyDescent="0.35">
      <c r="B325" s="111">
        <f t="shared" si="21"/>
        <v>315</v>
      </c>
      <c r="C325" s="64" t="s">
        <v>302</v>
      </c>
      <c r="D325" s="81" t="s">
        <v>32</v>
      </c>
      <c r="E325" s="78">
        <v>1</v>
      </c>
      <c r="F325" s="65"/>
      <c r="G325" s="65"/>
      <c r="H325" s="65">
        <f t="shared" si="25"/>
        <v>0</v>
      </c>
      <c r="I325" s="79">
        <f t="shared" si="22"/>
        <v>0</v>
      </c>
      <c r="J325" s="79">
        <f t="shared" si="23"/>
        <v>0</v>
      </c>
      <c r="K325" s="79">
        <f t="shared" si="24"/>
        <v>0</v>
      </c>
      <c r="L325" s="121"/>
    </row>
    <row r="326" spans="2:12" x14ac:dyDescent="0.35">
      <c r="B326" s="111">
        <f t="shared" si="21"/>
        <v>316</v>
      </c>
      <c r="C326" s="82" t="s">
        <v>303</v>
      </c>
      <c r="D326" s="81" t="s">
        <v>31</v>
      </c>
      <c r="E326" s="78">
        <v>13.84</v>
      </c>
      <c r="F326" s="68">
        <v>71</v>
      </c>
      <c r="G326" s="65">
        <v>97.61</v>
      </c>
      <c r="H326" s="65">
        <f t="shared" si="25"/>
        <v>168.61</v>
      </c>
      <c r="I326" s="79">
        <f t="shared" si="22"/>
        <v>982.64</v>
      </c>
      <c r="J326" s="79">
        <f t="shared" si="23"/>
        <v>1350.92</v>
      </c>
      <c r="K326" s="79">
        <f t="shared" si="24"/>
        <v>2333.56</v>
      </c>
      <c r="L326" s="121"/>
    </row>
    <row r="327" spans="2:12" x14ac:dyDescent="0.35">
      <c r="B327" s="111">
        <f t="shared" si="21"/>
        <v>317</v>
      </c>
      <c r="C327" s="64" t="s">
        <v>93</v>
      </c>
      <c r="D327" s="81" t="s">
        <v>32</v>
      </c>
      <c r="E327" s="78">
        <v>1</v>
      </c>
      <c r="F327" s="65"/>
      <c r="G327" s="65"/>
      <c r="H327" s="65">
        <f t="shared" si="25"/>
        <v>0</v>
      </c>
      <c r="I327" s="79">
        <f t="shared" si="22"/>
        <v>0</v>
      </c>
      <c r="J327" s="79">
        <f t="shared" si="23"/>
        <v>0</v>
      </c>
      <c r="K327" s="79">
        <f t="shared" si="24"/>
        <v>0</v>
      </c>
      <c r="L327" s="121"/>
    </row>
    <row r="328" spans="2:12" x14ac:dyDescent="0.35">
      <c r="B328" s="111">
        <f t="shared" si="21"/>
        <v>318</v>
      </c>
      <c r="C328" s="82" t="s">
        <v>94</v>
      </c>
      <c r="D328" s="81" t="s">
        <v>31</v>
      </c>
      <c r="E328" s="78">
        <v>0.82</v>
      </c>
      <c r="F328" s="68">
        <v>71</v>
      </c>
      <c r="G328" s="65">
        <v>97.61</v>
      </c>
      <c r="H328" s="65">
        <f t="shared" si="25"/>
        <v>168.61</v>
      </c>
      <c r="I328" s="79">
        <f t="shared" si="22"/>
        <v>58.22</v>
      </c>
      <c r="J328" s="79">
        <f t="shared" si="23"/>
        <v>80.040000000000006</v>
      </c>
      <c r="K328" s="79">
        <f t="shared" si="24"/>
        <v>138.26</v>
      </c>
      <c r="L328" s="121"/>
    </row>
    <row r="329" spans="2:12" ht="31" x14ac:dyDescent="0.35">
      <c r="B329" s="111">
        <f t="shared" si="21"/>
        <v>319</v>
      </c>
      <c r="C329" s="64" t="s">
        <v>153</v>
      </c>
      <c r="D329" s="81" t="s">
        <v>32</v>
      </c>
      <c r="E329" s="78">
        <v>3</v>
      </c>
      <c r="F329" s="65"/>
      <c r="G329" s="65">
        <v>1464</v>
      </c>
      <c r="H329" s="65">
        <f t="shared" si="25"/>
        <v>1464</v>
      </c>
      <c r="I329" s="79">
        <f t="shared" si="22"/>
        <v>0</v>
      </c>
      <c r="J329" s="79">
        <f t="shared" si="23"/>
        <v>4392</v>
      </c>
      <c r="K329" s="79">
        <f t="shared" si="24"/>
        <v>4392</v>
      </c>
      <c r="L329" s="121"/>
    </row>
    <row r="330" spans="2:12" ht="33" x14ac:dyDescent="0.35">
      <c r="B330" s="111">
        <f t="shared" si="21"/>
        <v>320</v>
      </c>
      <c r="C330" s="64" t="s">
        <v>362</v>
      </c>
      <c r="D330" s="81" t="s">
        <v>26</v>
      </c>
      <c r="E330" s="78">
        <v>5.0999999999999996</v>
      </c>
      <c r="F330" s="65"/>
      <c r="G330" s="65">
        <v>439</v>
      </c>
      <c r="H330" s="65">
        <f t="shared" si="25"/>
        <v>439</v>
      </c>
      <c r="I330" s="79">
        <f t="shared" si="22"/>
        <v>0</v>
      </c>
      <c r="J330" s="79">
        <f t="shared" si="23"/>
        <v>2238.9</v>
      </c>
      <c r="K330" s="79">
        <f t="shared" si="24"/>
        <v>2238.9</v>
      </c>
      <c r="L330" s="121"/>
    </row>
    <row r="331" spans="2:12" ht="30" x14ac:dyDescent="0.35">
      <c r="B331" s="111">
        <f t="shared" si="21"/>
        <v>321</v>
      </c>
      <c r="C331" s="98" t="s">
        <v>204</v>
      </c>
      <c r="D331" s="99" t="s">
        <v>27</v>
      </c>
      <c r="E331" s="100">
        <v>39.700000000000003</v>
      </c>
      <c r="F331" s="101"/>
      <c r="G331" s="101"/>
      <c r="H331" s="101">
        <f t="shared" si="25"/>
        <v>0</v>
      </c>
      <c r="I331" s="101">
        <f t="shared" si="22"/>
        <v>0</v>
      </c>
      <c r="J331" s="101">
        <f t="shared" si="23"/>
        <v>0</v>
      </c>
      <c r="K331" s="101">
        <f t="shared" si="24"/>
        <v>0</v>
      </c>
      <c r="L331" s="102"/>
    </row>
    <row r="332" spans="2:12" ht="31" x14ac:dyDescent="0.35">
      <c r="B332" s="111">
        <f t="shared" si="21"/>
        <v>322</v>
      </c>
      <c r="C332" s="64" t="s">
        <v>348</v>
      </c>
      <c r="D332" s="77" t="s">
        <v>26</v>
      </c>
      <c r="E332" s="78">
        <f>12.28*0.97</f>
        <v>11.911599999999998</v>
      </c>
      <c r="F332" s="65"/>
      <c r="G332" s="65">
        <v>300</v>
      </c>
      <c r="H332" s="65">
        <f t="shared" si="25"/>
        <v>300</v>
      </c>
      <c r="I332" s="79">
        <f t="shared" si="22"/>
        <v>0</v>
      </c>
      <c r="J332" s="79">
        <f t="shared" si="23"/>
        <v>3573.48</v>
      </c>
      <c r="K332" s="79">
        <f t="shared" si="24"/>
        <v>3573.48</v>
      </c>
      <c r="L332" s="121"/>
    </row>
    <row r="333" spans="2:12" x14ac:dyDescent="0.35">
      <c r="B333" s="111">
        <f t="shared" ref="B333:B396" si="26">B332+1</f>
        <v>323</v>
      </c>
      <c r="C333" s="64" t="s">
        <v>19</v>
      </c>
      <c r="D333" s="77" t="s">
        <v>26</v>
      </c>
      <c r="E333" s="78">
        <f>E332/97*3</f>
        <v>0.36839999999999995</v>
      </c>
      <c r="F333" s="65"/>
      <c r="G333" s="65">
        <v>1500</v>
      </c>
      <c r="H333" s="65">
        <f t="shared" si="25"/>
        <v>1500</v>
      </c>
      <c r="I333" s="79">
        <f t="shared" ref="I333:I396" si="27">ROUND(F333*E333,2)</f>
        <v>0</v>
      </c>
      <c r="J333" s="79">
        <f t="shared" ref="J333:J396" si="28">ROUND(G333*E333,2)</f>
        <v>552.6</v>
      </c>
      <c r="K333" s="79">
        <f t="shared" ref="K333:K396" si="29">I333+J333</f>
        <v>552.6</v>
      </c>
      <c r="L333" s="121"/>
    </row>
    <row r="334" spans="2:12" x14ac:dyDescent="0.35">
      <c r="B334" s="111">
        <f t="shared" si="26"/>
        <v>324</v>
      </c>
      <c r="C334" s="64" t="s">
        <v>184</v>
      </c>
      <c r="D334" s="77" t="s">
        <v>25</v>
      </c>
      <c r="E334" s="78">
        <f>E331*0.75</f>
        <v>29.775000000000002</v>
      </c>
      <c r="F334" s="65"/>
      <c r="G334" s="65"/>
      <c r="H334" s="65">
        <f t="shared" si="25"/>
        <v>0</v>
      </c>
      <c r="I334" s="79">
        <f t="shared" si="27"/>
        <v>0</v>
      </c>
      <c r="J334" s="79">
        <f t="shared" si="28"/>
        <v>0</v>
      </c>
      <c r="K334" s="79">
        <f t="shared" si="29"/>
        <v>0</v>
      </c>
      <c r="L334" s="121"/>
    </row>
    <row r="335" spans="2:12" ht="31" x14ac:dyDescent="0.35">
      <c r="B335" s="111">
        <f t="shared" si="26"/>
        <v>325</v>
      </c>
      <c r="C335" s="64" t="s">
        <v>194</v>
      </c>
      <c r="D335" s="77" t="s">
        <v>25</v>
      </c>
      <c r="E335" s="78">
        <f>E331*0.48</f>
        <v>19.056000000000001</v>
      </c>
      <c r="F335" s="65">
        <f>1973*0.15</f>
        <v>295.95</v>
      </c>
      <c r="G335" s="65">
        <f>1500*0.15</f>
        <v>225</v>
      </c>
      <c r="H335" s="65">
        <f t="shared" ref="H335:H398" si="30">F335+G335</f>
        <v>520.95000000000005</v>
      </c>
      <c r="I335" s="79">
        <f t="shared" si="27"/>
        <v>5639.62</v>
      </c>
      <c r="J335" s="79">
        <f t="shared" si="28"/>
        <v>4287.6000000000004</v>
      </c>
      <c r="K335" s="79">
        <f t="shared" si="29"/>
        <v>9927.2200000000012</v>
      </c>
      <c r="L335" s="121"/>
    </row>
    <row r="336" spans="2:12" x14ac:dyDescent="0.35">
      <c r="B336" s="111">
        <f t="shared" si="26"/>
        <v>326</v>
      </c>
      <c r="C336" s="64" t="s">
        <v>20</v>
      </c>
      <c r="D336" s="77" t="s">
        <v>26</v>
      </c>
      <c r="E336" s="78">
        <f>0.34*E331*0.1</f>
        <v>1.3498000000000001</v>
      </c>
      <c r="F336" s="65"/>
      <c r="G336" s="65">
        <v>5860</v>
      </c>
      <c r="H336" s="65">
        <f t="shared" si="30"/>
        <v>5860</v>
      </c>
      <c r="I336" s="79">
        <f t="shared" si="27"/>
        <v>0</v>
      </c>
      <c r="J336" s="79">
        <f t="shared" si="28"/>
        <v>7909.83</v>
      </c>
      <c r="K336" s="79">
        <f t="shared" si="29"/>
        <v>7909.83</v>
      </c>
      <c r="L336" s="121"/>
    </row>
    <row r="337" spans="2:12" x14ac:dyDescent="0.35">
      <c r="B337" s="111">
        <f t="shared" si="26"/>
        <v>327</v>
      </c>
      <c r="C337" s="80" t="s">
        <v>159</v>
      </c>
      <c r="D337" s="77" t="s">
        <v>26</v>
      </c>
      <c r="E337" s="78">
        <f>E336*1.02</f>
        <v>1.3767960000000001</v>
      </c>
      <c r="F337" s="65">
        <v>6700</v>
      </c>
      <c r="G337" s="65"/>
      <c r="H337" s="65">
        <f t="shared" si="30"/>
        <v>6700</v>
      </c>
      <c r="I337" s="79">
        <f t="shared" si="27"/>
        <v>9224.5300000000007</v>
      </c>
      <c r="J337" s="79">
        <f t="shared" si="28"/>
        <v>0</v>
      </c>
      <c r="K337" s="79">
        <f t="shared" si="29"/>
        <v>9224.5300000000007</v>
      </c>
      <c r="L337" s="121"/>
    </row>
    <row r="338" spans="2:12" x14ac:dyDescent="0.35">
      <c r="B338" s="111">
        <f t="shared" si="26"/>
        <v>328</v>
      </c>
      <c r="C338" s="64" t="s">
        <v>28</v>
      </c>
      <c r="D338" s="77" t="s">
        <v>26</v>
      </c>
      <c r="E338" s="78">
        <f>0.8*E331*0.1</f>
        <v>3.1760000000000006</v>
      </c>
      <c r="F338" s="65"/>
      <c r="G338" s="65">
        <v>5860</v>
      </c>
      <c r="H338" s="65">
        <f t="shared" si="30"/>
        <v>5860</v>
      </c>
      <c r="I338" s="79">
        <f t="shared" si="27"/>
        <v>0</v>
      </c>
      <c r="J338" s="79">
        <f t="shared" si="28"/>
        <v>18611.36</v>
      </c>
      <c r="K338" s="79">
        <f t="shared" si="29"/>
        <v>18611.36</v>
      </c>
      <c r="L338" s="121"/>
    </row>
    <row r="339" spans="2:12" x14ac:dyDescent="0.35">
      <c r="B339" s="111">
        <f t="shared" si="26"/>
        <v>329</v>
      </c>
      <c r="C339" s="80" t="s">
        <v>29</v>
      </c>
      <c r="D339" s="77" t="s">
        <v>26</v>
      </c>
      <c r="E339" s="78">
        <f>E338*1.02</f>
        <v>3.2395200000000006</v>
      </c>
      <c r="F339" s="65">
        <v>7100</v>
      </c>
      <c r="G339" s="65"/>
      <c r="H339" s="65">
        <f t="shared" si="30"/>
        <v>7100</v>
      </c>
      <c r="I339" s="79">
        <f t="shared" si="27"/>
        <v>23000.59</v>
      </c>
      <c r="J339" s="79">
        <f t="shared" si="28"/>
        <v>0</v>
      </c>
      <c r="K339" s="79">
        <f t="shared" si="29"/>
        <v>23000.59</v>
      </c>
      <c r="L339" s="121"/>
    </row>
    <row r="340" spans="2:12" x14ac:dyDescent="0.35">
      <c r="B340" s="111">
        <f t="shared" si="26"/>
        <v>330</v>
      </c>
      <c r="C340" s="80" t="s">
        <v>30</v>
      </c>
      <c r="D340" s="77" t="s">
        <v>31</v>
      </c>
      <c r="E340" s="78">
        <f>31.39*E331*0.1</f>
        <v>124.61830000000003</v>
      </c>
      <c r="F340" s="65">
        <v>118.9</v>
      </c>
      <c r="G340" s="65"/>
      <c r="H340" s="65">
        <f t="shared" si="30"/>
        <v>118.9</v>
      </c>
      <c r="I340" s="79">
        <f t="shared" si="27"/>
        <v>14817.12</v>
      </c>
      <c r="J340" s="79">
        <f t="shared" si="28"/>
        <v>0</v>
      </c>
      <c r="K340" s="79">
        <f t="shared" si="29"/>
        <v>14817.12</v>
      </c>
      <c r="L340" s="121"/>
    </row>
    <row r="341" spans="2:12" x14ac:dyDescent="0.35">
      <c r="B341" s="111">
        <f t="shared" si="26"/>
        <v>331</v>
      </c>
      <c r="C341" s="64" t="s">
        <v>189</v>
      </c>
      <c r="D341" s="77" t="s">
        <v>27</v>
      </c>
      <c r="E341" s="78">
        <f>E331</f>
        <v>39.700000000000003</v>
      </c>
      <c r="F341" s="65"/>
      <c r="G341" s="65">
        <v>2928</v>
      </c>
      <c r="H341" s="65">
        <f t="shared" si="30"/>
        <v>2928</v>
      </c>
      <c r="I341" s="79">
        <f t="shared" si="27"/>
        <v>0</v>
      </c>
      <c r="J341" s="79">
        <f t="shared" si="28"/>
        <v>116241.60000000001</v>
      </c>
      <c r="K341" s="79">
        <f t="shared" si="29"/>
        <v>116241.60000000001</v>
      </c>
      <c r="L341" s="121"/>
    </row>
    <row r="342" spans="2:12" ht="31" x14ac:dyDescent="0.35">
      <c r="B342" s="111">
        <f t="shared" si="26"/>
        <v>332</v>
      </c>
      <c r="C342" s="80" t="s">
        <v>195</v>
      </c>
      <c r="D342" s="77" t="s">
        <v>27</v>
      </c>
      <c r="E342" s="78">
        <f>E341*1.1</f>
        <v>43.670000000000009</v>
      </c>
      <c r="F342" s="65">
        <v>855</v>
      </c>
      <c r="G342" s="65"/>
      <c r="H342" s="65">
        <f t="shared" si="30"/>
        <v>855</v>
      </c>
      <c r="I342" s="79">
        <f t="shared" si="27"/>
        <v>37337.85</v>
      </c>
      <c r="J342" s="79">
        <f t="shared" si="28"/>
        <v>0</v>
      </c>
      <c r="K342" s="79">
        <f t="shared" si="29"/>
        <v>37337.85</v>
      </c>
      <c r="L342" s="121"/>
    </row>
    <row r="343" spans="2:12" ht="33" x14ac:dyDescent="0.35">
      <c r="B343" s="111">
        <f t="shared" si="26"/>
        <v>333</v>
      </c>
      <c r="C343" s="64" t="s">
        <v>355</v>
      </c>
      <c r="D343" s="81" t="s">
        <v>26</v>
      </c>
      <c r="E343" s="78">
        <v>122.34</v>
      </c>
      <c r="F343" s="65"/>
      <c r="G343" s="65">
        <v>439</v>
      </c>
      <c r="H343" s="65">
        <f t="shared" si="30"/>
        <v>439</v>
      </c>
      <c r="I343" s="79">
        <f t="shared" si="27"/>
        <v>0</v>
      </c>
      <c r="J343" s="79">
        <f t="shared" si="28"/>
        <v>53707.26</v>
      </c>
      <c r="K343" s="79">
        <f t="shared" si="29"/>
        <v>53707.26</v>
      </c>
      <c r="L343" s="121"/>
    </row>
    <row r="344" spans="2:12" ht="24" customHeight="1" x14ac:dyDescent="0.35">
      <c r="B344" s="111">
        <f t="shared" si="26"/>
        <v>334</v>
      </c>
      <c r="C344" s="98" t="s">
        <v>205</v>
      </c>
      <c r="D344" s="103" t="s">
        <v>32</v>
      </c>
      <c r="E344" s="100">
        <v>1</v>
      </c>
      <c r="F344" s="101"/>
      <c r="G344" s="101"/>
      <c r="H344" s="101">
        <f t="shared" si="30"/>
        <v>0</v>
      </c>
      <c r="I344" s="101">
        <f t="shared" si="27"/>
        <v>0</v>
      </c>
      <c r="J344" s="101">
        <f t="shared" si="28"/>
        <v>0</v>
      </c>
      <c r="K344" s="101">
        <f t="shared" si="29"/>
        <v>0</v>
      </c>
      <c r="L344" s="102"/>
    </row>
    <row r="345" spans="2:12" x14ac:dyDescent="0.35">
      <c r="B345" s="111">
        <f t="shared" si="26"/>
        <v>335</v>
      </c>
      <c r="C345" s="64" t="s">
        <v>19</v>
      </c>
      <c r="D345" s="81" t="s">
        <v>26</v>
      </c>
      <c r="E345" s="78">
        <v>0.3</v>
      </c>
      <c r="F345" s="65"/>
      <c r="G345" s="65">
        <v>1500</v>
      </c>
      <c r="H345" s="65">
        <f t="shared" si="30"/>
        <v>1500</v>
      </c>
      <c r="I345" s="79">
        <f t="shared" si="27"/>
        <v>0</v>
      </c>
      <c r="J345" s="79">
        <f t="shared" si="28"/>
        <v>450</v>
      </c>
      <c r="K345" s="79">
        <f t="shared" si="29"/>
        <v>450</v>
      </c>
      <c r="L345" s="121"/>
    </row>
    <row r="346" spans="2:12" x14ac:dyDescent="0.35">
      <c r="B346" s="111">
        <f t="shared" si="26"/>
        <v>336</v>
      </c>
      <c r="C346" s="64" t="s">
        <v>67</v>
      </c>
      <c r="D346" s="81" t="s">
        <v>25</v>
      </c>
      <c r="E346" s="78">
        <f>(3.14*2.4^2)/4</f>
        <v>4.5216000000000003</v>
      </c>
      <c r="F346" s="65"/>
      <c r="G346" s="65"/>
      <c r="H346" s="65">
        <f t="shared" si="30"/>
        <v>0</v>
      </c>
      <c r="I346" s="79">
        <f t="shared" si="27"/>
        <v>0</v>
      </c>
      <c r="J346" s="79">
        <f t="shared" si="28"/>
        <v>0</v>
      </c>
      <c r="K346" s="79">
        <f t="shared" si="29"/>
        <v>0</v>
      </c>
      <c r="L346" s="121"/>
    </row>
    <row r="347" spans="2:12" x14ac:dyDescent="0.35">
      <c r="B347" s="111">
        <f t="shared" si="26"/>
        <v>337</v>
      </c>
      <c r="C347" s="64" t="s">
        <v>68</v>
      </c>
      <c r="D347" s="81" t="s">
        <v>26</v>
      </c>
      <c r="E347" s="78">
        <f>E346*0.1</f>
        <v>0.45216000000000006</v>
      </c>
      <c r="F347" s="65"/>
      <c r="G347" s="65">
        <v>5860</v>
      </c>
      <c r="H347" s="65">
        <f t="shared" si="30"/>
        <v>5860</v>
      </c>
      <c r="I347" s="79">
        <f t="shared" si="27"/>
        <v>0</v>
      </c>
      <c r="J347" s="79">
        <f t="shared" si="28"/>
        <v>2649.66</v>
      </c>
      <c r="K347" s="79">
        <f t="shared" si="29"/>
        <v>2649.66</v>
      </c>
      <c r="L347" s="121"/>
    </row>
    <row r="348" spans="2:12" x14ac:dyDescent="0.35">
      <c r="B348" s="111">
        <f t="shared" si="26"/>
        <v>338</v>
      </c>
      <c r="C348" s="80" t="s">
        <v>159</v>
      </c>
      <c r="D348" s="81" t="s">
        <v>26</v>
      </c>
      <c r="E348" s="78">
        <f>E347*1.02</f>
        <v>0.46120320000000009</v>
      </c>
      <c r="F348" s="65">
        <v>6700</v>
      </c>
      <c r="G348" s="65"/>
      <c r="H348" s="65">
        <f t="shared" si="30"/>
        <v>6700</v>
      </c>
      <c r="I348" s="79">
        <f t="shared" si="27"/>
        <v>3090.06</v>
      </c>
      <c r="J348" s="79">
        <f t="shared" si="28"/>
        <v>0</v>
      </c>
      <c r="K348" s="79">
        <f t="shared" si="29"/>
        <v>3090.06</v>
      </c>
      <c r="L348" s="121"/>
    </row>
    <row r="349" spans="2:12" x14ac:dyDescent="0.35">
      <c r="B349" s="111">
        <f t="shared" si="26"/>
        <v>339</v>
      </c>
      <c r="C349" s="64" t="s">
        <v>151</v>
      </c>
      <c r="D349" s="81" t="s">
        <v>25</v>
      </c>
      <c r="E349" s="78">
        <f>(3.14*2^2)/4</f>
        <v>3.14</v>
      </c>
      <c r="F349" s="65">
        <v>68.5</v>
      </c>
      <c r="G349" s="65">
        <v>150</v>
      </c>
      <c r="H349" s="65">
        <f t="shared" si="30"/>
        <v>218.5</v>
      </c>
      <c r="I349" s="79">
        <f t="shared" si="27"/>
        <v>215.09</v>
      </c>
      <c r="J349" s="79">
        <f t="shared" si="28"/>
        <v>471</v>
      </c>
      <c r="K349" s="79">
        <f t="shared" si="29"/>
        <v>686.09</v>
      </c>
      <c r="L349" s="121"/>
    </row>
    <row r="350" spans="2:12" ht="31" x14ac:dyDescent="0.35">
      <c r="B350" s="111">
        <f t="shared" si="26"/>
        <v>340</v>
      </c>
      <c r="C350" s="64" t="s">
        <v>152</v>
      </c>
      <c r="D350" s="81" t="s">
        <v>25</v>
      </c>
      <c r="E350" s="78">
        <f>E349</f>
        <v>3.14</v>
      </c>
      <c r="F350" s="65">
        <v>927</v>
      </c>
      <c r="G350" s="65">
        <v>400</v>
      </c>
      <c r="H350" s="65">
        <f t="shared" si="30"/>
        <v>1327</v>
      </c>
      <c r="I350" s="79">
        <f t="shared" si="27"/>
        <v>2910.78</v>
      </c>
      <c r="J350" s="79">
        <f t="shared" si="28"/>
        <v>1256</v>
      </c>
      <c r="K350" s="79">
        <f t="shared" si="29"/>
        <v>4166.7800000000007</v>
      </c>
      <c r="L350" s="121"/>
    </row>
    <row r="351" spans="2:12" ht="31" x14ac:dyDescent="0.35">
      <c r="B351" s="111">
        <f t="shared" si="26"/>
        <v>341</v>
      </c>
      <c r="C351" s="64" t="s">
        <v>107</v>
      </c>
      <c r="D351" s="81" t="s">
        <v>32</v>
      </c>
      <c r="E351" s="78">
        <v>1</v>
      </c>
      <c r="F351" s="65"/>
      <c r="G351" s="65">
        <v>5662</v>
      </c>
      <c r="H351" s="65">
        <f t="shared" si="30"/>
        <v>5662</v>
      </c>
      <c r="I351" s="79">
        <f t="shared" si="27"/>
        <v>0</v>
      </c>
      <c r="J351" s="79">
        <f t="shared" si="28"/>
        <v>5662</v>
      </c>
      <c r="K351" s="79">
        <f t="shared" si="29"/>
        <v>5662</v>
      </c>
      <c r="L351" s="121"/>
    </row>
    <row r="352" spans="2:12" x14ac:dyDescent="0.35">
      <c r="B352" s="111">
        <f t="shared" si="26"/>
        <v>342</v>
      </c>
      <c r="C352" s="82" t="s">
        <v>108</v>
      </c>
      <c r="D352" s="81" t="s">
        <v>32</v>
      </c>
      <c r="E352" s="78">
        <v>1</v>
      </c>
      <c r="F352" s="65">
        <f>6000*1.2</f>
        <v>7200</v>
      </c>
      <c r="G352" s="65"/>
      <c r="H352" s="65">
        <f t="shared" si="30"/>
        <v>7200</v>
      </c>
      <c r="I352" s="79">
        <f t="shared" si="27"/>
        <v>7200</v>
      </c>
      <c r="J352" s="79">
        <f t="shared" si="28"/>
        <v>0</v>
      </c>
      <c r="K352" s="79">
        <f t="shared" si="29"/>
        <v>7200</v>
      </c>
      <c r="L352" s="121"/>
    </row>
    <row r="353" spans="2:12" x14ac:dyDescent="0.35">
      <c r="B353" s="111">
        <f t="shared" si="26"/>
        <v>343</v>
      </c>
      <c r="C353" s="82" t="s">
        <v>101</v>
      </c>
      <c r="D353" s="81" t="s">
        <v>26</v>
      </c>
      <c r="E353" s="78">
        <v>0.06</v>
      </c>
      <c r="F353" s="65">
        <v>7300</v>
      </c>
      <c r="G353" s="65"/>
      <c r="H353" s="65">
        <f t="shared" si="30"/>
        <v>7300</v>
      </c>
      <c r="I353" s="79">
        <f t="shared" si="27"/>
        <v>438</v>
      </c>
      <c r="J353" s="79">
        <f t="shared" si="28"/>
        <v>0</v>
      </c>
      <c r="K353" s="79">
        <f t="shared" si="29"/>
        <v>438</v>
      </c>
      <c r="L353" s="121"/>
    </row>
    <row r="354" spans="2:12" ht="31" x14ac:dyDescent="0.35">
      <c r="B354" s="111">
        <f t="shared" si="26"/>
        <v>344</v>
      </c>
      <c r="C354" s="64" t="s">
        <v>179</v>
      </c>
      <c r="D354" s="81" t="s">
        <v>26</v>
      </c>
      <c r="E354" s="78">
        <v>1.2</v>
      </c>
      <c r="F354" s="65"/>
      <c r="G354" s="65">
        <v>5860</v>
      </c>
      <c r="H354" s="65">
        <f t="shared" si="30"/>
        <v>5860</v>
      </c>
      <c r="I354" s="79">
        <f t="shared" si="27"/>
        <v>0</v>
      </c>
      <c r="J354" s="79">
        <f t="shared" si="28"/>
        <v>7032</v>
      </c>
      <c r="K354" s="79">
        <f t="shared" si="29"/>
        <v>7032</v>
      </c>
      <c r="L354" s="121"/>
    </row>
    <row r="355" spans="2:12" x14ac:dyDescent="0.35">
      <c r="B355" s="111">
        <f t="shared" si="26"/>
        <v>345</v>
      </c>
      <c r="C355" s="82" t="s">
        <v>75</v>
      </c>
      <c r="D355" s="81" t="s">
        <v>26</v>
      </c>
      <c r="E355" s="78">
        <v>1.22</v>
      </c>
      <c r="F355" s="65">
        <v>7100</v>
      </c>
      <c r="G355" s="65"/>
      <c r="H355" s="65">
        <f t="shared" si="30"/>
        <v>7100</v>
      </c>
      <c r="I355" s="79">
        <f t="shared" si="27"/>
        <v>8662</v>
      </c>
      <c r="J355" s="79">
        <f t="shared" si="28"/>
        <v>0</v>
      </c>
      <c r="K355" s="79">
        <f t="shared" si="29"/>
        <v>8662</v>
      </c>
      <c r="L355" s="121"/>
    </row>
    <row r="356" spans="2:12" ht="31" x14ac:dyDescent="0.35">
      <c r="B356" s="111">
        <f t="shared" si="26"/>
        <v>346</v>
      </c>
      <c r="C356" s="64" t="s">
        <v>78</v>
      </c>
      <c r="D356" s="81" t="s">
        <v>32</v>
      </c>
      <c r="E356" s="78">
        <v>3</v>
      </c>
      <c r="F356" s="65"/>
      <c r="G356" s="65">
        <v>5662</v>
      </c>
      <c r="H356" s="65">
        <f t="shared" si="30"/>
        <v>5662</v>
      </c>
      <c r="I356" s="79">
        <f t="shared" si="27"/>
        <v>0</v>
      </c>
      <c r="J356" s="79">
        <f t="shared" si="28"/>
        <v>16986</v>
      </c>
      <c r="K356" s="79">
        <f t="shared" si="29"/>
        <v>16986</v>
      </c>
      <c r="L356" s="121"/>
    </row>
    <row r="357" spans="2:12" x14ac:dyDescent="0.35">
      <c r="B357" s="111">
        <f t="shared" si="26"/>
        <v>347</v>
      </c>
      <c r="C357" s="82" t="s">
        <v>109</v>
      </c>
      <c r="D357" s="81" t="s">
        <v>32</v>
      </c>
      <c r="E357" s="78">
        <v>1</v>
      </c>
      <c r="F357" s="65">
        <f>6000*1.2</f>
        <v>7200</v>
      </c>
      <c r="G357" s="65"/>
      <c r="H357" s="65">
        <f t="shared" si="30"/>
        <v>7200</v>
      </c>
      <c r="I357" s="79">
        <f t="shared" si="27"/>
        <v>7200</v>
      </c>
      <c r="J357" s="79">
        <f t="shared" si="28"/>
        <v>0</v>
      </c>
      <c r="K357" s="79">
        <f t="shared" si="29"/>
        <v>7200</v>
      </c>
      <c r="L357" s="121"/>
    </row>
    <row r="358" spans="2:12" x14ac:dyDescent="0.35">
      <c r="B358" s="111">
        <f t="shared" si="26"/>
        <v>348</v>
      </c>
      <c r="C358" s="82" t="s">
        <v>110</v>
      </c>
      <c r="D358" s="81" t="s">
        <v>32</v>
      </c>
      <c r="E358" s="78">
        <v>1</v>
      </c>
      <c r="F358" s="65">
        <f>4500*1.2</f>
        <v>5400</v>
      </c>
      <c r="G358" s="65"/>
      <c r="H358" s="65">
        <f t="shared" si="30"/>
        <v>5400</v>
      </c>
      <c r="I358" s="79">
        <f t="shared" si="27"/>
        <v>5400</v>
      </c>
      <c r="J358" s="79">
        <f t="shared" si="28"/>
        <v>0</v>
      </c>
      <c r="K358" s="79">
        <f t="shared" si="29"/>
        <v>5400</v>
      </c>
      <c r="L358" s="121"/>
    </row>
    <row r="359" spans="2:12" x14ac:dyDescent="0.35">
      <c r="B359" s="111">
        <f t="shared" si="26"/>
        <v>349</v>
      </c>
      <c r="C359" s="82" t="s">
        <v>293</v>
      </c>
      <c r="D359" s="81" t="s">
        <v>32</v>
      </c>
      <c r="E359" s="78">
        <v>1</v>
      </c>
      <c r="F359" s="65">
        <f>900*1.2</f>
        <v>1080</v>
      </c>
      <c r="G359" s="65"/>
      <c r="H359" s="65">
        <f t="shared" si="30"/>
        <v>1080</v>
      </c>
      <c r="I359" s="79">
        <f t="shared" si="27"/>
        <v>1080</v>
      </c>
      <c r="J359" s="79">
        <f t="shared" si="28"/>
        <v>0</v>
      </c>
      <c r="K359" s="79">
        <f t="shared" si="29"/>
        <v>1080</v>
      </c>
      <c r="L359" s="121"/>
    </row>
    <row r="360" spans="2:12" ht="31" x14ac:dyDescent="0.35">
      <c r="B360" s="111">
        <f t="shared" si="26"/>
        <v>350</v>
      </c>
      <c r="C360" s="64" t="s">
        <v>85</v>
      </c>
      <c r="D360" s="81" t="s">
        <v>32</v>
      </c>
      <c r="E360" s="78">
        <v>1</v>
      </c>
      <c r="F360" s="65"/>
      <c r="G360" s="65">
        <v>2500</v>
      </c>
      <c r="H360" s="65">
        <f t="shared" si="30"/>
        <v>2500</v>
      </c>
      <c r="I360" s="79">
        <f t="shared" si="27"/>
        <v>0</v>
      </c>
      <c r="J360" s="79">
        <f t="shared" si="28"/>
        <v>2500</v>
      </c>
      <c r="K360" s="79">
        <f t="shared" si="29"/>
        <v>2500</v>
      </c>
      <c r="L360" s="121"/>
    </row>
    <row r="361" spans="2:12" x14ac:dyDescent="0.35">
      <c r="B361" s="111">
        <f t="shared" si="26"/>
        <v>351</v>
      </c>
      <c r="C361" s="82" t="s">
        <v>154</v>
      </c>
      <c r="D361" s="81" t="s">
        <v>32</v>
      </c>
      <c r="E361" s="78">
        <v>1</v>
      </c>
      <c r="F361" s="65">
        <f>5500*1.2</f>
        <v>6600</v>
      </c>
      <c r="G361" s="65"/>
      <c r="H361" s="65">
        <f t="shared" si="30"/>
        <v>6600</v>
      </c>
      <c r="I361" s="79">
        <f t="shared" si="27"/>
        <v>6600</v>
      </c>
      <c r="J361" s="79">
        <f t="shared" si="28"/>
        <v>0</v>
      </c>
      <c r="K361" s="79">
        <f t="shared" si="29"/>
        <v>6600</v>
      </c>
      <c r="L361" s="121"/>
    </row>
    <row r="362" spans="2:12" ht="31" x14ac:dyDescent="0.35">
      <c r="B362" s="111">
        <f t="shared" si="26"/>
        <v>352</v>
      </c>
      <c r="C362" s="64" t="s">
        <v>316</v>
      </c>
      <c r="D362" s="81" t="s">
        <v>32</v>
      </c>
      <c r="E362" s="78">
        <v>1</v>
      </c>
      <c r="F362" s="65"/>
      <c r="G362" s="65"/>
      <c r="H362" s="65">
        <f t="shared" si="30"/>
        <v>0</v>
      </c>
      <c r="I362" s="79">
        <f t="shared" si="27"/>
        <v>0</v>
      </c>
      <c r="J362" s="79">
        <f t="shared" si="28"/>
        <v>0</v>
      </c>
      <c r="K362" s="79">
        <f t="shared" si="29"/>
        <v>0</v>
      </c>
      <c r="L362" s="121"/>
    </row>
    <row r="363" spans="2:12" x14ac:dyDescent="0.35">
      <c r="B363" s="111">
        <f t="shared" si="26"/>
        <v>353</v>
      </c>
      <c r="C363" s="82" t="s">
        <v>84</v>
      </c>
      <c r="D363" s="81" t="s">
        <v>32</v>
      </c>
      <c r="E363" s="78">
        <v>1</v>
      </c>
      <c r="F363" s="65">
        <v>1300</v>
      </c>
      <c r="G363" s="65">
        <v>990</v>
      </c>
      <c r="H363" s="65">
        <f t="shared" si="30"/>
        <v>2290</v>
      </c>
      <c r="I363" s="79">
        <f t="shared" si="27"/>
        <v>1300</v>
      </c>
      <c r="J363" s="79">
        <f t="shared" si="28"/>
        <v>990</v>
      </c>
      <c r="K363" s="79">
        <f t="shared" si="29"/>
        <v>2290</v>
      </c>
      <c r="L363" s="121"/>
    </row>
    <row r="364" spans="2:12" x14ac:dyDescent="0.35">
      <c r="B364" s="111">
        <f t="shared" si="26"/>
        <v>354</v>
      </c>
      <c r="C364" s="80" t="s">
        <v>301</v>
      </c>
      <c r="D364" s="81" t="s">
        <v>32</v>
      </c>
      <c r="E364" s="78">
        <v>1</v>
      </c>
      <c r="F364" s="65">
        <v>6000</v>
      </c>
      <c r="G364" s="65">
        <v>1464.09</v>
      </c>
      <c r="H364" s="65">
        <f t="shared" si="30"/>
        <v>7464.09</v>
      </c>
      <c r="I364" s="79">
        <f t="shared" si="27"/>
        <v>6000</v>
      </c>
      <c r="J364" s="79">
        <f t="shared" si="28"/>
        <v>1464.09</v>
      </c>
      <c r="K364" s="79">
        <f t="shared" si="29"/>
        <v>7464.09</v>
      </c>
      <c r="L364" s="121"/>
    </row>
    <row r="365" spans="2:12" ht="31" x14ac:dyDescent="0.35">
      <c r="B365" s="111">
        <f t="shared" si="26"/>
        <v>355</v>
      </c>
      <c r="C365" s="64" t="s">
        <v>156</v>
      </c>
      <c r="D365" s="81" t="s">
        <v>25</v>
      </c>
      <c r="E365" s="78">
        <f>(3.14*1.68*2.27)+(0.84*0.84*3.14)</f>
        <v>14.190287999999999</v>
      </c>
      <c r="F365" s="65">
        <v>68.5</v>
      </c>
      <c r="G365" s="65">
        <v>150</v>
      </c>
      <c r="H365" s="65">
        <f t="shared" si="30"/>
        <v>218.5</v>
      </c>
      <c r="I365" s="79">
        <f t="shared" si="27"/>
        <v>972.03</v>
      </c>
      <c r="J365" s="79">
        <f t="shared" si="28"/>
        <v>2128.54</v>
      </c>
      <c r="K365" s="79">
        <f t="shared" si="29"/>
        <v>3100.5699999999997</v>
      </c>
      <c r="L365" s="121"/>
    </row>
    <row r="366" spans="2:12" ht="46.5" x14ac:dyDescent="0.35">
      <c r="B366" s="111">
        <f t="shared" si="26"/>
        <v>356</v>
      </c>
      <c r="C366" s="64" t="s">
        <v>157</v>
      </c>
      <c r="D366" s="81" t="s">
        <v>25</v>
      </c>
      <c r="E366" s="78">
        <f>(3.14*1.68*2.27)+(0.84*0.84*3.14)</f>
        <v>14.190287999999999</v>
      </c>
      <c r="F366" s="65">
        <v>927</v>
      </c>
      <c r="G366" s="65">
        <v>400</v>
      </c>
      <c r="H366" s="65">
        <f t="shared" si="30"/>
        <v>1327</v>
      </c>
      <c r="I366" s="79">
        <f t="shared" si="27"/>
        <v>13154.4</v>
      </c>
      <c r="J366" s="79">
        <f t="shared" si="28"/>
        <v>5676.12</v>
      </c>
      <c r="K366" s="79">
        <f t="shared" si="29"/>
        <v>18830.52</v>
      </c>
      <c r="L366" s="121"/>
    </row>
    <row r="367" spans="2:12" x14ac:dyDescent="0.35">
      <c r="B367" s="111">
        <f t="shared" si="26"/>
        <v>357</v>
      </c>
      <c r="C367" s="64" t="s">
        <v>314</v>
      </c>
      <c r="D367" s="81" t="s">
        <v>32</v>
      </c>
      <c r="E367" s="78">
        <v>1</v>
      </c>
      <c r="F367" s="65"/>
      <c r="G367" s="65"/>
      <c r="H367" s="65">
        <f t="shared" si="30"/>
        <v>0</v>
      </c>
      <c r="I367" s="79">
        <f t="shared" si="27"/>
        <v>0</v>
      </c>
      <c r="J367" s="79">
        <f t="shared" si="28"/>
        <v>0</v>
      </c>
      <c r="K367" s="79">
        <f t="shared" si="29"/>
        <v>0</v>
      </c>
      <c r="L367" s="121"/>
    </row>
    <row r="368" spans="2:12" x14ac:dyDescent="0.35">
      <c r="B368" s="111">
        <f t="shared" si="26"/>
        <v>358</v>
      </c>
      <c r="C368" s="82" t="s">
        <v>315</v>
      </c>
      <c r="D368" s="81" t="s">
        <v>31</v>
      </c>
      <c r="E368" s="78">
        <v>17.079999999999998</v>
      </c>
      <c r="F368" s="68">
        <v>71</v>
      </c>
      <c r="G368" s="65">
        <v>97.61</v>
      </c>
      <c r="H368" s="65">
        <f t="shared" si="30"/>
        <v>168.61</v>
      </c>
      <c r="I368" s="79">
        <f t="shared" si="27"/>
        <v>1212.68</v>
      </c>
      <c r="J368" s="79">
        <f t="shared" si="28"/>
        <v>1667.18</v>
      </c>
      <c r="K368" s="79">
        <f t="shared" si="29"/>
        <v>2879.86</v>
      </c>
      <c r="L368" s="121"/>
    </row>
    <row r="369" spans="2:12" x14ac:dyDescent="0.35">
      <c r="B369" s="111">
        <f t="shared" si="26"/>
        <v>359</v>
      </c>
      <c r="C369" s="64" t="s">
        <v>93</v>
      </c>
      <c r="D369" s="81" t="s">
        <v>32</v>
      </c>
      <c r="E369" s="78">
        <v>1</v>
      </c>
      <c r="F369" s="65"/>
      <c r="G369" s="65"/>
      <c r="H369" s="65">
        <f t="shared" si="30"/>
        <v>0</v>
      </c>
      <c r="I369" s="79">
        <f t="shared" si="27"/>
        <v>0</v>
      </c>
      <c r="J369" s="79">
        <f t="shared" si="28"/>
        <v>0</v>
      </c>
      <c r="K369" s="79">
        <f t="shared" si="29"/>
        <v>0</v>
      </c>
      <c r="L369" s="121"/>
    </row>
    <row r="370" spans="2:12" x14ac:dyDescent="0.35">
      <c r="B370" s="111">
        <f t="shared" si="26"/>
        <v>360</v>
      </c>
      <c r="C370" s="82" t="s">
        <v>94</v>
      </c>
      <c r="D370" s="81" t="s">
        <v>31</v>
      </c>
      <c r="E370" s="78">
        <v>0.82</v>
      </c>
      <c r="F370" s="68">
        <v>71</v>
      </c>
      <c r="G370" s="65">
        <v>97.61</v>
      </c>
      <c r="H370" s="65">
        <f t="shared" si="30"/>
        <v>168.61</v>
      </c>
      <c r="I370" s="79">
        <f t="shared" si="27"/>
        <v>58.22</v>
      </c>
      <c r="J370" s="79">
        <f t="shared" si="28"/>
        <v>80.040000000000006</v>
      </c>
      <c r="K370" s="79">
        <f t="shared" si="29"/>
        <v>138.26</v>
      </c>
      <c r="L370" s="121"/>
    </row>
    <row r="371" spans="2:12" ht="31" x14ac:dyDescent="0.35">
      <c r="B371" s="111">
        <f t="shared" si="26"/>
        <v>361</v>
      </c>
      <c r="C371" s="64" t="s">
        <v>153</v>
      </c>
      <c r="D371" s="81" t="s">
        <v>32</v>
      </c>
      <c r="E371" s="78">
        <v>3</v>
      </c>
      <c r="F371" s="65"/>
      <c r="G371" s="65">
        <v>1464</v>
      </c>
      <c r="H371" s="65">
        <f t="shared" si="30"/>
        <v>1464</v>
      </c>
      <c r="I371" s="79">
        <f t="shared" si="27"/>
        <v>0</v>
      </c>
      <c r="J371" s="79">
        <f t="shared" si="28"/>
        <v>4392</v>
      </c>
      <c r="K371" s="79">
        <f t="shared" si="29"/>
        <v>4392</v>
      </c>
      <c r="L371" s="121"/>
    </row>
    <row r="372" spans="2:12" ht="33" x14ac:dyDescent="0.35">
      <c r="B372" s="111">
        <f t="shared" si="26"/>
        <v>362</v>
      </c>
      <c r="C372" s="64" t="s">
        <v>362</v>
      </c>
      <c r="D372" s="81" t="s">
        <v>26</v>
      </c>
      <c r="E372" s="78">
        <v>5.38</v>
      </c>
      <c r="F372" s="65"/>
      <c r="G372" s="65">
        <v>439</v>
      </c>
      <c r="H372" s="65">
        <f t="shared" si="30"/>
        <v>439</v>
      </c>
      <c r="I372" s="79">
        <f t="shared" si="27"/>
        <v>0</v>
      </c>
      <c r="J372" s="79">
        <f t="shared" si="28"/>
        <v>2361.8200000000002</v>
      </c>
      <c r="K372" s="79">
        <f t="shared" si="29"/>
        <v>2361.8200000000002</v>
      </c>
      <c r="L372" s="121"/>
    </row>
    <row r="373" spans="2:12" ht="30" x14ac:dyDescent="0.35">
      <c r="B373" s="111">
        <f t="shared" si="26"/>
        <v>363</v>
      </c>
      <c r="C373" s="98" t="s">
        <v>206</v>
      </c>
      <c r="D373" s="99" t="s">
        <v>27</v>
      </c>
      <c r="E373" s="100">
        <v>6.8</v>
      </c>
      <c r="F373" s="101"/>
      <c r="G373" s="101"/>
      <c r="H373" s="101">
        <f t="shared" si="30"/>
        <v>0</v>
      </c>
      <c r="I373" s="101">
        <f t="shared" si="27"/>
        <v>0</v>
      </c>
      <c r="J373" s="101">
        <f t="shared" si="28"/>
        <v>0</v>
      </c>
      <c r="K373" s="101">
        <f t="shared" si="29"/>
        <v>0</v>
      </c>
      <c r="L373" s="102"/>
    </row>
    <row r="374" spans="2:12" ht="31" x14ac:dyDescent="0.35">
      <c r="B374" s="111">
        <f t="shared" si="26"/>
        <v>364</v>
      </c>
      <c r="C374" s="64" t="s">
        <v>348</v>
      </c>
      <c r="D374" s="77" t="s">
        <v>26</v>
      </c>
      <c r="E374" s="78">
        <f>3.15*0.97</f>
        <v>3.0554999999999999</v>
      </c>
      <c r="F374" s="65"/>
      <c r="G374" s="65">
        <v>300</v>
      </c>
      <c r="H374" s="65">
        <f t="shared" si="30"/>
        <v>300</v>
      </c>
      <c r="I374" s="79">
        <f t="shared" si="27"/>
        <v>0</v>
      </c>
      <c r="J374" s="79">
        <f t="shared" si="28"/>
        <v>916.65</v>
      </c>
      <c r="K374" s="79">
        <f t="shared" si="29"/>
        <v>916.65</v>
      </c>
      <c r="L374" s="121"/>
    </row>
    <row r="375" spans="2:12" x14ac:dyDescent="0.35">
      <c r="B375" s="111">
        <f t="shared" si="26"/>
        <v>365</v>
      </c>
      <c r="C375" s="64" t="s">
        <v>19</v>
      </c>
      <c r="D375" s="77" t="s">
        <v>26</v>
      </c>
      <c r="E375" s="78">
        <f>E374/97*3</f>
        <v>9.4500000000000001E-2</v>
      </c>
      <c r="F375" s="65"/>
      <c r="G375" s="65">
        <v>1500</v>
      </c>
      <c r="H375" s="65">
        <f t="shared" si="30"/>
        <v>1500</v>
      </c>
      <c r="I375" s="79">
        <f t="shared" si="27"/>
        <v>0</v>
      </c>
      <c r="J375" s="79">
        <f t="shared" si="28"/>
        <v>141.75</v>
      </c>
      <c r="K375" s="79">
        <f t="shared" si="29"/>
        <v>141.75</v>
      </c>
      <c r="L375" s="121"/>
    </row>
    <row r="376" spans="2:12" x14ac:dyDescent="0.35">
      <c r="B376" s="111">
        <f t="shared" si="26"/>
        <v>366</v>
      </c>
      <c r="C376" s="64" t="s">
        <v>184</v>
      </c>
      <c r="D376" s="77" t="s">
        <v>25</v>
      </c>
      <c r="E376" s="78">
        <f>E373*0.75</f>
        <v>5.0999999999999996</v>
      </c>
      <c r="F376" s="65"/>
      <c r="G376" s="65"/>
      <c r="H376" s="65">
        <f t="shared" si="30"/>
        <v>0</v>
      </c>
      <c r="I376" s="79">
        <f t="shared" si="27"/>
        <v>0</v>
      </c>
      <c r="J376" s="79">
        <f t="shared" si="28"/>
        <v>0</v>
      </c>
      <c r="K376" s="79">
        <f t="shared" si="29"/>
        <v>0</v>
      </c>
      <c r="L376" s="121"/>
    </row>
    <row r="377" spans="2:12" ht="31" x14ac:dyDescent="0.35">
      <c r="B377" s="111">
        <f t="shared" si="26"/>
        <v>367</v>
      </c>
      <c r="C377" s="64" t="s">
        <v>194</v>
      </c>
      <c r="D377" s="77" t="s">
        <v>25</v>
      </c>
      <c r="E377" s="78">
        <f>E373*0.48</f>
        <v>3.2639999999999998</v>
      </c>
      <c r="F377" s="65">
        <f>1973*0.15</f>
        <v>295.95</v>
      </c>
      <c r="G377" s="65">
        <f>1500*0.15</f>
        <v>225</v>
      </c>
      <c r="H377" s="65">
        <f t="shared" si="30"/>
        <v>520.95000000000005</v>
      </c>
      <c r="I377" s="79">
        <f t="shared" si="27"/>
        <v>965.98</v>
      </c>
      <c r="J377" s="79">
        <f t="shared" si="28"/>
        <v>734.4</v>
      </c>
      <c r="K377" s="79">
        <f t="shared" si="29"/>
        <v>1700.38</v>
      </c>
      <c r="L377" s="121"/>
    </row>
    <row r="378" spans="2:12" x14ac:dyDescent="0.35">
      <c r="B378" s="111">
        <f t="shared" si="26"/>
        <v>368</v>
      </c>
      <c r="C378" s="64" t="s">
        <v>20</v>
      </c>
      <c r="D378" s="77" t="s">
        <v>26</v>
      </c>
      <c r="E378" s="78">
        <f>0.34*E373*0.1</f>
        <v>0.23120000000000004</v>
      </c>
      <c r="F378" s="65"/>
      <c r="G378" s="65">
        <v>5860</v>
      </c>
      <c r="H378" s="65">
        <f t="shared" si="30"/>
        <v>5860</v>
      </c>
      <c r="I378" s="79">
        <f t="shared" si="27"/>
        <v>0</v>
      </c>
      <c r="J378" s="79">
        <f t="shared" si="28"/>
        <v>1354.83</v>
      </c>
      <c r="K378" s="79">
        <f t="shared" si="29"/>
        <v>1354.83</v>
      </c>
      <c r="L378" s="121"/>
    </row>
    <row r="379" spans="2:12" x14ac:dyDescent="0.35">
      <c r="B379" s="111">
        <f t="shared" si="26"/>
        <v>369</v>
      </c>
      <c r="C379" s="80" t="s">
        <v>159</v>
      </c>
      <c r="D379" s="77" t="s">
        <v>26</v>
      </c>
      <c r="E379" s="78">
        <f>E378*1.02</f>
        <v>0.23582400000000006</v>
      </c>
      <c r="F379" s="65">
        <v>6700</v>
      </c>
      <c r="G379" s="65"/>
      <c r="H379" s="65">
        <f t="shared" si="30"/>
        <v>6700</v>
      </c>
      <c r="I379" s="79">
        <f t="shared" si="27"/>
        <v>1580.02</v>
      </c>
      <c r="J379" s="79">
        <f t="shared" si="28"/>
        <v>0</v>
      </c>
      <c r="K379" s="79">
        <f t="shared" si="29"/>
        <v>1580.02</v>
      </c>
      <c r="L379" s="121"/>
    </row>
    <row r="380" spans="2:12" x14ac:dyDescent="0.35">
      <c r="B380" s="111">
        <f t="shared" si="26"/>
        <v>370</v>
      </c>
      <c r="C380" s="64" t="s">
        <v>28</v>
      </c>
      <c r="D380" s="77" t="s">
        <v>26</v>
      </c>
      <c r="E380" s="78">
        <f>0.8*E373*0.1</f>
        <v>0.54400000000000004</v>
      </c>
      <c r="F380" s="65"/>
      <c r="G380" s="65">
        <v>5860</v>
      </c>
      <c r="H380" s="65">
        <f t="shared" si="30"/>
        <v>5860</v>
      </c>
      <c r="I380" s="79">
        <f t="shared" si="27"/>
        <v>0</v>
      </c>
      <c r="J380" s="79">
        <f t="shared" si="28"/>
        <v>3187.84</v>
      </c>
      <c r="K380" s="79">
        <f t="shared" si="29"/>
        <v>3187.84</v>
      </c>
      <c r="L380" s="121"/>
    </row>
    <row r="381" spans="2:12" x14ac:dyDescent="0.35">
      <c r="B381" s="111">
        <f t="shared" si="26"/>
        <v>371</v>
      </c>
      <c r="C381" s="80" t="s">
        <v>29</v>
      </c>
      <c r="D381" s="77" t="s">
        <v>26</v>
      </c>
      <c r="E381" s="78">
        <f>E380*1.02</f>
        <v>0.55488000000000004</v>
      </c>
      <c r="F381" s="65">
        <v>7100</v>
      </c>
      <c r="G381" s="65"/>
      <c r="H381" s="65">
        <f t="shared" si="30"/>
        <v>7100</v>
      </c>
      <c r="I381" s="79">
        <f t="shared" si="27"/>
        <v>3939.65</v>
      </c>
      <c r="J381" s="79">
        <f t="shared" si="28"/>
        <v>0</v>
      </c>
      <c r="K381" s="79">
        <f t="shared" si="29"/>
        <v>3939.65</v>
      </c>
      <c r="L381" s="121"/>
    </row>
    <row r="382" spans="2:12" x14ac:dyDescent="0.35">
      <c r="B382" s="111">
        <f t="shared" si="26"/>
        <v>372</v>
      </c>
      <c r="C382" s="80" t="s">
        <v>30</v>
      </c>
      <c r="D382" s="77" t="s">
        <v>31</v>
      </c>
      <c r="E382" s="78">
        <f>31.39*E373*0.1</f>
        <v>21.345200000000002</v>
      </c>
      <c r="F382" s="65">
        <v>118.9</v>
      </c>
      <c r="G382" s="65"/>
      <c r="H382" s="65">
        <f t="shared" si="30"/>
        <v>118.9</v>
      </c>
      <c r="I382" s="79">
        <f t="shared" si="27"/>
        <v>2537.94</v>
      </c>
      <c r="J382" s="79">
        <f t="shared" si="28"/>
        <v>0</v>
      </c>
      <c r="K382" s="79">
        <f t="shared" si="29"/>
        <v>2537.94</v>
      </c>
      <c r="L382" s="121"/>
    </row>
    <row r="383" spans="2:12" x14ac:dyDescent="0.35">
      <c r="B383" s="111">
        <f t="shared" si="26"/>
        <v>373</v>
      </c>
      <c r="C383" s="64" t="s">
        <v>189</v>
      </c>
      <c r="D383" s="77" t="s">
        <v>27</v>
      </c>
      <c r="E383" s="78">
        <f>E373</f>
        <v>6.8</v>
      </c>
      <c r="F383" s="65"/>
      <c r="G383" s="65">
        <v>2928</v>
      </c>
      <c r="H383" s="65">
        <f t="shared" si="30"/>
        <v>2928</v>
      </c>
      <c r="I383" s="79">
        <f t="shared" si="27"/>
        <v>0</v>
      </c>
      <c r="J383" s="79">
        <f t="shared" si="28"/>
        <v>19910.400000000001</v>
      </c>
      <c r="K383" s="79">
        <f t="shared" si="29"/>
        <v>19910.400000000001</v>
      </c>
      <c r="L383" s="121"/>
    </row>
    <row r="384" spans="2:12" ht="31" x14ac:dyDescent="0.35">
      <c r="B384" s="111">
        <f t="shared" si="26"/>
        <v>374</v>
      </c>
      <c r="C384" s="80" t="s">
        <v>195</v>
      </c>
      <c r="D384" s="77" t="s">
        <v>27</v>
      </c>
      <c r="E384" s="78">
        <f>E383*1.1</f>
        <v>7.48</v>
      </c>
      <c r="F384" s="65">
        <v>855</v>
      </c>
      <c r="G384" s="65"/>
      <c r="H384" s="65">
        <f t="shared" si="30"/>
        <v>855</v>
      </c>
      <c r="I384" s="79">
        <f t="shared" si="27"/>
        <v>6395.4</v>
      </c>
      <c r="J384" s="79">
        <f t="shared" si="28"/>
        <v>0</v>
      </c>
      <c r="K384" s="79">
        <f t="shared" si="29"/>
        <v>6395.4</v>
      </c>
      <c r="L384" s="121"/>
    </row>
    <row r="385" spans="2:12" ht="33" x14ac:dyDescent="0.35">
      <c r="B385" s="111">
        <f t="shared" si="26"/>
        <v>375</v>
      </c>
      <c r="C385" s="64" t="s">
        <v>355</v>
      </c>
      <c r="D385" s="81" t="s">
        <v>26</v>
      </c>
      <c r="E385" s="78">
        <v>32.4</v>
      </c>
      <c r="F385" s="65"/>
      <c r="G385" s="65">
        <v>439</v>
      </c>
      <c r="H385" s="65">
        <f t="shared" si="30"/>
        <v>439</v>
      </c>
      <c r="I385" s="79">
        <f t="shared" si="27"/>
        <v>0</v>
      </c>
      <c r="J385" s="79">
        <f t="shared" si="28"/>
        <v>14223.6</v>
      </c>
      <c r="K385" s="79">
        <f t="shared" si="29"/>
        <v>14223.6</v>
      </c>
      <c r="L385" s="121"/>
    </row>
    <row r="386" spans="2:12" ht="27" customHeight="1" x14ac:dyDescent="0.35">
      <c r="B386" s="111">
        <f t="shared" si="26"/>
        <v>376</v>
      </c>
      <c r="C386" s="98" t="s">
        <v>207</v>
      </c>
      <c r="D386" s="103" t="s">
        <v>32</v>
      </c>
      <c r="E386" s="100">
        <v>1</v>
      </c>
      <c r="F386" s="101"/>
      <c r="G386" s="101"/>
      <c r="H386" s="101">
        <f t="shared" si="30"/>
        <v>0</v>
      </c>
      <c r="I386" s="101">
        <f t="shared" si="27"/>
        <v>0</v>
      </c>
      <c r="J386" s="101">
        <f t="shared" si="28"/>
        <v>0</v>
      </c>
      <c r="K386" s="101">
        <f t="shared" si="29"/>
        <v>0</v>
      </c>
      <c r="L386" s="102"/>
    </row>
    <row r="387" spans="2:12" ht="31" x14ac:dyDescent="0.35">
      <c r="B387" s="111">
        <f t="shared" si="26"/>
        <v>377</v>
      </c>
      <c r="C387" s="64" t="s">
        <v>348</v>
      </c>
      <c r="D387" s="81" t="s">
        <v>26</v>
      </c>
      <c r="E387" s="78">
        <f>5.37*0.97</f>
        <v>5.2088999999999999</v>
      </c>
      <c r="F387" s="65"/>
      <c r="G387" s="65">
        <v>300</v>
      </c>
      <c r="H387" s="65">
        <f t="shared" si="30"/>
        <v>300</v>
      </c>
      <c r="I387" s="79">
        <f t="shared" si="27"/>
        <v>0</v>
      </c>
      <c r="J387" s="79">
        <f t="shared" si="28"/>
        <v>1562.67</v>
      </c>
      <c r="K387" s="79">
        <f t="shared" si="29"/>
        <v>1562.67</v>
      </c>
      <c r="L387" s="121"/>
    </row>
    <row r="388" spans="2:12" x14ac:dyDescent="0.35">
      <c r="B388" s="111">
        <f t="shared" si="26"/>
        <v>378</v>
      </c>
      <c r="C388" s="64" t="s">
        <v>19</v>
      </c>
      <c r="D388" s="81" t="s">
        <v>26</v>
      </c>
      <c r="E388" s="78">
        <f>E387/9</f>
        <v>0.57876666666666665</v>
      </c>
      <c r="F388" s="65"/>
      <c r="G388" s="65">
        <v>1500</v>
      </c>
      <c r="H388" s="65">
        <f t="shared" si="30"/>
        <v>1500</v>
      </c>
      <c r="I388" s="79">
        <f t="shared" si="27"/>
        <v>0</v>
      </c>
      <c r="J388" s="79">
        <f t="shared" si="28"/>
        <v>868.15</v>
      </c>
      <c r="K388" s="79">
        <f t="shared" si="29"/>
        <v>868.15</v>
      </c>
      <c r="L388" s="121"/>
    </row>
    <row r="389" spans="2:12" x14ac:dyDescent="0.35">
      <c r="B389" s="111">
        <f t="shared" si="26"/>
        <v>379</v>
      </c>
      <c r="C389" s="64" t="s">
        <v>67</v>
      </c>
      <c r="D389" s="81" t="s">
        <v>25</v>
      </c>
      <c r="E389" s="78">
        <f>(3.14*2.4^2)/4</f>
        <v>4.5216000000000003</v>
      </c>
      <c r="F389" s="65"/>
      <c r="G389" s="65"/>
      <c r="H389" s="65">
        <f t="shared" si="30"/>
        <v>0</v>
      </c>
      <c r="I389" s="79">
        <f t="shared" si="27"/>
        <v>0</v>
      </c>
      <c r="J389" s="79">
        <f t="shared" si="28"/>
        <v>0</v>
      </c>
      <c r="K389" s="79">
        <f t="shared" si="29"/>
        <v>0</v>
      </c>
      <c r="L389" s="121"/>
    </row>
    <row r="390" spans="2:12" x14ac:dyDescent="0.35">
      <c r="B390" s="111">
        <f t="shared" si="26"/>
        <v>380</v>
      </c>
      <c r="C390" s="64" t="s">
        <v>68</v>
      </c>
      <c r="D390" s="81" t="s">
        <v>26</v>
      </c>
      <c r="E390" s="78">
        <f>E389*0.1</f>
        <v>0.45216000000000006</v>
      </c>
      <c r="F390" s="65"/>
      <c r="G390" s="65">
        <v>5860</v>
      </c>
      <c r="H390" s="65">
        <f t="shared" si="30"/>
        <v>5860</v>
      </c>
      <c r="I390" s="79">
        <f t="shared" si="27"/>
        <v>0</v>
      </c>
      <c r="J390" s="79">
        <f t="shared" si="28"/>
        <v>2649.66</v>
      </c>
      <c r="K390" s="79">
        <f t="shared" si="29"/>
        <v>2649.66</v>
      </c>
      <c r="L390" s="121"/>
    </row>
    <row r="391" spans="2:12" x14ac:dyDescent="0.35">
      <c r="B391" s="111">
        <f t="shared" si="26"/>
        <v>381</v>
      </c>
      <c r="C391" s="80" t="s">
        <v>159</v>
      </c>
      <c r="D391" s="81" t="s">
        <v>26</v>
      </c>
      <c r="E391" s="78">
        <f>E390*1.02</f>
        <v>0.46120320000000009</v>
      </c>
      <c r="F391" s="65">
        <v>6700</v>
      </c>
      <c r="G391" s="65"/>
      <c r="H391" s="65">
        <f t="shared" si="30"/>
        <v>6700</v>
      </c>
      <c r="I391" s="79">
        <f t="shared" si="27"/>
        <v>3090.06</v>
      </c>
      <c r="J391" s="79">
        <f t="shared" si="28"/>
        <v>0</v>
      </c>
      <c r="K391" s="79">
        <f t="shared" si="29"/>
        <v>3090.06</v>
      </c>
      <c r="L391" s="121"/>
    </row>
    <row r="392" spans="2:12" x14ac:dyDescent="0.35">
      <c r="B392" s="111">
        <f t="shared" si="26"/>
        <v>382</v>
      </c>
      <c r="C392" s="64" t="s">
        <v>151</v>
      </c>
      <c r="D392" s="81" t="s">
        <v>25</v>
      </c>
      <c r="E392" s="78">
        <f>(3.14*2^2)/4</f>
        <v>3.14</v>
      </c>
      <c r="F392" s="65">
        <v>68.5</v>
      </c>
      <c r="G392" s="65">
        <v>150</v>
      </c>
      <c r="H392" s="65">
        <f t="shared" si="30"/>
        <v>218.5</v>
      </c>
      <c r="I392" s="79">
        <f t="shared" si="27"/>
        <v>215.09</v>
      </c>
      <c r="J392" s="79">
        <f t="shared" si="28"/>
        <v>471</v>
      </c>
      <c r="K392" s="79">
        <f t="shared" si="29"/>
        <v>686.09</v>
      </c>
      <c r="L392" s="121"/>
    </row>
    <row r="393" spans="2:12" ht="31" x14ac:dyDescent="0.35">
      <c r="B393" s="111">
        <f t="shared" si="26"/>
        <v>383</v>
      </c>
      <c r="C393" s="64" t="s">
        <v>152</v>
      </c>
      <c r="D393" s="81" t="s">
        <v>25</v>
      </c>
      <c r="E393" s="78">
        <f>E392</f>
        <v>3.14</v>
      </c>
      <c r="F393" s="65">
        <v>927</v>
      </c>
      <c r="G393" s="65">
        <v>400</v>
      </c>
      <c r="H393" s="65">
        <f t="shared" si="30"/>
        <v>1327</v>
      </c>
      <c r="I393" s="79">
        <f t="shared" si="27"/>
        <v>2910.78</v>
      </c>
      <c r="J393" s="79">
        <f t="shared" si="28"/>
        <v>1256</v>
      </c>
      <c r="K393" s="79">
        <f t="shared" si="29"/>
        <v>4166.7800000000007</v>
      </c>
      <c r="L393" s="121"/>
    </row>
    <row r="394" spans="2:12" ht="31" x14ac:dyDescent="0.35">
      <c r="B394" s="111">
        <f t="shared" si="26"/>
        <v>384</v>
      </c>
      <c r="C394" s="64" t="s">
        <v>107</v>
      </c>
      <c r="D394" s="81" t="s">
        <v>32</v>
      </c>
      <c r="E394" s="78">
        <v>1</v>
      </c>
      <c r="F394" s="65"/>
      <c r="G394" s="65">
        <v>5662</v>
      </c>
      <c r="H394" s="65">
        <f t="shared" si="30"/>
        <v>5662</v>
      </c>
      <c r="I394" s="79">
        <f t="shared" si="27"/>
        <v>0</v>
      </c>
      <c r="J394" s="79">
        <f t="shared" si="28"/>
        <v>5662</v>
      </c>
      <c r="K394" s="79">
        <f t="shared" si="29"/>
        <v>5662</v>
      </c>
      <c r="L394" s="121"/>
    </row>
    <row r="395" spans="2:12" x14ac:dyDescent="0.35">
      <c r="B395" s="111">
        <f t="shared" si="26"/>
        <v>385</v>
      </c>
      <c r="C395" s="82" t="s">
        <v>108</v>
      </c>
      <c r="D395" s="81" t="s">
        <v>32</v>
      </c>
      <c r="E395" s="78">
        <v>1</v>
      </c>
      <c r="F395" s="65">
        <f>6000*1.2</f>
        <v>7200</v>
      </c>
      <c r="G395" s="65"/>
      <c r="H395" s="65">
        <f t="shared" si="30"/>
        <v>7200</v>
      </c>
      <c r="I395" s="79">
        <f t="shared" si="27"/>
        <v>7200</v>
      </c>
      <c r="J395" s="79">
        <f t="shared" si="28"/>
        <v>0</v>
      </c>
      <c r="K395" s="79">
        <f t="shared" si="29"/>
        <v>7200</v>
      </c>
      <c r="L395" s="121"/>
    </row>
    <row r="396" spans="2:12" x14ac:dyDescent="0.35">
      <c r="B396" s="111">
        <f t="shared" si="26"/>
        <v>386</v>
      </c>
      <c r="C396" s="82" t="s">
        <v>101</v>
      </c>
      <c r="D396" s="81" t="s">
        <v>26</v>
      </c>
      <c r="E396" s="78">
        <v>0.06</v>
      </c>
      <c r="F396" s="65">
        <v>7300</v>
      </c>
      <c r="G396" s="65"/>
      <c r="H396" s="65">
        <f t="shared" si="30"/>
        <v>7300</v>
      </c>
      <c r="I396" s="79">
        <f t="shared" si="27"/>
        <v>438</v>
      </c>
      <c r="J396" s="79">
        <f t="shared" si="28"/>
        <v>0</v>
      </c>
      <c r="K396" s="79">
        <f t="shared" si="29"/>
        <v>438</v>
      </c>
      <c r="L396" s="121"/>
    </row>
    <row r="397" spans="2:12" ht="31" x14ac:dyDescent="0.35">
      <c r="B397" s="111">
        <f t="shared" ref="B397:B460" si="31">B396+1</f>
        <v>387</v>
      </c>
      <c r="C397" s="64" t="s">
        <v>179</v>
      </c>
      <c r="D397" s="81" t="s">
        <v>26</v>
      </c>
      <c r="E397" s="78">
        <v>1.2</v>
      </c>
      <c r="F397" s="65"/>
      <c r="G397" s="65">
        <v>5860</v>
      </c>
      <c r="H397" s="65">
        <f t="shared" si="30"/>
        <v>5860</v>
      </c>
      <c r="I397" s="79">
        <f t="shared" ref="I397:I460" si="32">ROUND(F397*E397,2)</f>
        <v>0</v>
      </c>
      <c r="J397" s="79">
        <f t="shared" ref="J397:J460" si="33">ROUND(G397*E397,2)</f>
        <v>7032</v>
      </c>
      <c r="K397" s="79">
        <f t="shared" ref="K397:K460" si="34">I397+J397</f>
        <v>7032</v>
      </c>
      <c r="L397" s="121"/>
    </row>
    <row r="398" spans="2:12" x14ac:dyDescent="0.35">
      <c r="B398" s="111">
        <f t="shared" si="31"/>
        <v>388</v>
      </c>
      <c r="C398" s="82" t="s">
        <v>75</v>
      </c>
      <c r="D398" s="81" t="s">
        <v>26</v>
      </c>
      <c r="E398" s="78">
        <v>1.22</v>
      </c>
      <c r="F398" s="65">
        <v>7100</v>
      </c>
      <c r="G398" s="65"/>
      <c r="H398" s="65">
        <f t="shared" si="30"/>
        <v>7100</v>
      </c>
      <c r="I398" s="79">
        <f t="shared" si="32"/>
        <v>8662</v>
      </c>
      <c r="J398" s="79">
        <f t="shared" si="33"/>
        <v>0</v>
      </c>
      <c r="K398" s="79">
        <f t="shared" si="34"/>
        <v>8662</v>
      </c>
      <c r="L398" s="121"/>
    </row>
    <row r="399" spans="2:12" ht="31" x14ac:dyDescent="0.35">
      <c r="B399" s="111">
        <f t="shared" si="31"/>
        <v>389</v>
      </c>
      <c r="C399" s="64" t="s">
        <v>78</v>
      </c>
      <c r="D399" s="81" t="s">
        <v>32</v>
      </c>
      <c r="E399" s="78">
        <v>2</v>
      </c>
      <c r="F399" s="65"/>
      <c r="G399" s="65">
        <v>5662</v>
      </c>
      <c r="H399" s="65">
        <f t="shared" ref="H399:H462" si="35">F399+G399</f>
        <v>5662</v>
      </c>
      <c r="I399" s="79">
        <f t="shared" si="32"/>
        <v>0</v>
      </c>
      <c r="J399" s="79">
        <f t="shared" si="33"/>
        <v>11324</v>
      </c>
      <c r="K399" s="79">
        <f t="shared" si="34"/>
        <v>11324</v>
      </c>
      <c r="L399" s="121"/>
    </row>
    <row r="400" spans="2:12" x14ac:dyDescent="0.35">
      <c r="B400" s="111">
        <f t="shared" si="31"/>
        <v>390</v>
      </c>
      <c r="C400" s="82" t="s">
        <v>109</v>
      </c>
      <c r="D400" s="81" t="s">
        <v>32</v>
      </c>
      <c r="E400" s="78">
        <v>2</v>
      </c>
      <c r="F400" s="65">
        <f>6000*1.2</f>
        <v>7200</v>
      </c>
      <c r="G400" s="65"/>
      <c r="H400" s="65">
        <f t="shared" si="35"/>
        <v>7200</v>
      </c>
      <c r="I400" s="79">
        <f t="shared" si="32"/>
        <v>14400</v>
      </c>
      <c r="J400" s="79">
        <f t="shared" si="33"/>
        <v>0</v>
      </c>
      <c r="K400" s="79">
        <f t="shared" si="34"/>
        <v>14400</v>
      </c>
      <c r="L400" s="121"/>
    </row>
    <row r="401" spans="2:12" ht="31" x14ac:dyDescent="0.35">
      <c r="B401" s="111">
        <f t="shared" si="31"/>
        <v>391</v>
      </c>
      <c r="C401" s="64" t="s">
        <v>85</v>
      </c>
      <c r="D401" s="81" t="s">
        <v>32</v>
      </c>
      <c r="E401" s="78">
        <v>1</v>
      </c>
      <c r="F401" s="65"/>
      <c r="G401" s="65">
        <v>2500</v>
      </c>
      <c r="H401" s="65">
        <f t="shared" si="35"/>
        <v>2500</v>
      </c>
      <c r="I401" s="79">
        <f t="shared" si="32"/>
        <v>0</v>
      </c>
      <c r="J401" s="79">
        <f t="shared" si="33"/>
        <v>2500</v>
      </c>
      <c r="K401" s="79">
        <f t="shared" si="34"/>
        <v>2500</v>
      </c>
      <c r="L401" s="121"/>
    </row>
    <row r="402" spans="2:12" x14ac:dyDescent="0.35">
      <c r="B402" s="111">
        <f t="shared" si="31"/>
        <v>392</v>
      </c>
      <c r="C402" s="82" t="s">
        <v>154</v>
      </c>
      <c r="D402" s="81" t="s">
        <v>32</v>
      </c>
      <c r="E402" s="78">
        <v>1</v>
      </c>
      <c r="F402" s="65">
        <f>5500*1.2</f>
        <v>6600</v>
      </c>
      <c r="G402" s="65"/>
      <c r="H402" s="65">
        <f t="shared" si="35"/>
        <v>6600</v>
      </c>
      <c r="I402" s="79">
        <f t="shared" si="32"/>
        <v>6600</v>
      </c>
      <c r="J402" s="79">
        <f t="shared" si="33"/>
        <v>0</v>
      </c>
      <c r="K402" s="79">
        <f t="shared" si="34"/>
        <v>6600</v>
      </c>
      <c r="L402" s="121"/>
    </row>
    <row r="403" spans="2:12" x14ac:dyDescent="0.35">
      <c r="B403" s="111">
        <f t="shared" si="31"/>
        <v>393</v>
      </c>
      <c r="C403" s="80" t="s">
        <v>301</v>
      </c>
      <c r="D403" s="81" t="s">
        <v>32</v>
      </c>
      <c r="E403" s="78">
        <v>1</v>
      </c>
      <c r="F403" s="65">
        <v>6000</v>
      </c>
      <c r="G403" s="65">
        <v>1464.09</v>
      </c>
      <c r="H403" s="65">
        <f t="shared" si="35"/>
        <v>7464.09</v>
      </c>
      <c r="I403" s="79">
        <f t="shared" si="32"/>
        <v>6000</v>
      </c>
      <c r="J403" s="79">
        <f t="shared" si="33"/>
        <v>1464.09</v>
      </c>
      <c r="K403" s="79">
        <f t="shared" si="34"/>
        <v>7464.09</v>
      </c>
      <c r="L403" s="121"/>
    </row>
    <row r="404" spans="2:12" ht="31" x14ac:dyDescent="0.35">
      <c r="B404" s="111">
        <f t="shared" si="31"/>
        <v>394</v>
      </c>
      <c r="C404" s="64" t="s">
        <v>156</v>
      </c>
      <c r="D404" s="81" t="s">
        <v>25</v>
      </c>
      <c r="E404" s="78">
        <f>(3.14*1.68*2.35)+(0.84*0.84*3.14)</f>
        <v>14.612304</v>
      </c>
      <c r="F404" s="65">
        <v>68.5</v>
      </c>
      <c r="G404" s="65">
        <v>150</v>
      </c>
      <c r="H404" s="65">
        <f t="shared" si="35"/>
        <v>218.5</v>
      </c>
      <c r="I404" s="79">
        <f t="shared" si="32"/>
        <v>1000.94</v>
      </c>
      <c r="J404" s="79">
        <f t="shared" si="33"/>
        <v>2191.85</v>
      </c>
      <c r="K404" s="79">
        <f t="shared" si="34"/>
        <v>3192.79</v>
      </c>
      <c r="L404" s="121"/>
    </row>
    <row r="405" spans="2:12" ht="46.5" x14ac:dyDescent="0.35">
      <c r="B405" s="111">
        <f t="shared" si="31"/>
        <v>395</v>
      </c>
      <c r="C405" s="64" t="s">
        <v>157</v>
      </c>
      <c r="D405" s="81" t="s">
        <v>25</v>
      </c>
      <c r="E405" s="78">
        <f>(3.14*1.68*2.35)+(0.84*0.84*3.14)</f>
        <v>14.612304</v>
      </c>
      <c r="F405" s="65">
        <v>927</v>
      </c>
      <c r="G405" s="65">
        <v>400</v>
      </c>
      <c r="H405" s="65">
        <f t="shared" si="35"/>
        <v>1327</v>
      </c>
      <c r="I405" s="79">
        <f t="shared" si="32"/>
        <v>13545.61</v>
      </c>
      <c r="J405" s="79">
        <f t="shared" si="33"/>
        <v>5844.92</v>
      </c>
      <c r="K405" s="79">
        <f t="shared" si="34"/>
        <v>19390.53</v>
      </c>
      <c r="L405" s="121"/>
    </row>
    <row r="406" spans="2:12" x14ac:dyDescent="0.35">
      <c r="B406" s="111">
        <f t="shared" si="31"/>
        <v>396</v>
      </c>
      <c r="C406" s="64" t="s">
        <v>312</v>
      </c>
      <c r="D406" s="81" t="s">
        <v>32</v>
      </c>
      <c r="E406" s="78">
        <v>1</v>
      </c>
      <c r="F406" s="65"/>
      <c r="G406" s="65"/>
      <c r="H406" s="65">
        <f t="shared" si="35"/>
        <v>0</v>
      </c>
      <c r="I406" s="79">
        <f t="shared" si="32"/>
        <v>0</v>
      </c>
      <c r="J406" s="79">
        <f t="shared" si="33"/>
        <v>0</v>
      </c>
      <c r="K406" s="79">
        <f t="shared" si="34"/>
        <v>0</v>
      </c>
      <c r="L406" s="121"/>
    </row>
    <row r="407" spans="2:12" x14ac:dyDescent="0.35">
      <c r="B407" s="111">
        <f t="shared" si="31"/>
        <v>397</v>
      </c>
      <c r="C407" s="82" t="s">
        <v>313</v>
      </c>
      <c r="D407" s="81" t="s">
        <v>31</v>
      </c>
      <c r="E407" s="78">
        <v>20.3</v>
      </c>
      <c r="F407" s="68">
        <v>71</v>
      </c>
      <c r="G407" s="65">
        <v>97.61</v>
      </c>
      <c r="H407" s="65">
        <f t="shared" si="35"/>
        <v>168.61</v>
      </c>
      <c r="I407" s="79">
        <f t="shared" si="32"/>
        <v>1441.3</v>
      </c>
      <c r="J407" s="79">
        <f t="shared" si="33"/>
        <v>1981.48</v>
      </c>
      <c r="K407" s="79">
        <f t="shared" si="34"/>
        <v>3422.7799999999997</v>
      </c>
      <c r="L407" s="121"/>
    </row>
    <row r="408" spans="2:12" x14ac:dyDescent="0.35">
      <c r="B408" s="111">
        <f t="shared" si="31"/>
        <v>398</v>
      </c>
      <c r="C408" s="64" t="s">
        <v>93</v>
      </c>
      <c r="D408" s="81" t="s">
        <v>32</v>
      </c>
      <c r="E408" s="78">
        <v>1</v>
      </c>
      <c r="F408" s="65"/>
      <c r="G408" s="65"/>
      <c r="H408" s="65">
        <f t="shared" si="35"/>
        <v>0</v>
      </c>
      <c r="I408" s="79">
        <f t="shared" si="32"/>
        <v>0</v>
      </c>
      <c r="J408" s="79">
        <f t="shared" si="33"/>
        <v>0</v>
      </c>
      <c r="K408" s="79">
        <f t="shared" si="34"/>
        <v>0</v>
      </c>
      <c r="L408" s="121"/>
    </row>
    <row r="409" spans="2:12" x14ac:dyDescent="0.35">
      <c r="B409" s="111">
        <f t="shared" si="31"/>
        <v>399</v>
      </c>
      <c r="C409" s="82" t="s">
        <v>94</v>
      </c>
      <c r="D409" s="81" t="s">
        <v>31</v>
      </c>
      <c r="E409" s="78">
        <v>0.82</v>
      </c>
      <c r="F409" s="68">
        <v>71</v>
      </c>
      <c r="G409" s="65">
        <v>97.61</v>
      </c>
      <c r="H409" s="65">
        <f t="shared" si="35"/>
        <v>168.61</v>
      </c>
      <c r="I409" s="79">
        <f t="shared" si="32"/>
        <v>58.22</v>
      </c>
      <c r="J409" s="79">
        <f t="shared" si="33"/>
        <v>80.040000000000006</v>
      </c>
      <c r="K409" s="79">
        <f t="shared" si="34"/>
        <v>138.26</v>
      </c>
      <c r="L409" s="121"/>
    </row>
    <row r="410" spans="2:12" ht="31" x14ac:dyDescent="0.35">
      <c r="B410" s="111">
        <f t="shared" si="31"/>
        <v>400</v>
      </c>
      <c r="C410" s="64" t="s">
        <v>153</v>
      </c>
      <c r="D410" s="81" t="s">
        <v>32</v>
      </c>
      <c r="E410" s="78">
        <v>3</v>
      </c>
      <c r="F410" s="65"/>
      <c r="G410" s="65">
        <v>1464</v>
      </c>
      <c r="H410" s="65">
        <f t="shared" si="35"/>
        <v>1464</v>
      </c>
      <c r="I410" s="79">
        <f t="shared" si="32"/>
        <v>0</v>
      </c>
      <c r="J410" s="79">
        <f t="shared" si="33"/>
        <v>4392</v>
      </c>
      <c r="K410" s="79">
        <f t="shared" si="34"/>
        <v>4392</v>
      </c>
      <c r="L410" s="121"/>
    </row>
    <row r="411" spans="2:12" ht="33" x14ac:dyDescent="0.35">
      <c r="B411" s="111">
        <f t="shared" si="31"/>
        <v>401</v>
      </c>
      <c r="C411" s="64" t="s">
        <v>362</v>
      </c>
      <c r="D411" s="81" t="s">
        <v>26</v>
      </c>
      <c r="E411" s="78">
        <v>7.31</v>
      </c>
      <c r="F411" s="65"/>
      <c r="G411" s="65">
        <v>439</v>
      </c>
      <c r="H411" s="65">
        <f t="shared" si="35"/>
        <v>439</v>
      </c>
      <c r="I411" s="79">
        <f t="shared" si="32"/>
        <v>0</v>
      </c>
      <c r="J411" s="79">
        <f t="shared" si="33"/>
        <v>3209.09</v>
      </c>
      <c r="K411" s="79">
        <f t="shared" si="34"/>
        <v>3209.09</v>
      </c>
      <c r="L411" s="121"/>
    </row>
    <row r="412" spans="2:12" ht="30" x14ac:dyDescent="0.35">
      <c r="B412" s="111">
        <f t="shared" si="31"/>
        <v>402</v>
      </c>
      <c r="C412" s="98" t="s">
        <v>208</v>
      </c>
      <c r="D412" s="99" t="s">
        <v>27</v>
      </c>
      <c r="E412" s="105">
        <v>15.3</v>
      </c>
      <c r="F412" s="101"/>
      <c r="G412" s="101"/>
      <c r="H412" s="101">
        <f t="shared" si="35"/>
        <v>0</v>
      </c>
      <c r="I412" s="101">
        <f t="shared" si="32"/>
        <v>0</v>
      </c>
      <c r="J412" s="101">
        <f t="shared" si="33"/>
        <v>0</v>
      </c>
      <c r="K412" s="101">
        <f t="shared" si="34"/>
        <v>0</v>
      </c>
      <c r="L412" s="102"/>
    </row>
    <row r="413" spans="2:12" ht="31" x14ac:dyDescent="0.35">
      <c r="B413" s="111">
        <f t="shared" si="31"/>
        <v>403</v>
      </c>
      <c r="C413" s="64" t="s">
        <v>348</v>
      </c>
      <c r="D413" s="77" t="s">
        <v>26</v>
      </c>
      <c r="E413" s="84">
        <f>0.97*67.34</f>
        <v>65.319800000000001</v>
      </c>
      <c r="F413" s="65"/>
      <c r="G413" s="65">
        <v>300</v>
      </c>
      <c r="H413" s="65">
        <f t="shared" si="35"/>
        <v>300</v>
      </c>
      <c r="I413" s="79">
        <f t="shared" si="32"/>
        <v>0</v>
      </c>
      <c r="J413" s="79">
        <f t="shared" si="33"/>
        <v>19595.939999999999</v>
      </c>
      <c r="K413" s="79">
        <f t="shared" si="34"/>
        <v>19595.939999999999</v>
      </c>
      <c r="L413" s="121"/>
    </row>
    <row r="414" spans="2:12" x14ac:dyDescent="0.35">
      <c r="B414" s="111">
        <f t="shared" si="31"/>
        <v>404</v>
      </c>
      <c r="C414" s="64" t="s">
        <v>19</v>
      </c>
      <c r="D414" s="77" t="s">
        <v>26</v>
      </c>
      <c r="E414" s="78">
        <f>E413/97*3</f>
        <v>2.0202</v>
      </c>
      <c r="F414" s="65"/>
      <c r="G414" s="65">
        <v>1500</v>
      </c>
      <c r="H414" s="65">
        <f t="shared" si="35"/>
        <v>1500</v>
      </c>
      <c r="I414" s="79">
        <f t="shared" si="32"/>
        <v>0</v>
      </c>
      <c r="J414" s="79">
        <f t="shared" si="33"/>
        <v>3030.3</v>
      </c>
      <c r="K414" s="79">
        <f t="shared" si="34"/>
        <v>3030.3</v>
      </c>
      <c r="L414" s="121"/>
    </row>
    <row r="415" spans="2:12" x14ac:dyDescent="0.35">
      <c r="B415" s="111">
        <f t="shared" si="31"/>
        <v>405</v>
      </c>
      <c r="C415" s="64" t="s">
        <v>184</v>
      </c>
      <c r="D415" s="77" t="s">
        <v>25</v>
      </c>
      <c r="E415" s="78">
        <f>E412*0.75</f>
        <v>11.475000000000001</v>
      </c>
      <c r="F415" s="65"/>
      <c r="G415" s="65"/>
      <c r="H415" s="65">
        <f t="shared" si="35"/>
        <v>0</v>
      </c>
      <c r="I415" s="79">
        <f t="shared" si="32"/>
        <v>0</v>
      </c>
      <c r="J415" s="79">
        <f t="shared" si="33"/>
        <v>0</v>
      </c>
      <c r="K415" s="79">
        <f t="shared" si="34"/>
        <v>0</v>
      </c>
      <c r="L415" s="121"/>
    </row>
    <row r="416" spans="2:12" ht="31" x14ac:dyDescent="0.35">
      <c r="B416" s="111">
        <f t="shared" si="31"/>
        <v>406</v>
      </c>
      <c r="C416" s="64" t="s">
        <v>194</v>
      </c>
      <c r="D416" s="77" t="s">
        <v>25</v>
      </c>
      <c r="E416" s="78">
        <f>E412*0.48</f>
        <v>7.3440000000000003</v>
      </c>
      <c r="F416" s="65">
        <f>1973*0.15</f>
        <v>295.95</v>
      </c>
      <c r="G416" s="65">
        <f>1500*0.15</f>
        <v>225</v>
      </c>
      <c r="H416" s="65">
        <f t="shared" si="35"/>
        <v>520.95000000000005</v>
      </c>
      <c r="I416" s="79">
        <f t="shared" si="32"/>
        <v>2173.46</v>
      </c>
      <c r="J416" s="79">
        <f t="shared" si="33"/>
        <v>1652.4</v>
      </c>
      <c r="K416" s="79">
        <f t="shared" si="34"/>
        <v>3825.86</v>
      </c>
      <c r="L416" s="121"/>
    </row>
    <row r="417" spans="2:12" x14ac:dyDescent="0.35">
      <c r="B417" s="111">
        <f t="shared" si="31"/>
        <v>407</v>
      </c>
      <c r="C417" s="64" t="s">
        <v>20</v>
      </c>
      <c r="D417" s="77" t="s">
        <v>26</v>
      </c>
      <c r="E417" s="78">
        <f>0.34*E412*0.1</f>
        <v>0.52020000000000011</v>
      </c>
      <c r="F417" s="65"/>
      <c r="G417" s="65">
        <v>5860</v>
      </c>
      <c r="H417" s="65">
        <f t="shared" si="35"/>
        <v>5860</v>
      </c>
      <c r="I417" s="79">
        <f t="shared" si="32"/>
        <v>0</v>
      </c>
      <c r="J417" s="79">
        <f t="shared" si="33"/>
        <v>3048.37</v>
      </c>
      <c r="K417" s="79">
        <f t="shared" si="34"/>
        <v>3048.37</v>
      </c>
      <c r="L417" s="121"/>
    </row>
    <row r="418" spans="2:12" x14ac:dyDescent="0.35">
      <c r="B418" s="111">
        <f t="shared" si="31"/>
        <v>408</v>
      </c>
      <c r="C418" s="80" t="s">
        <v>159</v>
      </c>
      <c r="D418" s="77" t="s">
        <v>26</v>
      </c>
      <c r="E418" s="78">
        <f>E417*1.02</f>
        <v>0.53060400000000008</v>
      </c>
      <c r="F418" s="65">
        <v>6700</v>
      </c>
      <c r="G418" s="65"/>
      <c r="H418" s="65">
        <f t="shared" si="35"/>
        <v>6700</v>
      </c>
      <c r="I418" s="79">
        <f t="shared" si="32"/>
        <v>3555.05</v>
      </c>
      <c r="J418" s="79">
        <f t="shared" si="33"/>
        <v>0</v>
      </c>
      <c r="K418" s="79">
        <f t="shared" si="34"/>
        <v>3555.05</v>
      </c>
      <c r="L418" s="121"/>
    </row>
    <row r="419" spans="2:12" x14ac:dyDescent="0.35">
      <c r="B419" s="111">
        <f t="shared" si="31"/>
        <v>409</v>
      </c>
      <c r="C419" s="64" t="s">
        <v>28</v>
      </c>
      <c r="D419" s="77" t="s">
        <v>26</v>
      </c>
      <c r="E419" s="78">
        <f>0.8*E412*0.1</f>
        <v>1.2240000000000002</v>
      </c>
      <c r="F419" s="65"/>
      <c r="G419" s="65">
        <v>5860</v>
      </c>
      <c r="H419" s="65">
        <f t="shared" si="35"/>
        <v>5860</v>
      </c>
      <c r="I419" s="79">
        <f t="shared" si="32"/>
        <v>0</v>
      </c>
      <c r="J419" s="79">
        <f t="shared" si="33"/>
        <v>7172.64</v>
      </c>
      <c r="K419" s="79">
        <f t="shared" si="34"/>
        <v>7172.64</v>
      </c>
      <c r="L419" s="121"/>
    </row>
    <row r="420" spans="2:12" x14ac:dyDescent="0.35">
      <c r="B420" s="111">
        <f t="shared" si="31"/>
        <v>410</v>
      </c>
      <c r="C420" s="80" t="s">
        <v>29</v>
      </c>
      <c r="D420" s="77" t="s">
        <v>26</v>
      </c>
      <c r="E420" s="78">
        <f>E419*1.02</f>
        <v>1.2484800000000003</v>
      </c>
      <c r="F420" s="65">
        <v>7100</v>
      </c>
      <c r="G420" s="65"/>
      <c r="H420" s="65">
        <f t="shared" si="35"/>
        <v>7100</v>
      </c>
      <c r="I420" s="79">
        <f t="shared" si="32"/>
        <v>8864.2099999999991</v>
      </c>
      <c r="J420" s="79">
        <f t="shared" si="33"/>
        <v>0</v>
      </c>
      <c r="K420" s="79">
        <f t="shared" si="34"/>
        <v>8864.2099999999991</v>
      </c>
      <c r="L420" s="121"/>
    </row>
    <row r="421" spans="2:12" x14ac:dyDescent="0.35">
      <c r="B421" s="111">
        <f t="shared" si="31"/>
        <v>411</v>
      </c>
      <c r="C421" s="80" t="s">
        <v>30</v>
      </c>
      <c r="D421" s="77" t="s">
        <v>31</v>
      </c>
      <c r="E421" s="78">
        <f>31.39*E412*0.1</f>
        <v>48.026700000000005</v>
      </c>
      <c r="F421" s="65">
        <v>118.9</v>
      </c>
      <c r="G421" s="65"/>
      <c r="H421" s="65">
        <f t="shared" si="35"/>
        <v>118.9</v>
      </c>
      <c r="I421" s="79">
        <f t="shared" si="32"/>
        <v>5710.37</v>
      </c>
      <c r="J421" s="79">
        <f t="shared" si="33"/>
        <v>0</v>
      </c>
      <c r="K421" s="79">
        <f t="shared" si="34"/>
        <v>5710.37</v>
      </c>
      <c r="L421" s="121"/>
    </row>
    <row r="422" spans="2:12" x14ac:dyDescent="0.35">
      <c r="B422" s="111">
        <f t="shared" si="31"/>
        <v>412</v>
      </c>
      <c r="C422" s="64" t="s">
        <v>189</v>
      </c>
      <c r="D422" s="77" t="s">
        <v>27</v>
      </c>
      <c r="E422" s="78">
        <f>E412</f>
        <v>15.3</v>
      </c>
      <c r="F422" s="65"/>
      <c r="G422" s="65">
        <v>2928</v>
      </c>
      <c r="H422" s="65">
        <f t="shared" si="35"/>
        <v>2928</v>
      </c>
      <c r="I422" s="79">
        <f t="shared" si="32"/>
        <v>0</v>
      </c>
      <c r="J422" s="79">
        <f t="shared" si="33"/>
        <v>44798.400000000001</v>
      </c>
      <c r="K422" s="79">
        <f t="shared" si="34"/>
        <v>44798.400000000001</v>
      </c>
      <c r="L422" s="121"/>
    </row>
    <row r="423" spans="2:12" ht="31" x14ac:dyDescent="0.35">
      <c r="B423" s="111">
        <f t="shared" si="31"/>
        <v>413</v>
      </c>
      <c r="C423" s="80" t="s">
        <v>195</v>
      </c>
      <c r="D423" s="77" t="s">
        <v>27</v>
      </c>
      <c r="E423" s="78">
        <f>E422*1.1</f>
        <v>16.830000000000002</v>
      </c>
      <c r="F423" s="65">
        <v>855</v>
      </c>
      <c r="G423" s="65"/>
      <c r="H423" s="65">
        <f t="shared" si="35"/>
        <v>855</v>
      </c>
      <c r="I423" s="79">
        <f t="shared" si="32"/>
        <v>14389.65</v>
      </c>
      <c r="J423" s="79">
        <f t="shared" si="33"/>
        <v>0</v>
      </c>
      <c r="K423" s="79">
        <f t="shared" si="34"/>
        <v>14389.65</v>
      </c>
      <c r="L423" s="121"/>
    </row>
    <row r="424" spans="2:12" ht="33" x14ac:dyDescent="0.35">
      <c r="B424" s="111">
        <f t="shared" si="31"/>
        <v>414</v>
      </c>
      <c r="C424" s="64" t="s">
        <v>355</v>
      </c>
      <c r="D424" s="81" t="s">
        <v>26</v>
      </c>
      <c r="E424" s="78">
        <v>82.07</v>
      </c>
      <c r="F424" s="65"/>
      <c r="G424" s="65">
        <v>439</v>
      </c>
      <c r="H424" s="65">
        <f t="shared" si="35"/>
        <v>439</v>
      </c>
      <c r="I424" s="79">
        <f t="shared" si="32"/>
        <v>0</v>
      </c>
      <c r="J424" s="79">
        <f t="shared" si="33"/>
        <v>36028.730000000003</v>
      </c>
      <c r="K424" s="79">
        <f t="shared" si="34"/>
        <v>36028.730000000003</v>
      </c>
      <c r="L424" s="121"/>
    </row>
    <row r="425" spans="2:12" ht="27" customHeight="1" x14ac:dyDescent="0.35">
      <c r="B425" s="111">
        <f t="shared" si="31"/>
        <v>415</v>
      </c>
      <c r="C425" s="98" t="s">
        <v>209</v>
      </c>
      <c r="D425" s="103" t="s">
        <v>32</v>
      </c>
      <c r="E425" s="100">
        <v>1</v>
      </c>
      <c r="F425" s="101"/>
      <c r="G425" s="101"/>
      <c r="H425" s="101">
        <f t="shared" si="35"/>
        <v>0</v>
      </c>
      <c r="I425" s="101">
        <f t="shared" si="32"/>
        <v>0</v>
      </c>
      <c r="J425" s="101">
        <f t="shared" si="33"/>
        <v>0</v>
      </c>
      <c r="K425" s="101">
        <f t="shared" si="34"/>
        <v>0</v>
      </c>
      <c r="L425" s="102"/>
    </row>
    <row r="426" spans="2:12" ht="31" x14ac:dyDescent="0.35">
      <c r="B426" s="111">
        <f t="shared" si="31"/>
        <v>416</v>
      </c>
      <c r="C426" s="64" t="s">
        <v>348</v>
      </c>
      <c r="D426" s="81" t="s">
        <v>26</v>
      </c>
      <c r="E426" s="78">
        <f>63.27*0.97</f>
        <v>61.371900000000004</v>
      </c>
      <c r="F426" s="65"/>
      <c r="G426" s="65">
        <v>300</v>
      </c>
      <c r="H426" s="65">
        <f t="shared" si="35"/>
        <v>300</v>
      </c>
      <c r="I426" s="79">
        <f t="shared" si="32"/>
        <v>0</v>
      </c>
      <c r="J426" s="79">
        <f t="shared" si="33"/>
        <v>18411.57</v>
      </c>
      <c r="K426" s="79">
        <f t="shared" si="34"/>
        <v>18411.57</v>
      </c>
      <c r="L426" s="121"/>
    </row>
    <row r="427" spans="2:12" x14ac:dyDescent="0.35">
      <c r="B427" s="111">
        <f t="shared" si="31"/>
        <v>417</v>
      </c>
      <c r="C427" s="64" t="s">
        <v>19</v>
      </c>
      <c r="D427" s="81" t="s">
        <v>26</v>
      </c>
      <c r="E427" s="78">
        <f>E426/9</f>
        <v>6.8191000000000006</v>
      </c>
      <c r="F427" s="65"/>
      <c r="G427" s="65">
        <v>1500</v>
      </c>
      <c r="H427" s="65">
        <f t="shared" si="35"/>
        <v>1500</v>
      </c>
      <c r="I427" s="79">
        <f t="shared" si="32"/>
        <v>0</v>
      </c>
      <c r="J427" s="79">
        <f t="shared" si="33"/>
        <v>10228.65</v>
      </c>
      <c r="K427" s="79">
        <f t="shared" si="34"/>
        <v>10228.65</v>
      </c>
      <c r="L427" s="121"/>
    </row>
    <row r="428" spans="2:12" x14ac:dyDescent="0.35">
      <c r="B428" s="111">
        <f t="shared" si="31"/>
        <v>418</v>
      </c>
      <c r="C428" s="64" t="s">
        <v>67</v>
      </c>
      <c r="D428" s="81" t="s">
        <v>25</v>
      </c>
      <c r="E428" s="78">
        <f>(3.14*2.9^2)/4</f>
        <v>6.6018500000000007</v>
      </c>
      <c r="F428" s="65"/>
      <c r="G428" s="65"/>
      <c r="H428" s="65">
        <f t="shared" si="35"/>
        <v>0</v>
      </c>
      <c r="I428" s="79">
        <f t="shared" si="32"/>
        <v>0</v>
      </c>
      <c r="J428" s="79">
        <f t="shared" si="33"/>
        <v>0</v>
      </c>
      <c r="K428" s="79">
        <f t="shared" si="34"/>
        <v>0</v>
      </c>
      <c r="L428" s="121"/>
    </row>
    <row r="429" spans="2:12" x14ac:dyDescent="0.35">
      <c r="B429" s="111">
        <f t="shared" si="31"/>
        <v>419</v>
      </c>
      <c r="C429" s="64" t="s">
        <v>68</v>
      </c>
      <c r="D429" s="81" t="s">
        <v>26</v>
      </c>
      <c r="E429" s="78">
        <f>E428*0.1</f>
        <v>0.66018500000000013</v>
      </c>
      <c r="F429" s="65"/>
      <c r="G429" s="65">
        <v>5860</v>
      </c>
      <c r="H429" s="65">
        <f t="shared" si="35"/>
        <v>5860</v>
      </c>
      <c r="I429" s="79">
        <f t="shared" si="32"/>
        <v>0</v>
      </c>
      <c r="J429" s="79">
        <f t="shared" si="33"/>
        <v>3868.68</v>
      </c>
      <c r="K429" s="79">
        <f t="shared" si="34"/>
        <v>3868.68</v>
      </c>
      <c r="L429" s="121"/>
    </row>
    <row r="430" spans="2:12" x14ac:dyDescent="0.35">
      <c r="B430" s="111">
        <f t="shared" si="31"/>
        <v>420</v>
      </c>
      <c r="C430" s="80" t="s">
        <v>159</v>
      </c>
      <c r="D430" s="81" t="s">
        <v>26</v>
      </c>
      <c r="E430" s="78">
        <f>E429*1.02</f>
        <v>0.67338870000000017</v>
      </c>
      <c r="F430" s="65">
        <v>6700</v>
      </c>
      <c r="G430" s="65"/>
      <c r="H430" s="65">
        <f t="shared" si="35"/>
        <v>6700</v>
      </c>
      <c r="I430" s="79">
        <f t="shared" si="32"/>
        <v>4511.7</v>
      </c>
      <c r="J430" s="79">
        <f t="shared" si="33"/>
        <v>0</v>
      </c>
      <c r="K430" s="79">
        <f t="shared" si="34"/>
        <v>4511.7</v>
      </c>
      <c r="L430" s="121"/>
    </row>
    <row r="431" spans="2:12" x14ac:dyDescent="0.35">
      <c r="B431" s="111">
        <f t="shared" si="31"/>
        <v>421</v>
      </c>
      <c r="C431" s="64" t="s">
        <v>151</v>
      </c>
      <c r="D431" s="81" t="s">
        <v>25</v>
      </c>
      <c r="E431" s="78">
        <f>(3.14*2.5^2)/4</f>
        <v>4.90625</v>
      </c>
      <c r="F431" s="65">
        <v>68.5</v>
      </c>
      <c r="G431" s="65">
        <v>150</v>
      </c>
      <c r="H431" s="65">
        <f t="shared" si="35"/>
        <v>218.5</v>
      </c>
      <c r="I431" s="79">
        <f t="shared" si="32"/>
        <v>336.08</v>
      </c>
      <c r="J431" s="79">
        <f t="shared" si="33"/>
        <v>735.94</v>
      </c>
      <c r="K431" s="79">
        <f t="shared" si="34"/>
        <v>1072.02</v>
      </c>
      <c r="L431" s="121"/>
    </row>
    <row r="432" spans="2:12" ht="31" x14ac:dyDescent="0.35">
      <c r="B432" s="111">
        <f t="shared" si="31"/>
        <v>422</v>
      </c>
      <c r="C432" s="64" t="s">
        <v>152</v>
      </c>
      <c r="D432" s="81" t="s">
        <v>25</v>
      </c>
      <c r="E432" s="78">
        <f>(3.14*2.5^2)/4</f>
        <v>4.90625</v>
      </c>
      <c r="F432" s="65">
        <v>927</v>
      </c>
      <c r="G432" s="65">
        <v>400</v>
      </c>
      <c r="H432" s="65">
        <f t="shared" si="35"/>
        <v>1327</v>
      </c>
      <c r="I432" s="79">
        <f t="shared" si="32"/>
        <v>4548.09</v>
      </c>
      <c r="J432" s="79">
        <f t="shared" si="33"/>
        <v>1962.5</v>
      </c>
      <c r="K432" s="79">
        <f t="shared" si="34"/>
        <v>6510.59</v>
      </c>
      <c r="L432" s="121"/>
    </row>
    <row r="433" spans="2:12" ht="31" x14ac:dyDescent="0.35">
      <c r="B433" s="111">
        <f t="shared" si="31"/>
        <v>423</v>
      </c>
      <c r="C433" s="64" t="s">
        <v>69</v>
      </c>
      <c r="D433" s="81" t="s">
        <v>32</v>
      </c>
      <c r="E433" s="78">
        <v>1</v>
      </c>
      <c r="F433" s="65"/>
      <c r="G433" s="65">
        <v>5662</v>
      </c>
      <c r="H433" s="65">
        <f t="shared" si="35"/>
        <v>5662</v>
      </c>
      <c r="I433" s="79">
        <f t="shared" si="32"/>
        <v>0</v>
      </c>
      <c r="J433" s="79">
        <f t="shared" si="33"/>
        <v>5662</v>
      </c>
      <c r="K433" s="79">
        <f t="shared" si="34"/>
        <v>5662</v>
      </c>
      <c r="L433" s="121"/>
    </row>
    <row r="434" spans="2:12" x14ac:dyDescent="0.35">
      <c r="B434" s="111">
        <f t="shared" si="31"/>
        <v>424</v>
      </c>
      <c r="C434" s="82" t="s">
        <v>71</v>
      </c>
      <c r="D434" s="81" t="s">
        <v>32</v>
      </c>
      <c r="E434" s="78">
        <v>1</v>
      </c>
      <c r="F434" s="65">
        <f>7000*1.2</f>
        <v>8400</v>
      </c>
      <c r="G434" s="65"/>
      <c r="H434" s="65">
        <f t="shared" si="35"/>
        <v>8400</v>
      </c>
      <c r="I434" s="79">
        <f t="shared" si="32"/>
        <v>8400</v>
      </c>
      <c r="J434" s="79">
        <f t="shared" si="33"/>
        <v>0</v>
      </c>
      <c r="K434" s="79">
        <f t="shared" si="34"/>
        <v>8400</v>
      </c>
      <c r="L434" s="121"/>
    </row>
    <row r="435" spans="2:12" x14ac:dyDescent="0.35">
      <c r="B435" s="111">
        <f t="shared" si="31"/>
        <v>425</v>
      </c>
      <c r="C435" s="82" t="s">
        <v>101</v>
      </c>
      <c r="D435" s="81" t="s">
        <v>26</v>
      </c>
      <c r="E435" s="78">
        <v>0.06</v>
      </c>
      <c r="F435" s="65">
        <v>7300</v>
      </c>
      <c r="G435" s="65"/>
      <c r="H435" s="65">
        <f t="shared" si="35"/>
        <v>7300</v>
      </c>
      <c r="I435" s="79">
        <f t="shared" si="32"/>
        <v>438</v>
      </c>
      <c r="J435" s="79">
        <f t="shared" si="33"/>
        <v>0</v>
      </c>
      <c r="K435" s="79">
        <f t="shared" si="34"/>
        <v>438</v>
      </c>
      <c r="L435" s="121"/>
    </row>
    <row r="436" spans="2:12" ht="31" x14ac:dyDescent="0.35">
      <c r="B436" s="111">
        <f t="shared" si="31"/>
        <v>426</v>
      </c>
      <c r="C436" s="64" t="s">
        <v>179</v>
      </c>
      <c r="D436" s="81" t="s">
        <v>26</v>
      </c>
      <c r="E436" s="78">
        <v>1.2</v>
      </c>
      <c r="F436" s="65"/>
      <c r="G436" s="65">
        <v>5860</v>
      </c>
      <c r="H436" s="65">
        <f t="shared" si="35"/>
        <v>5860</v>
      </c>
      <c r="I436" s="79">
        <f t="shared" si="32"/>
        <v>0</v>
      </c>
      <c r="J436" s="79">
        <f t="shared" si="33"/>
        <v>7032</v>
      </c>
      <c r="K436" s="79">
        <f t="shared" si="34"/>
        <v>7032</v>
      </c>
      <c r="L436" s="121"/>
    </row>
    <row r="437" spans="2:12" x14ac:dyDescent="0.35">
      <c r="B437" s="111">
        <f t="shared" si="31"/>
        <v>427</v>
      </c>
      <c r="C437" s="82" t="s">
        <v>75</v>
      </c>
      <c r="D437" s="81" t="s">
        <v>26</v>
      </c>
      <c r="E437" s="78">
        <v>1.22</v>
      </c>
      <c r="F437" s="65">
        <v>7100</v>
      </c>
      <c r="G437" s="65"/>
      <c r="H437" s="65">
        <f t="shared" si="35"/>
        <v>7100</v>
      </c>
      <c r="I437" s="79">
        <f t="shared" si="32"/>
        <v>8662</v>
      </c>
      <c r="J437" s="79">
        <f t="shared" si="33"/>
        <v>0</v>
      </c>
      <c r="K437" s="79">
        <f t="shared" si="34"/>
        <v>8662</v>
      </c>
      <c r="L437" s="121"/>
    </row>
    <row r="438" spans="2:12" ht="31" x14ac:dyDescent="0.35">
      <c r="B438" s="111">
        <f t="shared" si="31"/>
        <v>428</v>
      </c>
      <c r="C438" s="64" t="s">
        <v>78</v>
      </c>
      <c r="D438" s="81" t="s">
        <v>32</v>
      </c>
      <c r="E438" s="78"/>
      <c r="F438" s="65"/>
      <c r="G438" s="65">
        <v>5662</v>
      </c>
      <c r="H438" s="65">
        <f t="shared" si="35"/>
        <v>5662</v>
      </c>
      <c r="I438" s="79">
        <f t="shared" si="32"/>
        <v>0</v>
      </c>
      <c r="J438" s="79">
        <f t="shared" si="33"/>
        <v>0</v>
      </c>
      <c r="K438" s="79">
        <f t="shared" si="34"/>
        <v>0</v>
      </c>
      <c r="L438" s="121"/>
    </row>
    <row r="439" spans="2:12" x14ac:dyDescent="0.35">
      <c r="B439" s="111">
        <f t="shared" si="31"/>
        <v>429</v>
      </c>
      <c r="C439" s="82" t="s">
        <v>76</v>
      </c>
      <c r="D439" s="81" t="s">
        <v>32</v>
      </c>
      <c r="E439" s="78">
        <v>4</v>
      </c>
      <c r="F439" s="65">
        <f>7000*1.2</f>
        <v>8400</v>
      </c>
      <c r="G439" s="65"/>
      <c r="H439" s="65">
        <f t="shared" si="35"/>
        <v>8400</v>
      </c>
      <c r="I439" s="79">
        <f t="shared" si="32"/>
        <v>33600</v>
      </c>
      <c r="J439" s="79">
        <f t="shared" si="33"/>
        <v>0</v>
      </c>
      <c r="K439" s="79">
        <f t="shared" si="34"/>
        <v>33600</v>
      </c>
      <c r="L439" s="121"/>
    </row>
    <row r="440" spans="2:12" x14ac:dyDescent="0.35">
      <c r="B440" s="111">
        <f t="shared" si="31"/>
        <v>430</v>
      </c>
      <c r="C440" s="82" t="s">
        <v>77</v>
      </c>
      <c r="D440" s="81" t="s">
        <v>32</v>
      </c>
      <c r="E440" s="78">
        <v>2</v>
      </c>
      <c r="F440" s="65">
        <f>5500*1.2</f>
        <v>6600</v>
      </c>
      <c r="G440" s="65"/>
      <c r="H440" s="65">
        <f t="shared" si="35"/>
        <v>6600</v>
      </c>
      <c r="I440" s="79">
        <f t="shared" si="32"/>
        <v>13200</v>
      </c>
      <c r="J440" s="79">
        <f t="shared" si="33"/>
        <v>0</v>
      </c>
      <c r="K440" s="79">
        <f t="shared" si="34"/>
        <v>13200</v>
      </c>
      <c r="L440" s="121"/>
    </row>
    <row r="441" spans="2:12" x14ac:dyDescent="0.35">
      <c r="B441" s="111">
        <f t="shared" si="31"/>
        <v>431</v>
      </c>
      <c r="C441" s="82" t="s">
        <v>80</v>
      </c>
      <c r="D441" s="81" t="s">
        <v>32</v>
      </c>
      <c r="E441" s="78">
        <v>1</v>
      </c>
      <c r="F441" s="65">
        <f>1200*1.2</f>
        <v>1440</v>
      </c>
      <c r="G441" s="65"/>
      <c r="H441" s="65">
        <f t="shared" si="35"/>
        <v>1440</v>
      </c>
      <c r="I441" s="79">
        <f t="shared" si="32"/>
        <v>1440</v>
      </c>
      <c r="J441" s="79">
        <f t="shared" si="33"/>
        <v>0</v>
      </c>
      <c r="K441" s="79">
        <f t="shared" si="34"/>
        <v>1440</v>
      </c>
      <c r="L441" s="121"/>
    </row>
    <row r="442" spans="2:12" ht="31" x14ac:dyDescent="0.35">
      <c r="B442" s="111">
        <f t="shared" si="31"/>
        <v>432</v>
      </c>
      <c r="C442" s="64" t="s">
        <v>85</v>
      </c>
      <c r="D442" s="81" t="s">
        <v>32</v>
      </c>
      <c r="E442" s="78">
        <v>1</v>
      </c>
      <c r="F442" s="65"/>
      <c r="G442" s="65">
        <v>2500</v>
      </c>
      <c r="H442" s="65">
        <f t="shared" si="35"/>
        <v>2500</v>
      </c>
      <c r="I442" s="79">
        <f t="shared" si="32"/>
        <v>0</v>
      </c>
      <c r="J442" s="79">
        <f t="shared" si="33"/>
        <v>2500</v>
      </c>
      <c r="K442" s="79">
        <f t="shared" si="34"/>
        <v>2500</v>
      </c>
      <c r="L442" s="121"/>
    </row>
    <row r="443" spans="2:12" x14ac:dyDescent="0.35">
      <c r="B443" s="111">
        <f t="shared" si="31"/>
        <v>433</v>
      </c>
      <c r="C443" s="82" t="s">
        <v>137</v>
      </c>
      <c r="D443" s="81" t="s">
        <v>32</v>
      </c>
      <c r="E443" s="78">
        <v>1</v>
      </c>
      <c r="F443" s="65">
        <f>7000*1.2</f>
        <v>8400</v>
      </c>
      <c r="G443" s="65"/>
      <c r="H443" s="65">
        <f t="shared" si="35"/>
        <v>8400</v>
      </c>
      <c r="I443" s="79">
        <f t="shared" si="32"/>
        <v>8400</v>
      </c>
      <c r="J443" s="79">
        <f t="shared" si="33"/>
        <v>0</v>
      </c>
      <c r="K443" s="79">
        <f t="shared" si="34"/>
        <v>8400</v>
      </c>
      <c r="L443" s="121"/>
    </row>
    <row r="444" spans="2:12" ht="31" x14ac:dyDescent="0.35">
      <c r="B444" s="111">
        <f t="shared" si="31"/>
        <v>434</v>
      </c>
      <c r="C444" s="64" t="s">
        <v>316</v>
      </c>
      <c r="D444" s="81" t="s">
        <v>32</v>
      </c>
      <c r="E444" s="78">
        <v>2</v>
      </c>
      <c r="F444" s="65"/>
      <c r="G444" s="65"/>
      <c r="H444" s="65">
        <f t="shared" si="35"/>
        <v>0</v>
      </c>
      <c r="I444" s="79">
        <f t="shared" si="32"/>
        <v>0</v>
      </c>
      <c r="J444" s="79">
        <f t="shared" si="33"/>
        <v>0</v>
      </c>
      <c r="K444" s="79">
        <f t="shared" si="34"/>
        <v>0</v>
      </c>
      <c r="L444" s="121"/>
    </row>
    <row r="445" spans="2:12" x14ac:dyDescent="0.35">
      <c r="B445" s="111">
        <f t="shared" si="31"/>
        <v>435</v>
      </c>
      <c r="C445" s="82" t="s">
        <v>84</v>
      </c>
      <c r="D445" s="81" t="s">
        <v>32</v>
      </c>
      <c r="E445" s="78">
        <v>2</v>
      </c>
      <c r="F445" s="65">
        <v>1300</v>
      </c>
      <c r="G445" s="65">
        <v>990</v>
      </c>
      <c r="H445" s="65">
        <f t="shared" si="35"/>
        <v>2290</v>
      </c>
      <c r="I445" s="79">
        <f t="shared" si="32"/>
        <v>2600</v>
      </c>
      <c r="J445" s="79">
        <f t="shared" si="33"/>
        <v>1980</v>
      </c>
      <c r="K445" s="79">
        <f t="shared" si="34"/>
        <v>4580</v>
      </c>
      <c r="L445" s="121"/>
    </row>
    <row r="446" spans="2:12" x14ac:dyDescent="0.35">
      <c r="B446" s="111">
        <f t="shared" si="31"/>
        <v>436</v>
      </c>
      <c r="C446" s="80" t="s">
        <v>301</v>
      </c>
      <c r="D446" s="81" t="s">
        <v>32</v>
      </c>
      <c r="E446" s="78">
        <v>1</v>
      </c>
      <c r="F446" s="65">
        <v>6000</v>
      </c>
      <c r="G446" s="65">
        <v>1464.09</v>
      </c>
      <c r="H446" s="65">
        <f t="shared" si="35"/>
        <v>7464.09</v>
      </c>
      <c r="I446" s="79">
        <f t="shared" si="32"/>
        <v>6000</v>
      </c>
      <c r="J446" s="79">
        <f t="shared" si="33"/>
        <v>1464.09</v>
      </c>
      <c r="K446" s="79">
        <f t="shared" si="34"/>
        <v>7464.09</v>
      </c>
      <c r="L446" s="121"/>
    </row>
    <row r="447" spans="2:12" ht="31" x14ac:dyDescent="0.35">
      <c r="B447" s="111">
        <f t="shared" si="31"/>
        <v>437</v>
      </c>
      <c r="C447" s="64" t="s">
        <v>156</v>
      </c>
      <c r="D447" s="81" t="s">
        <v>25</v>
      </c>
      <c r="E447" s="78">
        <f>39.79+3.8</f>
        <v>43.589999999999996</v>
      </c>
      <c r="F447" s="65">
        <v>68.5</v>
      </c>
      <c r="G447" s="65">
        <v>150</v>
      </c>
      <c r="H447" s="65">
        <f t="shared" si="35"/>
        <v>218.5</v>
      </c>
      <c r="I447" s="79">
        <f t="shared" si="32"/>
        <v>2985.92</v>
      </c>
      <c r="J447" s="79">
        <f t="shared" si="33"/>
        <v>6538.5</v>
      </c>
      <c r="K447" s="79">
        <f t="shared" si="34"/>
        <v>9524.42</v>
      </c>
      <c r="L447" s="121"/>
    </row>
    <row r="448" spans="2:12" ht="46.5" x14ac:dyDescent="0.35">
      <c r="B448" s="111">
        <f t="shared" si="31"/>
        <v>438</v>
      </c>
      <c r="C448" s="64" t="s">
        <v>157</v>
      </c>
      <c r="D448" s="81" t="s">
        <v>25</v>
      </c>
      <c r="E448" s="78">
        <f>39.79+3.8</f>
        <v>43.589999999999996</v>
      </c>
      <c r="F448" s="65">
        <v>927</v>
      </c>
      <c r="G448" s="65">
        <v>400</v>
      </c>
      <c r="H448" s="65">
        <f t="shared" si="35"/>
        <v>1327</v>
      </c>
      <c r="I448" s="79">
        <f t="shared" si="32"/>
        <v>40407.93</v>
      </c>
      <c r="J448" s="79">
        <f t="shared" si="33"/>
        <v>17436</v>
      </c>
      <c r="K448" s="79">
        <f t="shared" si="34"/>
        <v>57843.93</v>
      </c>
      <c r="L448" s="121"/>
    </row>
    <row r="449" spans="2:12" x14ac:dyDescent="0.35">
      <c r="B449" s="111">
        <f t="shared" si="31"/>
        <v>439</v>
      </c>
      <c r="C449" s="64" t="s">
        <v>317</v>
      </c>
      <c r="D449" s="81" t="s">
        <v>32</v>
      </c>
      <c r="E449" s="78">
        <v>1</v>
      </c>
      <c r="F449" s="65"/>
      <c r="G449" s="65"/>
      <c r="H449" s="65">
        <f t="shared" si="35"/>
        <v>0</v>
      </c>
      <c r="I449" s="79">
        <f t="shared" si="32"/>
        <v>0</v>
      </c>
      <c r="J449" s="79">
        <f t="shared" si="33"/>
        <v>0</v>
      </c>
      <c r="K449" s="79">
        <f t="shared" si="34"/>
        <v>0</v>
      </c>
      <c r="L449" s="121"/>
    </row>
    <row r="450" spans="2:12" x14ac:dyDescent="0.35">
      <c r="B450" s="111">
        <f t="shared" si="31"/>
        <v>440</v>
      </c>
      <c r="C450" s="82" t="s">
        <v>318</v>
      </c>
      <c r="D450" s="81" t="s">
        <v>31</v>
      </c>
      <c r="E450" s="78">
        <v>49.36</v>
      </c>
      <c r="F450" s="68">
        <v>71</v>
      </c>
      <c r="G450" s="65">
        <v>97.61</v>
      </c>
      <c r="H450" s="65">
        <f t="shared" si="35"/>
        <v>168.61</v>
      </c>
      <c r="I450" s="79">
        <f t="shared" si="32"/>
        <v>3504.56</v>
      </c>
      <c r="J450" s="79">
        <f t="shared" si="33"/>
        <v>4818.03</v>
      </c>
      <c r="K450" s="79">
        <f t="shared" si="34"/>
        <v>8322.59</v>
      </c>
      <c r="L450" s="121"/>
    </row>
    <row r="451" spans="2:12" x14ac:dyDescent="0.35">
      <c r="B451" s="111">
        <f t="shared" si="31"/>
        <v>441</v>
      </c>
      <c r="C451" s="64" t="s">
        <v>93</v>
      </c>
      <c r="D451" s="81" t="s">
        <v>32</v>
      </c>
      <c r="E451" s="78">
        <v>1</v>
      </c>
      <c r="F451" s="65"/>
      <c r="G451" s="65"/>
      <c r="H451" s="65">
        <f t="shared" si="35"/>
        <v>0</v>
      </c>
      <c r="I451" s="79">
        <f t="shared" si="32"/>
        <v>0</v>
      </c>
      <c r="J451" s="79">
        <f t="shared" si="33"/>
        <v>0</v>
      </c>
      <c r="K451" s="79">
        <f t="shared" si="34"/>
        <v>0</v>
      </c>
      <c r="L451" s="121"/>
    </row>
    <row r="452" spans="2:12" x14ac:dyDescent="0.35">
      <c r="B452" s="111">
        <f t="shared" si="31"/>
        <v>442</v>
      </c>
      <c r="C452" s="82" t="s">
        <v>94</v>
      </c>
      <c r="D452" s="81" t="s">
        <v>31</v>
      </c>
      <c r="E452" s="78">
        <v>0.82</v>
      </c>
      <c r="F452" s="68">
        <v>71</v>
      </c>
      <c r="G452" s="65">
        <v>97.61</v>
      </c>
      <c r="H452" s="65">
        <f t="shared" si="35"/>
        <v>168.61</v>
      </c>
      <c r="I452" s="79">
        <f t="shared" si="32"/>
        <v>58.22</v>
      </c>
      <c r="J452" s="79">
        <f t="shared" si="33"/>
        <v>80.040000000000006</v>
      </c>
      <c r="K452" s="79">
        <f t="shared" si="34"/>
        <v>138.26</v>
      </c>
      <c r="L452" s="121"/>
    </row>
    <row r="453" spans="2:12" ht="31" x14ac:dyDescent="0.35">
      <c r="B453" s="111">
        <f t="shared" si="31"/>
        <v>443</v>
      </c>
      <c r="C453" s="64" t="s">
        <v>153</v>
      </c>
      <c r="D453" s="81" t="s">
        <v>32</v>
      </c>
      <c r="E453" s="78">
        <v>3</v>
      </c>
      <c r="F453" s="65"/>
      <c r="G453" s="65">
        <v>1464</v>
      </c>
      <c r="H453" s="65">
        <f t="shared" si="35"/>
        <v>1464</v>
      </c>
      <c r="I453" s="79">
        <f t="shared" si="32"/>
        <v>0</v>
      </c>
      <c r="J453" s="79">
        <f t="shared" si="33"/>
        <v>4392</v>
      </c>
      <c r="K453" s="79">
        <f t="shared" si="34"/>
        <v>4392</v>
      </c>
      <c r="L453" s="121"/>
    </row>
    <row r="454" spans="2:12" x14ac:dyDescent="0.35">
      <c r="B454" s="111">
        <f t="shared" si="31"/>
        <v>444</v>
      </c>
      <c r="C454" s="64" t="s">
        <v>319</v>
      </c>
      <c r="D454" s="81"/>
      <c r="E454" s="78"/>
      <c r="F454" s="65"/>
      <c r="G454" s="65"/>
      <c r="H454" s="65">
        <f t="shared" si="35"/>
        <v>0</v>
      </c>
      <c r="I454" s="79">
        <f t="shared" si="32"/>
        <v>0</v>
      </c>
      <c r="J454" s="79">
        <f t="shared" si="33"/>
        <v>0</v>
      </c>
      <c r="K454" s="79">
        <f t="shared" si="34"/>
        <v>0</v>
      </c>
      <c r="L454" s="121">
        <v>1</v>
      </c>
    </row>
    <row r="455" spans="2:12" ht="31" x14ac:dyDescent="0.35">
      <c r="B455" s="111">
        <f t="shared" si="31"/>
        <v>445</v>
      </c>
      <c r="C455" s="80" t="s">
        <v>309</v>
      </c>
      <c r="D455" s="81" t="s">
        <v>32</v>
      </c>
      <c r="E455" s="78">
        <v>1</v>
      </c>
      <c r="F455" s="65">
        <v>2263</v>
      </c>
      <c r="G455" s="65">
        <v>1700</v>
      </c>
      <c r="H455" s="65">
        <f t="shared" si="35"/>
        <v>3963</v>
      </c>
      <c r="I455" s="79">
        <f t="shared" si="32"/>
        <v>2263</v>
      </c>
      <c r="J455" s="79">
        <f t="shared" si="33"/>
        <v>1700</v>
      </c>
      <c r="K455" s="79">
        <f t="shared" si="34"/>
        <v>3963</v>
      </c>
      <c r="L455" s="121"/>
    </row>
    <row r="456" spans="2:12" ht="31" x14ac:dyDescent="0.35">
      <c r="B456" s="111">
        <f t="shared" si="31"/>
        <v>446</v>
      </c>
      <c r="C456" s="80" t="s">
        <v>310</v>
      </c>
      <c r="D456" s="81" t="s">
        <v>32</v>
      </c>
      <c r="E456" s="78">
        <v>1</v>
      </c>
      <c r="F456" s="65">
        <v>1303</v>
      </c>
      <c r="G456" s="65">
        <v>1700</v>
      </c>
      <c r="H456" s="65">
        <f t="shared" si="35"/>
        <v>3003</v>
      </c>
      <c r="I456" s="79">
        <f t="shared" si="32"/>
        <v>1303</v>
      </c>
      <c r="J456" s="79">
        <f t="shared" si="33"/>
        <v>1700</v>
      </c>
      <c r="K456" s="79">
        <f t="shared" si="34"/>
        <v>3003</v>
      </c>
      <c r="L456" s="121"/>
    </row>
    <row r="457" spans="2:12" ht="31" x14ac:dyDescent="0.35">
      <c r="B457" s="111">
        <f t="shared" si="31"/>
        <v>447</v>
      </c>
      <c r="C457" s="80" t="s">
        <v>63</v>
      </c>
      <c r="D457" s="81" t="s">
        <v>27</v>
      </c>
      <c r="E457" s="78">
        <f>4.8*1.1</f>
        <v>5.28</v>
      </c>
      <c r="F457" s="65">
        <v>855</v>
      </c>
      <c r="G457" s="65">
        <v>1700</v>
      </c>
      <c r="H457" s="65">
        <f t="shared" si="35"/>
        <v>2555</v>
      </c>
      <c r="I457" s="79">
        <f t="shared" si="32"/>
        <v>4514.3999999999996</v>
      </c>
      <c r="J457" s="79">
        <f t="shared" si="33"/>
        <v>8976</v>
      </c>
      <c r="K457" s="79">
        <f t="shared" si="34"/>
        <v>13490.4</v>
      </c>
      <c r="L457" s="121"/>
    </row>
    <row r="458" spans="2:12" ht="33" x14ac:dyDescent="0.35">
      <c r="B458" s="111">
        <f t="shared" si="31"/>
        <v>448</v>
      </c>
      <c r="C458" s="64" t="s">
        <v>362</v>
      </c>
      <c r="D458" s="81" t="s">
        <v>26</v>
      </c>
      <c r="E458" s="78">
        <f>55.25-21.88</f>
        <v>33.370000000000005</v>
      </c>
      <c r="F458" s="65"/>
      <c r="G458" s="65">
        <v>439</v>
      </c>
      <c r="H458" s="65">
        <f t="shared" si="35"/>
        <v>439</v>
      </c>
      <c r="I458" s="79">
        <f t="shared" si="32"/>
        <v>0</v>
      </c>
      <c r="J458" s="79">
        <f t="shared" si="33"/>
        <v>14649.43</v>
      </c>
      <c r="K458" s="79">
        <f t="shared" si="34"/>
        <v>14649.43</v>
      </c>
      <c r="L458" s="121"/>
    </row>
    <row r="459" spans="2:12" ht="30" x14ac:dyDescent="0.35">
      <c r="B459" s="111">
        <f t="shared" si="31"/>
        <v>449</v>
      </c>
      <c r="C459" s="98" t="s">
        <v>210</v>
      </c>
      <c r="D459" s="99" t="s">
        <v>27</v>
      </c>
      <c r="E459" s="100" t="s">
        <v>211</v>
      </c>
      <c r="F459" s="101"/>
      <c r="G459" s="101"/>
      <c r="H459" s="101">
        <f t="shared" si="35"/>
        <v>0</v>
      </c>
      <c r="I459" s="101">
        <f t="shared" si="32"/>
        <v>0</v>
      </c>
      <c r="J459" s="101">
        <f t="shared" si="33"/>
        <v>0</v>
      </c>
      <c r="K459" s="101">
        <f t="shared" si="34"/>
        <v>0</v>
      </c>
      <c r="L459" s="102"/>
    </row>
    <row r="460" spans="2:12" ht="31" x14ac:dyDescent="0.35">
      <c r="B460" s="111">
        <f t="shared" si="31"/>
        <v>450</v>
      </c>
      <c r="C460" s="64" t="s">
        <v>348</v>
      </c>
      <c r="D460" s="77" t="s">
        <v>26</v>
      </c>
      <c r="E460" s="78">
        <f>225.88*0.97</f>
        <v>219.1036</v>
      </c>
      <c r="F460" s="65"/>
      <c r="G460" s="65">
        <v>300</v>
      </c>
      <c r="H460" s="65">
        <f t="shared" si="35"/>
        <v>300</v>
      </c>
      <c r="I460" s="79">
        <f t="shared" si="32"/>
        <v>0</v>
      </c>
      <c r="J460" s="79">
        <f t="shared" si="33"/>
        <v>65731.08</v>
      </c>
      <c r="K460" s="79">
        <f t="shared" si="34"/>
        <v>65731.08</v>
      </c>
      <c r="L460" s="121"/>
    </row>
    <row r="461" spans="2:12" x14ac:dyDescent="0.35">
      <c r="B461" s="111">
        <f t="shared" ref="B461:B524" si="36">B460+1</f>
        <v>451</v>
      </c>
      <c r="C461" s="64" t="s">
        <v>19</v>
      </c>
      <c r="D461" s="77" t="s">
        <v>26</v>
      </c>
      <c r="E461" s="78">
        <f>E460/97*3</f>
        <v>6.7763999999999998</v>
      </c>
      <c r="F461" s="65"/>
      <c r="G461" s="65">
        <v>1500</v>
      </c>
      <c r="H461" s="65">
        <f t="shared" si="35"/>
        <v>1500</v>
      </c>
      <c r="I461" s="79">
        <f t="shared" ref="I461:I524" si="37">ROUND(F461*E461,2)</f>
        <v>0</v>
      </c>
      <c r="J461" s="79">
        <f t="shared" ref="J461:J524" si="38">ROUND(G461*E461,2)</f>
        <v>10164.6</v>
      </c>
      <c r="K461" s="79">
        <f t="shared" ref="K461:K524" si="39">I461+J461</f>
        <v>10164.6</v>
      </c>
      <c r="L461" s="121"/>
    </row>
    <row r="462" spans="2:12" x14ac:dyDescent="0.35">
      <c r="B462" s="111">
        <f t="shared" si="36"/>
        <v>452</v>
      </c>
      <c r="C462" s="64" t="s">
        <v>184</v>
      </c>
      <c r="D462" s="77" t="s">
        <v>25</v>
      </c>
      <c r="E462" s="78">
        <f>E459*0.75</f>
        <v>8.8500000000000014</v>
      </c>
      <c r="F462" s="65"/>
      <c r="G462" s="65"/>
      <c r="H462" s="65">
        <f t="shared" si="35"/>
        <v>0</v>
      </c>
      <c r="I462" s="79">
        <f t="shared" si="37"/>
        <v>0</v>
      </c>
      <c r="J462" s="79">
        <f t="shared" si="38"/>
        <v>0</v>
      </c>
      <c r="K462" s="79">
        <f t="shared" si="39"/>
        <v>0</v>
      </c>
      <c r="L462" s="121"/>
    </row>
    <row r="463" spans="2:12" ht="31" x14ac:dyDescent="0.35">
      <c r="B463" s="111">
        <f t="shared" si="36"/>
        <v>453</v>
      </c>
      <c r="C463" s="64" t="s">
        <v>194</v>
      </c>
      <c r="D463" s="77" t="s">
        <v>25</v>
      </c>
      <c r="E463" s="78">
        <f>E459*0.48</f>
        <v>5.6639999999999997</v>
      </c>
      <c r="F463" s="65">
        <f>1973*0.15</f>
        <v>295.95</v>
      </c>
      <c r="G463" s="65">
        <f>1500*0.15</f>
        <v>225</v>
      </c>
      <c r="H463" s="65">
        <f t="shared" ref="H463:H526" si="40">F463+G463</f>
        <v>520.95000000000005</v>
      </c>
      <c r="I463" s="79">
        <f t="shared" si="37"/>
        <v>1676.26</v>
      </c>
      <c r="J463" s="79">
        <f t="shared" si="38"/>
        <v>1274.4000000000001</v>
      </c>
      <c r="K463" s="79">
        <f t="shared" si="39"/>
        <v>2950.66</v>
      </c>
      <c r="L463" s="121"/>
    </row>
    <row r="464" spans="2:12" x14ac:dyDescent="0.35">
      <c r="B464" s="111">
        <f t="shared" si="36"/>
        <v>454</v>
      </c>
      <c r="C464" s="64" t="s">
        <v>20</v>
      </c>
      <c r="D464" s="77" t="s">
        <v>26</v>
      </c>
      <c r="E464" s="78">
        <f>0.34*E459*0.1</f>
        <v>0.40120000000000006</v>
      </c>
      <c r="F464" s="65"/>
      <c r="G464" s="65">
        <v>5860</v>
      </c>
      <c r="H464" s="65">
        <f t="shared" si="40"/>
        <v>5860</v>
      </c>
      <c r="I464" s="79">
        <f t="shared" si="37"/>
        <v>0</v>
      </c>
      <c r="J464" s="79">
        <f t="shared" si="38"/>
        <v>2351.0300000000002</v>
      </c>
      <c r="K464" s="79">
        <f t="shared" si="39"/>
        <v>2351.0300000000002</v>
      </c>
      <c r="L464" s="121"/>
    </row>
    <row r="465" spans="2:12" x14ac:dyDescent="0.35">
      <c r="B465" s="111">
        <f t="shared" si="36"/>
        <v>455</v>
      </c>
      <c r="C465" s="80" t="s">
        <v>159</v>
      </c>
      <c r="D465" s="77" t="s">
        <v>26</v>
      </c>
      <c r="E465" s="78">
        <f>E464*1.02</f>
        <v>0.40922400000000009</v>
      </c>
      <c r="F465" s="65">
        <v>6700</v>
      </c>
      <c r="G465" s="65"/>
      <c r="H465" s="65">
        <f t="shared" si="40"/>
        <v>6700</v>
      </c>
      <c r="I465" s="79">
        <f t="shared" si="37"/>
        <v>2741.8</v>
      </c>
      <c r="J465" s="79">
        <f t="shared" si="38"/>
        <v>0</v>
      </c>
      <c r="K465" s="79">
        <f t="shared" si="39"/>
        <v>2741.8</v>
      </c>
      <c r="L465" s="121"/>
    </row>
    <row r="466" spans="2:12" x14ac:dyDescent="0.35">
      <c r="B466" s="111">
        <f t="shared" si="36"/>
        <v>456</v>
      </c>
      <c r="C466" s="64" t="s">
        <v>28</v>
      </c>
      <c r="D466" s="77" t="s">
        <v>26</v>
      </c>
      <c r="E466" s="78">
        <f>0.8*E459*0.1</f>
        <v>0.94400000000000017</v>
      </c>
      <c r="F466" s="65"/>
      <c r="G466" s="65">
        <v>5860</v>
      </c>
      <c r="H466" s="65">
        <f t="shared" si="40"/>
        <v>5860</v>
      </c>
      <c r="I466" s="79">
        <f t="shared" si="37"/>
        <v>0</v>
      </c>
      <c r="J466" s="79">
        <f t="shared" si="38"/>
        <v>5531.84</v>
      </c>
      <c r="K466" s="79">
        <f t="shared" si="39"/>
        <v>5531.84</v>
      </c>
      <c r="L466" s="121"/>
    </row>
    <row r="467" spans="2:12" x14ac:dyDescent="0.35">
      <c r="B467" s="111">
        <f t="shared" si="36"/>
        <v>457</v>
      </c>
      <c r="C467" s="80" t="s">
        <v>29</v>
      </c>
      <c r="D467" s="77" t="s">
        <v>26</v>
      </c>
      <c r="E467" s="78">
        <f>E466*1.02</f>
        <v>0.96288000000000018</v>
      </c>
      <c r="F467" s="65">
        <v>7100</v>
      </c>
      <c r="G467" s="65"/>
      <c r="H467" s="65">
        <f t="shared" si="40"/>
        <v>7100</v>
      </c>
      <c r="I467" s="79">
        <f t="shared" si="37"/>
        <v>6836.45</v>
      </c>
      <c r="J467" s="79">
        <f t="shared" si="38"/>
        <v>0</v>
      </c>
      <c r="K467" s="79">
        <f t="shared" si="39"/>
        <v>6836.45</v>
      </c>
      <c r="L467" s="121"/>
    </row>
    <row r="468" spans="2:12" x14ac:dyDescent="0.35">
      <c r="B468" s="111">
        <f t="shared" si="36"/>
        <v>458</v>
      </c>
      <c r="C468" s="80" t="s">
        <v>30</v>
      </c>
      <c r="D468" s="77" t="s">
        <v>31</v>
      </c>
      <c r="E468" s="78">
        <f>31.39*E459*0.1</f>
        <v>37.040200000000006</v>
      </c>
      <c r="F468" s="65">
        <v>118.9</v>
      </c>
      <c r="G468" s="65"/>
      <c r="H468" s="65">
        <f t="shared" si="40"/>
        <v>118.9</v>
      </c>
      <c r="I468" s="79">
        <f t="shared" si="37"/>
        <v>4404.08</v>
      </c>
      <c r="J468" s="79">
        <f t="shared" si="38"/>
        <v>0</v>
      </c>
      <c r="K468" s="79">
        <f t="shared" si="39"/>
        <v>4404.08</v>
      </c>
      <c r="L468" s="121"/>
    </row>
    <row r="469" spans="2:12" x14ac:dyDescent="0.35">
      <c r="B469" s="111">
        <f t="shared" si="36"/>
        <v>459</v>
      </c>
      <c r="C469" s="64" t="s">
        <v>189</v>
      </c>
      <c r="D469" s="77" t="s">
        <v>27</v>
      </c>
      <c r="E469" s="78" t="str">
        <f>E459</f>
        <v>11,8</v>
      </c>
      <c r="F469" s="65"/>
      <c r="G469" s="65">
        <v>2928</v>
      </c>
      <c r="H469" s="65">
        <f t="shared" si="40"/>
        <v>2928</v>
      </c>
      <c r="I469" s="79">
        <f t="shared" si="37"/>
        <v>0</v>
      </c>
      <c r="J469" s="79">
        <f t="shared" si="38"/>
        <v>34550.400000000001</v>
      </c>
      <c r="K469" s="79">
        <f t="shared" si="39"/>
        <v>34550.400000000001</v>
      </c>
      <c r="L469" s="121"/>
    </row>
    <row r="470" spans="2:12" ht="31" x14ac:dyDescent="0.35">
      <c r="B470" s="111">
        <f t="shared" si="36"/>
        <v>460</v>
      </c>
      <c r="C470" s="80" t="s">
        <v>195</v>
      </c>
      <c r="D470" s="77" t="s">
        <v>27</v>
      </c>
      <c r="E470" s="78">
        <f>E469*1.1</f>
        <v>12.980000000000002</v>
      </c>
      <c r="F470" s="65">
        <v>855</v>
      </c>
      <c r="G470" s="65"/>
      <c r="H470" s="65">
        <f t="shared" si="40"/>
        <v>855</v>
      </c>
      <c r="I470" s="79">
        <f t="shared" si="37"/>
        <v>11097.9</v>
      </c>
      <c r="J470" s="79">
        <f t="shared" si="38"/>
        <v>0</v>
      </c>
      <c r="K470" s="79">
        <f t="shared" si="39"/>
        <v>11097.9</v>
      </c>
      <c r="L470" s="121"/>
    </row>
    <row r="471" spans="2:12" ht="33" x14ac:dyDescent="0.35">
      <c r="B471" s="111">
        <f t="shared" si="36"/>
        <v>461</v>
      </c>
      <c r="C471" s="64" t="s">
        <v>355</v>
      </c>
      <c r="D471" s="81" t="s">
        <v>26</v>
      </c>
      <c r="E471" s="78">
        <v>220.61</v>
      </c>
      <c r="F471" s="65"/>
      <c r="G471" s="65">
        <v>439</v>
      </c>
      <c r="H471" s="65">
        <f t="shared" si="40"/>
        <v>439</v>
      </c>
      <c r="I471" s="79">
        <f t="shared" si="37"/>
        <v>0</v>
      </c>
      <c r="J471" s="79">
        <f t="shared" si="38"/>
        <v>96847.79</v>
      </c>
      <c r="K471" s="79">
        <f t="shared" si="39"/>
        <v>96847.79</v>
      </c>
      <c r="L471" s="121"/>
    </row>
    <row r="472" spans="2:12" ht="30" customHeight="1" x14ac:dyDescent="0.35">
      <c r="B472" s="111">
        <f t="shared" si="36"/>
        <v>462</v>
      </c>
      <c r="C472" s="98" t="s">
        <v>212</v>
      </c>
      <c r="D472" s="103" t="s">
        <v>32</v>
      </c>
      <c r="E472" s="100">
        <v>1</v>
      </c>
      <c r="F472" s="101"/>
      <c r="G472" s="101"/>
      <c r="H472" s="101">
        <f t="shared" si="40"/>
        <v>0</v>
      </c>
      <c r="I472" s="101">
        <f t="shared" si="37"/>
        <v>0</v>
      </c>
      <c r="J472" s="101">
        <f t="shared" si="38"/>
        <v>0</v>
      </c>
      <c r="K472" s="101">
        <f t="shared" si="39"/>
        <v>0</v>
      </c>
      <c r="L472" s="102"/>
    </row>
    <row r="473" spans="2:12" ht="31" x14ac:dyDescent="0.35">
      <c r="B473" s="111">
        <f t="shared" si="36"/>
        <v>463</v>
      </c>
      <c r="C473" s="64" t="s">
        <v>348</v>
      </c>
      <c r="D473" s="81" t="s">
        <v>26</v>
      </c>
      <c r="E473" s="78">
        <f>74.99*0.97</f>
        <v>72.740299999999991</v>
      </c>
      <c r="F473" s="65"/>
      <c r="G473" s="65">
        <v>300</v>
      </c>
      <c r="H473" s="65">
        <f t="shared" si="40"/>
        <v>300</v>
      </c>
      <c r="I473" s="79">
        <f t="shared" si="37"/>
        <v>0</v>
      </c>
      <c r="J473" s="79">
        <f t="shared" si="38"/>
        <v>21822.09</v>
      </c>
      <c r="K473" s="79">
        <f t="shared" si="39"/>
        <v>21822.09</v>
      </c>
      <c r="L473" s="121"/>
    </row>
    <row r="474" spans="2:12" x14ac:dyDescent="0.35">
      <c r="B474" s="111">
        <f t="shared" si="36"/>
        <v>464</v>
      </c>
      <c r="C474" s="64" t="s">
        <v>19</v>
      </c>
      <c r="D474" s="81" t="s">
        <v>26</v>
      </c>
      <c r="E474" s="78">
        <f>E473/9</f>
        <v>8.0822555555555553</v>
      </c>
      <c r="F474" s="65"/>
      <c r="G474" s="65">
        <v>1500</v>
      </c>
      <c r="H474" s="65">
        <f t="shared" si="40"/>
        <v>1500</v>
      </c>
      <c r="I474" s="79">
        <f t="shared" si="37"/>
        <v>0</v>
      </c>
      <c r="J474" s="79">
        <f t="shared" si="38"/>
        <v>12123.38</v>
      </c>
      <c r="K474" s="79">
        <f t="shared" si="39"/>
        <v>12123.38</v>
      </c>
      <c r="L474" s="121"/>
    </row>
    <row r="475" spans="2:12" x14ac:dyDescent="0.35">
      <c r="B475" s="111">
        <f t="shared" si="36"/>
        <v>465</v>
      </c>
      <c r="C475" s="64" t="s">
        <v>67</v>
      </c>
      <c r="D475" s="81" t="s">
        <v>25</v>
      </c>
      <c r="E475" s="78">
        <v>6.6</v>
      </c>
      <c r="F475" s="65"/>
      <c r="G475" s="65"/>
      <c r="H475" s="65">
        <f t="shared" si="40"/>
        <v>0</v>
      </c>
      <c r="I475" s="79">
        <f t="shared" si="37"/>
        <v>0</v>
      </c>
      <c r="J475" s="79">
        <f t="shared" si="38"/>
        <v>0</v>
      </c>
      <c r="K475" s="79">
        <f t="shared" si="39"/>
        <v>0</v>
      </c>
      <c r="L475" s="121"/>
    </row>
    <row r="476" spans="2:12" x14ac:dyDescent="0.35">
      <c r="B476" s="111">
        <f t="shared" si="36"/>
        <v>466</v>
      </c>
      <c r="C476" s="64" t="s">
        <v>68</v>
      </c>
      <c r="D476" s="81" t="s">
        <v>26</v>
      </c>
      <c r="E476" s="78">
        <f>E475*0.1</f>
        <v>0.66</v>
      </c>
      <c r="F476" s="65"/>
      <c r="G476" s="65">
        <v>5860</v>
      </c>
      <c r="H476" s="65">
        <f t="shared" si="40"/>
        <v>5860</v>
      </c>
      <c r="I476" s="79">
        <f t="shared" si="37"/>
        <v>0</v>
      </c>
      <c r="J476" s="79">
        <f t="shared" si="38"/>
        <v>3867.6</v>
      </c>
      <c r="K476" s="79">
        <f t="shared" si="39"/>
        <v>3867.6</v>
      </c>
      <c r="L476" s="121"/>
    </row>
    <row r="477" spans="2:12" x14ac:dyDescent="0.35">
      <c r="B477" s="111">
        <f t="shared" si="36"/>
        <v>467</v>
      </c>
      <c r="C477" s="80" t="s">
        <v>159</v>
      </c>
      <c r="D477" s="81" t="s">
        <v>26</v>
      </c>
      <c r="E477" s="78">
        <f>E476*1.02</f>
        <v>0.67320000000000002</v>
      </c>
      <c r="F477" s="65">
        <v>6700</v>
      </c>
      <c r="G477" s="65"/>
      <c r="H477" s="65">
        <f t="shared" si="40"/>
        <v>6700</v>
      </c>
      <c r="I477" s="79">
        <f t="shared" si="37"/>
        <v>4510.4399999999996</v>
      </c>
      <c r="J477" s="79">
        <f t="shared" si="38"/>
        <v>0</v>
      </c>
      <c r="K477" s="79">
        <f t="shared" si="39"/>
        <v>4510.4399999999996</v>
      </c>
      <c r="L477" s="121"/>
    </row>
    <row r="478" spans="2:12" x14ac:dyDescent="0.35">
      <c r="B478" s="111">
        <f t="shared" si="36"/>
        <v>468</v>
      </c>
      <c r="C478" s="64" t="s">
        <v>151</v>
      </c>
      <c r="D478" s="81" t="s">
        <v>25</v>
      </c>
      <c r="E478" s="78">
        <f>(3.14*2.5^2)/4</f>
        <v>4.90625</v>
      </c>
      <c r="F478" s="65">
        <v>68.5</v>
      </c>
      <c r="G478" s="65">
        <v>150</v>
      </c>
      <c r="H478" s="65">
        <f t="shared" si="40"/>
        <v>218.5</v>
      </c>
      <c r="I478" s="79">
        <f t="shared" si="37"/>
        <v>336.08</v>
      </c>
      <c r="J478" s="79">
        <f t="shared" si="38"/>
        <v>735.94</v>
      </c>
      <c r="K478" s="79">
        <f t="shared" si="39"/>
        <v>1072.02</v>
      </c>
      <c r="L478" s="121"/>
    </row>
    <row r="479" spans="2:12" ht="31" x14ac:dyDescent="0.35">
      <c r="B479" s="111">
        <f t="shared" si="36"/>
        <v>469</v>
      </c>
      <c r="C479" s="64" t="s">
        <v>152</v>
      </c>
      <c r="D479" s="81" t="s">
        <v>25</v>
      </c>
      <c r="E479" s="78">
        <f>(3.14*2.5^2)/4</f>
        <v>4.90625</v>
      </c>
      <c r="F479" s="65">
        <v>927</v>
      </c>
      <c r="G479" s="65">
        <v>400</v>
      </c>
      <c r="H479" s="65">
        <f t="shared" si="40"/>
        <v>1327</v>
      </c>
      <c r="I479" s="79">
        <f t="shared" si="37"/>
        <v>4548.09</v>
      </c>
      <c r="J479" s="79">
        <f t="shared" si="38"/>
        <v>1962.5</v>
      </c>
      <c r="K479" s="79">
        <f t="shared" si="39"/>
        <v>6510.59</v>
      </c>
      <c r="L479" s="121"/>
    </row>
    <row r="480" spans="2:12" ht="31" x14ac:dyDescent="0.35">
      <c r="B480" s="111">
        <f t="shared" si="36"/>
        <v>470</v>
      </c>
      <c r="C480" s="64" t="s">
        <v>69</v>
      </c>
      <c r="D480" s="81" t="s">
        <v>32</v>
      </c>
      <c r="E480" s="78">
        <v>1</v>
      </c>
      <c r="F480" s="65"/>
      <c r="G480" s="65">
        <v>5662</v>
      </c>
      <c r="H480" s="65">
        <f t="shared" si="40"/>
        <v>5662</v>
      </c>
      <c r="I480" s="79">
        <f t="shared" si="37"/>
        <v>0</v>
      </c>
      <c r="J480" s="79">
        <f t="shared" si="38"/>
        <v>5662</v>
      </c>
      <c r="K480" s="79">
        <f t="shared" si="39"/>
        <v>5662</v>
      </c>
      <c r="L480" s="121"/>
    </row>
    <row r="481" spans="2:12" x14ac:dyDescent="0.35">
      <c r="B481" s="111">
        <f t="shared" si="36"/>
        <v>471</v>
      </c>
      <c r="C481" s="82" t="s">
        <v>71</v>
      </c>
      <c r="D481" s="81" t="s">
        <v>32</v>
      </c>
      <c r="E481" s="78">
        <v>1</v>
      </c>
      <c r="F481" s="65">
        <f>7000*1.2</f>
        <v>8400</v>
      </c>
      <c r="G481" s="65"/>
      <c r="H481" s="65">
        <f t="shared" si="40"/>
        <v>8400</v>
      </c>
      <c r="I481" s="79">
        <f t="shared" si="37"/>
        <v>8400</v>
      </c>
      <c r="J481" s="79">
        <f t="shared" si="38"/>
        <v>0</v>
      </c>
      <c r="K481" s="79">
        <f t="shared" si="39"/>
        <v>8400</v>
      </c>
      <c r="L481" s="121"/>
    </row>
    <row r="482" spans="2:12" x14ac:dyDescent="0.35">
      <c r="B482" s="111">
        <f t="shared" si="36"/>
        <v>472</v>
      </c>
      <c r="C482" s="82" t="s">
        <v>101</v>
      </c>
      <c r="D482" s="81" t="s">
        <v>26</v>
      </c>
      <c r="E482" s="78">
        <v>0.06</v>
      </c>
      <c r="F482" s="65">
        <v>7300</v>
      </c>
      <c r="G482" s="65"/>
      <c r="H482" s="65">
        <f t="shared" si="40"/>
        <v>7300</v>
      </c>
      <c r="I482" s="79">
        <f t="shared" si="37"/>
        <v>438</v>
      </c>
      <c r="J482" s="79">
        <f t="shared" si="38"/>
        <v>0</v>
      </c>
      <c r="K482" s="79">
        <f t="shared" si="39"/>
        <v>438</v>
      </c>
      <c r="L482" s="121"/>
    </row>
    <row r="483" spans="2:12" ht="31" x14ac:dyDescent="0.35">
      <c r="B483" s="111">
        <f t="shared" si="36"/>
        <v>473</v>
      </c>
      <c r="C483" s="64" t="s">
        <v>179</v>
      </c>
      <c r="D483" s="81" t="s">
        <v>26</v>
      </c>
      <c r="E483" s="78">
        <v>1.2</v>
      </c>
      <c r="F483" s="65"/>
      <c r="G483" s="65">
        <v>5860</v>
      </c>
      <c r="H483" s="65">
        <f t="shared" si="40"/>
        <v>5860</v>
      </c>
      <c r="I483" s="79">
        <f t="shared" si="37"/>
        <v>0</v>
      </c>
      <c r="J483" s="79">
        <f t="shared" si="38"/>
        <v>7032</v>
      </c>
      <c r="K483" s="79">
        <f t="shared" si="39"/>
        <v>7032</v>
      </c>
      <c r="L483" s="121"/>
    </row>
    <row r="484" spans="2:12" x14ac:dyDescent="0.35">
      <c r="B484" s="111">
        <f t="shared" si="36"/>
        <v>474</v>
      </c>
      <c r="C484" s="82" t="s">
        <v>75</v>
      </c>
      <c r="D484" s="81" t="s">
        <v>26</v>
      </c>
      <c r="E484" s="78">
        <v>1.22</v>
      </c>
      <c r="F484" s="65">
        <v>7100</v>
      </c>
      <c r="G484" s="65"/>
      <c r="H484" s="65">
        <f t="shared" si="40"/>
        <v>7100</v>
      </c>
      <c r="I484" s="79">
        <f t="shared" si="37"/>
        <v>8662</v>
      </c>
      <c r="J484" s="79">
        <f t="shared" si="38"/>
        <v>0</v>
      </c>
      <c r="K484" s="79">
        <f t="shared" si="39"/>
        <v>8662</v>
      </c>
      <c r="L484" s="121"/>
    </row>
    <row r="485" spans="2:12" ht="31" x14ac:dyDescent="0.35">
      <c r="B485" s="111">
        <f t="shared" si="36"/>
        <v>475</v>
      </c>
      <c r="C485" s="64" t="s">
        <v>78</v>
      </c>
      <c r="D485" s="81" t="s">
        <v>32</v>
      </c>
      <c r="E485" s="78">
        <v>8</v>
      </c>
      <c r="F485" s="65"/>
      <c r="G485" s="65">
        <v>5662</v>
      </c>
      <c r="H485" s="65">
        <f t="shared" si="40"/>
        <v>5662</v>
      </c>
      <c r="I485" s="79">
        <f t="shared" si="37"/>
        <v>0</v>
      </c>
      <c r="J485" s="79">
        <f t="shared" si="38"/>
        <v>45296</v>
      </c>
      <c r="K485" s="79">
        <f t="shared" si="39"/>
        <v>45296</v>
      </c>
      <c r="L485" s="121"/>
    </row>
    <row r="486" spans="2:12" x14ac:dyDescent="0.35">
      <c r="B486" s="111">
        <f t="shared" si="36"/>
        <v>476</v>
      </c>
      <c r="C486" s="82" t="s">
        <v>76</v>
      </c>
      <c r="D486" s="81" t="s">
        <v>32</v>
      </c>
      <c r="E486" s="78">
        <v>6</v>
      </c>
      <c r="F486" s="65">
        <f>7000*1.2</f>
        <v>8400</v>
      </c>
      <c r="G486" s="65"/>
      <c r="H486" s="65">
        <f t="shared" si="40"/>
        <v>8400</v>
      </c>
      <c r="I486" s="79">
        <f t="shared" si="37"/>
        <v>50400</v>
      </c>
      <c r="J486" s="79">
        <f t="shared" si="38"/>
        <v>0</v>
      </c>
      <c r="K486" s="79">
        <f t="shared" si="39"/>
        <v>50400</v>
      </c>
      <c r="L486" s="121"/>
    </row>
    <row r="487" spans="2:12" x14ac:dyDescent="0.35">
      <c r="B487" s="111">
        <f t="shared" si="36"/>
        <v>477</v>
      </c>
      <c r="C487" s="82" t="s">
        <v>81</v>
      </c>
      <c r="D487" s="81" t="s">
        <v>32</v>
      </c>
      <c r="E487" s="78">
        <v>1</v>
      </c>
      <c r="F487" s="65">
        <f>900*1.2</f>
        <v>1080</v>
      </c>
      <c r="G487" s="65"/>
      <c r="H487" s="65">
        <f t="shared" si="40"/>
        <v>1080</v>
      </c>
      <c r="I487" s="79">
        <f t="shared" si="37"/>
        <v>1080</v>
      </c>
      <c r="J487" s="79">
        <f t="shared" si="38"/>
        <v>0</v>
      </c>
      <c r="K487" s="79">
        <f t="shared" si="39"/>
        <v>1080</v>
      </c>
      <c r="L487" s="121"/>
    </row>
    <row r="488" spans="2:12" x14ac:dyDescent="0.35">
      <c r="B488" s="111">
        <f t="shared" si="36"/>
        <v>478</v>
      </c>
      <c r="C488" s="82" t="s">
        <v>80</v>
      </c>
      <c r="D488" s="81" t="s">
        <v>32</v>
      </c>
      <c r="E488" s="78">
        <v>1</v>
      </c>
      <c r="F488" s="65">
        <f>1200*1.2</f>
        <v>1440</v>
      </c>
      <c r="G488" s="65"/>
      <c r="H488" s="65">
        <f t="shared" si="40"/>
        <v>1440</v>
      </c>
      <c r="I488" s="79">
        <f t="shared" si="37"/>
        <v>1440</v>
      </c>
      <c r="J488" s="79">
        <f t="shared" si="38"/>
        <v>0</v>
      </c>
      <c r="K488" s="79">
        <f t="shared" si="39"/>
        <v>1440</v>
      </c>
      <c r="L488" s="121"/>
    </row>
    <row r="489" spans="2:12" ht="31" x14ac:dyDescent="0.35">
      <c r="B489" s="111">
        <f t="shared" si="36"/>
        <v>479</v>
      </c>
      <c r="C489" s="64" t="s">
        <v>85</v>
      </c>
      <c r="D489" s="81" t="s">
        <v>32</v>
      </c>
      <c r="E489" s="78">
        <v>1</v>
      </c>
      <c r="F489" s="65"/>
      <c r="G489" s="65">
        <v>2500</v>
      </c>
      <c r="H489" s="65">
        <f t="shared" si="40"/>
        <v>2500</v>
      </c>
      <c r="I489" s="79">
        <f t="shared" si="37"/>
        <v>0</v>
      </c>
      <c r="J489" s="79">
        <f t="shared" si="38"/>
        <v>2500</v>
      </c>
      <c r="K489" s="79">
        <f t="shared" si="39"/>
        <v>2500</v>
      </c>
      <c r="L489" s="121"/>
    </row>
    <row r="490" spans="2:12" x14ac:dyDescent="0.35">
      <c r="B490" s="111">
        <f t="shared" si="36"/>
        <v>480</v>
      </c>
      <c r="C490" s="82" t="s">
        <v>137</v>
      </c>
      <c r="D490" s="81" t="s">
        <v>32</v>
      </c>
      <c r="E490" s="78">
        <v>1</v>
      </c>
      <c r="F490" s="65">
        <f>7000*1.2</f>
        <v>8400</v>
      </c>
      <c r="G490" s="65"/>
      <c r="H490" s="65">
        <f t="shared" si="40"/>
        <v>8400</v>
      </c>
      <c r="I490" s="79">
        <f t="shared" si="37"/>
        <v>8400</v>
      </c>
      <c r="J490" s="79">
        <f t="shared" si="38"/>
        <v>0</v>
      </c>
      <c r="K490" s="79">
        <f t="shared" si="39"/>
        <v>8400</v>
      </c>
      <c r="L490" s="121"/>
    </row>
    <row r="491" spans="2:12" ht="31" x14ac:dyDescent="0.35">
      <c r="B491" s="111">
        <f t="shared" si="36"/>
        <v>481</v>
      </c>
      <c r="C491" s="64" t="s">
        <v>316</v>
      </c>
      <c r="D491" s="81" t="s">
        <v>32</v>
      </c>
      <c r="E491" s="78">
        <v>1</v>
      </c>
      <c r="F491" s="65"/>
      <c r="G491" s="65"/>
      <c r="H491" s="65">
        <f t="shared" si="40"/>
        <v>0</v>
      </c>
      <c r="I491" s="79">
        <f t="shared" si="37"/>
        <v>0</v>
      </c>
      <c r="J491" s="79">
        <f t="shared" si="38"/>
        <v>0</v>
      </c>
      <c r="K491" s="79">
        <f t="shared" si="39"/>
        <v>0</v>
      </c>
      <c r="L491" s="121"/>
    </row>
    <row r="492" spans="2:12" x14ac:dyDescent="0.35">
      <c r="B492" s="111">
        <f t="shared" si="36"/>
        <v>482</v>
      </c>
      <c r="C492" s="82" t="s">
        <v>84</v>
      </c>
      <c r="D492" s="81" t="s">
        <v>32</v>
      </c>
      <c r="E492" s="78">
        <v>1</v>
      </c>
      <c r="F492" s="65">
        <v>1300</v>
      </c>
      <c r="G492" s="65">
        <v>990</v>
      </c>
      <c r="H492" s="65">
        <f t="shared" si="40"/>
        <v>2290</v>
      </c>
      <c r="I492" s="79">
        <f t="shared" si="37"/>
        <v>1300</v>
      </c>
      <c r="J492" s="79">
        <f t="shared" si="38"/>
        <v>990</v>
      </c>
      <c r="K492" s="79">
        <f t="shared" si="39"/>
        <v>2290</v>
      </c>
      <c r="L492" s="121"/>
    </row>
    <row r="493" spans="2:12" x14ac:dyDescent="0.35">
      <c r="B493" s="111">
        <f t="shared" si="36"/>
        <v>483</v>
      </c>
      <c r="C493" s="80" t="s">
        <v>301</v>
      </c>
      <c r="D493" s="81" t="s">
        <v>32</v>
      </c>
      <c r="E493" s="78">
        <v>1</v>
      </c>
      <c r="F493" s="65">
        <v>6000</v>
      </c>
      <c r="G493" s="65">
        <v>1464.09</v>
      </c>
      <c r="H493" s="65">
        <f t="shared" si="40"/>
        <v>7464.09</v>
      </c>
      <c r="I493" s="79">
        <f t="shared" si="37"/>
        <v>6000</v>
      </c>
      <c r="J493" s="79">
        <f t="shared" si="38"/>
        <v>1464.09</v>
      </c>
      <c r="K493" s="79">
        <f t="shared" si="39"/>
        <v>7464.09</v>
      </c>
      <c r="L493" s="121"/>
    </row>
    <row r="494" spans="2:12" ht="31" x14ac:dyDescent="0.35">
      <c r="B494" s="111">
        <f t="shared" si="36"/>
        <v>484</v>
      </c>
      <c r="C494" s="64" t="s">
        <v>156</v>
      </c>
      <c r="D494" s="81" t="s">
        <v>25</v>
      </c>
      <c r="E494" s="78">
        <f>44.69+3.8</f>
        <v>48.489999999999995</v>
      </c>
      <c r="F494" s="65">
        <v>68.5</v>
      </c>
      <c r="G494" s="65">
        <v>150</v>
      </c>
      <c r="H494" s="65">
        <f t="shared" si="40"/>
        <v>218.5</v>
      </c>
      <c r="I494" s="79">
        <f t="shared" si="37"/>
        <v>3321.57</v>
      </c>
      <c r="J494" s="79">
        <f t="shared" si="38"/>
        <v>7273.5</v>
      </c>
      <c r="K494" s="79">
        <f t="shared" si="39"/>
        <v>10595.07</v>
      </c>
      <c r="L494" s="121"/>
    </row>
    <row r="495" spans="2:12" ht="46.5" x14ac:dyDescent="0.35">
      <c r="B495" s="111">
        <f t="shared" si="36"/>
        <v>485</v>
      </c>
      <c r="C495" s="64" t="s">
        <v>157</v>
      </c>
      <c r="D495" s="81" t="s">
        <v>25</v>
      </c>
      <c r="E495" s="78">
        <f>44.69+3.8</f>
        <v>48.489999999999995</v>
      </c>
      <c r="F495" s="65">
        <v>927</v>
      </c>
      <c r="G495" s="65">
        <v>400</v>
      </c>
      <c r="H495" s="65">
        <f t="shared" si="40"/>
        <v>1327</v>
      </c>
      <c r="I495" s="79">
        <f t="shared" si="37"/>
        <v>44950.23</v>
      </c>
      <c r="J495" s="79">
        <f t="shared" si="38"/>
        <v>19396</v>
      </c>
      <c r="K495" s="79">
        <f t="shared" si="39"/>
        <v>64346.23</v>
      </c>
      <c r="L495" s="121"/>
    </row>
    <row r="496" spans="2:12" x14ac:dyDescent="0.35">
      <c r="B496" s="111">
        <f t="shared" si="36"/>
        <v>486</v>
      </c>
      <c r="C496" s="64" t="s">
        <v>317</v>
      </c>
      <c r="D496" s="81" t="s">
        <v>32</v>
      </c>
      <c r="E496" s="78">
        <v>1</v>
      </c>
      <c r="F496" s="65"/>
      <c r="G496" s="65"/>
      <c r="H496" s="65">
        <f t="shared" si="40"/>
        <v>0</v>
      </c>
      <c r="I496" s="79">
        <f t="shared" si="37"/>
        <v>0</v>
      </c>
      <c r="J496" s="79">
        <f t="shared" si="38"/>
        <v>0</v>
      </c>
      <c r="K496" s="79">
        <f t="shared" si="39"/>
        <v>0</v>
      </c>
      <c r="L496" s="121"/>
    </row>
    <row r="497" spans="2:12" x14ac:dyDescent="0.35">
      <c r="B497" s="111">
        <f t="shared" si="36"/>
        <v>487</v>
      </c>
      <c r="C497" s="82" t="s">
        <v>318</v>
      </c>
      <c r="D497" s="81" t="s">
        <v>31</v>
      </c>
      <c r="E497" s="78">
        <v>49.36</v>
      </c>
      <c r="F497" s="68">
        <v>71</v>
      </c>
      <c r="G497" s="65">
        <v>97.61</v>
      </c>
      <c r="H497" s="65">
        <f t="shared" si="40"/>
        <v>168.61</v>
      </c>
      <c r="I497" s="79">
        <f t="shared" si="37"/>
        <v>3504.56</v>
      </c>
      <c r="J497" s="79">
        <f t="shared" si="38"/>
        <v>4818.03</v>
      </c>
      <c r="K497" s="79">
        <f t="shared" si="39"/>
        <v>8322.59</v>
      </c>
      <c r="L497" s="121"/>
    </row>
    <row r="498" spans="2:12" x14ac:dyDescent="0.35">
      <c r="B498" s="111">
        <f t="shared" si="36"/>
        <v>488</v>
      </c>
      <c r="C498" s="64" t="s">
        <v>93</v>
      </c>
      <c r="D498" s="81" t="s">
        <v>32</v>
      </c>
      <c r="E498" s="78">
        <v>3</v>
      </c>
      <c r="F498" s="65"/>
      <c r="G498" s="65"/>
      <c r="H498" s="65">
        <f t="shared" si="40"/>
        <v>0</v>
      </c>
      <c r="I498" s="79">
        <f t="shared" si="37"/>
        <v>0</v>
      </c>
      <c r="J498" s="79">
        <f t="shared" si="38"/>
        <v>0</v>
      </c>
      <c r="K498" s="79">
        <f t="shared" si="39"/>
        <v>0</v>
      </c>
      <c r="L498" s="121"/>
    </row>
    <row r="499" spans="2:12" x14ac:dyDescent="0.35">
      <c r="B499" s="111">
        <f t="shared" si="36"/>
        <v>489</v>
      </c>
      <c r="C499" s="82" t="s">
        <v>94</v>
      </c>
      <c r="D499" s="81" t="s">
        <v>31</v>
      </c>
      <c r="E499" s="78">
        <f>0.82*E498</f>
        <v>2.46</v>
      </c>
      <c r="F499" s="68">
        <v>71</v>
      </c>
      <c r="G499" s="65">
        <v>97.61</v>
      </c>
      <c r="H499" s="65">
        <f t="shared" si="40"/>
        <v>168.61</v>
      </c>
      <c r="I499" s="79">
        <f t="shared" si="37"/>
        <v>174.66</v>
      </c>
      <c r="J499" s="79">
        <f t="shared" si="38"/>
        <v>240.12</v>
      </c>
      <c r="K499" s="79">
        <f t="shared" si="39"/>
        <v>414.78</v>
      </c>
      <c r="L499" s="121"/>
    </row>
    <row r="500" spans="2:12" ht="31" x14ac:dyDescent="0.35">
      <c r="B500" s="111">
        <f t="shared" si="36"/>
        <v>490</v>
      </c>
      <c r="C500" s="64" t="s">
        <v>153</v>
      </c>
      <c r="D500" s="81" t="s">
        <v>32</v>
      </c>
      <c r="E500" s="78">
        <v>2</v>
      </c>
      <c r="F500" s="65"/>
      <c r="G500" s="65">
        <v>1464</v>
      </c>
      <c r="H500" s="65">
        <f t="shared" si="40"/>
        <v>1464</v>
      </c>
      <c r="I500" s="79">
        <f t="shared" si="37"/>
        <v>0</v>
      </c>
      <c r="J500" s="79">
        <f t="shared" si="38"/>
        <v>2928</v>
      </c>
      <c r="K500" s="79">
        <f t="shared" si="39"/>
        <v>2928</v>
      </c>
      <c r="L500" s="121"/>
    </row>
    <row r="501" spans="2:12" ht="33" x14ac:dyDescent="0.35">
      <c r="B501" s="111">
        <f t="shared" si="36"/>
        <v>491</v>
      </c>
      <c r="C501" s="64" t="s">
        <v>362</v>
      </c>
      <c r="D501" s="81" t="s">
        <v>26</v>
      </c>
      <c r="E501" s="78">
        <f>77.93-24.58</f>
        <v>53.350000000000009</v>
      </c>
      <c r="F501" s="65"/>
      <c r="G501" s="65">
        <v>439</v>
      </c>
      <c r="H501" s="65">
        <f t="shared" si="40"/>
        <v>439</v>
      </c>
      <c r="I501" s="79">
        <f t="shared" si="37"/>
        <v>0</v>
      </c>
      <c r="J501" s="79">
        <f t="shared" si="38"/>
        <v>23420.65</v>
      </c>
      <c r="K501" s="79">
        <f t="shared" si="39"/>
        <v>23420.65</v>
      </c>
      <c r="L501" s="121"/>
    </row>
    <row r="502" spans="2:12" ht="30" x14ac:dyDescent="0.35">
      <c r="B502" s="111">
        <f t="shared" si="36"/>
        <v>492</v>
      </c>
      <c r="C502" s="98" t="s">
        <v>213</v>
      </c>
      <c r="D502" s="99" t="s">
        <v>27</v>
      </c>
      <c r="E502" s="100" t="s">
        <v>214</v>
      </c>
      <c r="F502" s="101"/>
      <c r="G502" s="101"/>
      <c r="H502" s="101">
        <f t="shared" si="40"/>
        <v>0</v>
      </c>
      <c r="I502" s="101">
        <f t="shared" si="37"/>
        <v>0</v>
      </c>
      <c r="J502" s="101">
        <f t="shared" si="38"/>
        <v>0</v>
      </c>
      <c r="K502" s="101">
        <f t="shared" si="39"/>
        <v>0</v>
      </c>
      <c r="L502" s="102"/>
    </row>
    <row r="503" spans="2:12" ht="31" x14ac:dyDescent="0.35">
      <c r="B503" s="111">
        <f t="shared" si="36"/>
        <v>493</v>
      </c>
      <c r="C503" s="64" t="s">
        <v>348</v>
      </c>
      <c r="D503" s="77" t="s">
        <v>26</v>
      </c>
      <c r="E503" s="78">
        <f>94.63*0.97</f>
        <v>91.7911</v>
      </c>
      <c r="F503" s="65"/>
      <c r="G503" s="65">
        <v>300</v>
      </c>
      <c r="H503" s="65">
        <f t="shared" si="40"/>
        <v>300</v>
      </c>
      <c r="I503" s="79">
        <f t="shared" si="37"/>
        <v>0</v>
      </c>
      <c r="J503" s="79">
        <f t="shared" si="38"/>
        <v>27537.33</v>
      </c>
      <c r="K503" s="79">
        <f t="shared" si="39"/>
        <v>27537.33</v>
      </c>
      <c r="L503" s="121"/>
    </row>
    <row r="504" spans="2:12" x14ac:dyDescent="0.35">
      <c r="B504" s="111">
        <f t="shared" si="36"/>
        <v>494</v>
      </c>
      <c r="C504" s="64" t="s">
        <v>19</v>
      </c>
      <c r="D504" s="77" t="s">
        <v>26</v>
      </c>
      <c r="E504" s="78">
        <f>E503/97*3</f>
        <v>2.8389000000000002</v>
      </c>
      <c r="F504" s="65"/>
      <c r="G504" s="65">
        <v>1500</v>
      </c>
      <c r="H504" s="65">
        <f t="shared" si="40"/>
        <v>1500</v>
      </c>
      <c r="I504" s="79">
        <f t="shared" si="37"/>
        <v>0</v>
      </c>
      <c r="J504" s="79">
        <f t="shared" si="38"/>
        <v>4258.3500000000004</v>
      </c>
      <c r="K504" s="79">
        <f t="shared" si="39"/>
        <v>4258.3500000000004</v>
      </c>
      <c r="L504" s="121"/>
    </row>
    <row r="505" spans="2:12" x14ac:dyDescent="0.35">
      <c r="B505" s="111">
        <f t="shared" si="36"/>
        <v>495</v>
      </c>
      <c r="C505" s="64" t="s">
        <v>184</v>
      </c>
      <c r="D505" s="77" t="s">
        <v>25</v>
      </c>
      <c r="E505" s="78">
        <f>E502*0.75</f>
        <v>3.75</v>
      </c>
      <c r="F505" s="65"/>
      <c r="G505" s="65"/>
      <c r="H505" s="65">
        <f t="shared" si="40"/>
        <v>0</v>
      </c>
      <c r="I505" s="79">
        <f t="shared" si="37"/>
        <v>0</v>
      </c>
      <c r="J505" s="79">
        <f t="shared" si="38"/>
        <v>0</v>
      </c>
      <c r="K505" s="79">
        <f t="shared" si="39"/>
        <v>0</v>
      </c>
      <c r="L505" s="121"/>
    </row>
    <row r="506" spans="2:12" ht="31" x14ac:dyDescent="0.35">
      <c r="B506" s="111">
        <f t="shared" si="36"/>
        <v>496</v>
      </c>
      <c r="C506" s="64" t="s">
        <v>194</v>
      </c>
      <c r="D506" s="77" t="s">
        <v>25</v>
      </c>
      <c r="E506" s="78">
        <f>E502*0.48</f>
        <v>2.4</v>
      </c>
      <c r="F506" s="65">
        <f>1973*0.15</f>
        <v>295.95</v>
      </c>
      <c r="G506" s="65">
        <f>1500*0.15</f>
        <v>225</v>
      </c>
      <c r="H506" s="65">
        <f t="shared" si="40"/>
        <v>520.95000000000005</v>
      </c>
      <c r="I506" s="79">
        <f t="shared" si="37"/>
        <v>710.28</v>
      </c>
      <c r="J506" s="79">
        <f t="shared" si="38"/>
        <v>540</v>
      </c>
      <c r="K506" s="79">
        <f t="shared" si="39"/>
        <v>1250.28</v>
      </c>
      <c r="L506" s="121"/>
    </row>
    <row r="507" spans="2:12" x14ac:dyDescent="0.35">
      <c r="B507" s="111">
        <f t="shared" si="36"/>
        <v>497</v>
      </c>
      <c r="C507" s="64" t="s">
        <v>20</v>
      </c>
      <c r="D507" s="77" t="s">
        <v>26</v>
      </c>
      <c r="E507" s="78">
        <f>0.34*E502*0.1</f>
        <v>0.17000000000000004</v>
      </c>
      <c r="F507" s="65"/>
      <c r="G507" s="65">
        <v>5860</v>
      </c>
      <c r="H507" s="65">
        <f t="shared" si="40"/>
        <v>5860</v>
      </c>
      <c r="I507" s="79">
        <f t="shared" si="37"/>
        <v>0</v>
      </c>
      <c r="J507" s="79">
        <f t="shared" si="38"/>
        <v>996.2</v>
      </c>
      <c r="K507" s="79">
        <f t="shared" si="39"/>
        <v>996.2</v>
      </c>
      <c r="L507" s="121"/>
    </row>
    <row r="508" spans="2:12" x14ac:dyDescent="0.35">
      <c r="B508" s="111">
        <f t="shared" si="36"/>
        <v>498</v>
      </c>
      <c r="C508" s="80" t="s">
        <v>159</v>
      </c>
      <c r="D508" s="77" t="s">
        <v>26</v>
      </c>
      <c r="E508" s="78">
        <f>E507*1.02</f>
        <v>0.17340000000000005</v>
      </c>
      <c r="F508" s="65">
        <v>6700</v>
      </c>
      <c r="G508" s="65"/>
      <c r="H508" s="65">
        <f t="shared" si="40"/>
        <v>6700</v>
      </c>
      <c r="I508" s="79">
        <f t="shared" si="37"/>
        <v>1161.78</v>
      </c>
      <c r="J508" s="79">
        <f t="shared" si="38"/>
        <v>0</v>
      </c>
      <c r="K508" s="79">
        <f t="shared" si="39"/>
        <v>1161.78</v>
      </c>
      <c r="L508" s="121"/>
    </row>
    <row r="509" spans="2:12" x14ac:dyDescent="0.35">
      <c r="B509" s="111">
        <f t="shared" si="36"/>
        <v>499</v>
      </c>
      <c r="C509" s="64" t="s">
        <v>28</v>
      </c>
      <c r="D509" s="77" t="s">
        <v>26</v>
      </c>
      <c r="E509" s="78">
        <f>0.8*E502*0.1</f>
        <v>0.4</v>
      </c>
      <c r="F509" s="65"/>
      <c r="G509" s="65">
        <v>5860</v>
      </c>
      <c r="H509" s="65">
        <f t="shared" si="40"/>
        <v>5860</v>
      </c>
      <c r="I509" s="79">
        <f t="shared" si="37"/>
        <v>0</v>
      </c>
      <c r="J509" s="79">
        <f t="shared" si="38"/>
        <v>2344</v>
      </c>
      <c r="K509" s="79">
        <f t="shared" si="39"/>
        <v>2344</v>
      </c>
      <c r="L509" s="121"/>
    </row>
    <row r="510" spans="2:12" x14ac:dyDescent="0.35">
      <c r="B510" s="111">
        <f t="shared" si="36"/>
        <v>500</v>
      </c>
      <c r="C510" s="80" t="s">
        <v>29</v>
      </c>
      <c r="D510" s="77" t="s">
        <v>26</v>
      </c>
      <c r="E510" s="78">
        <f>E509*1.02</f>
        <v>0.40800000000000003</v>
      </c>
      <c r="F510" s="65">
        <v>7100</v>
      </c>
      <c r="G510" s="65"/>
      <c r="H510" s="65">
        <f t="shared" si="40"/>
        <v>7100</v>
      </c>
      <c r="I510" s="79">
        <f t="shared" si="37"/>
        <v>2896.8</v>
      </c>
      <c r="J510" s="79">
        <f t="shared" si="38"/>
        <v>0</v>
      </c>
      <c r="K510" s="79">
        <f t="shared" si="39"/>
        <v>2896.8</v>
      </c>
      <c r="L510" s="121"/>
    </row>
    <row r="511" spans="2:12" x14ac:dyDescent="0.35">
      <c r="B511" s="111">
        <f t="shared" si="36"/>
        <v>501</v>
      </c>
      <c r="C511" s="80" t="s">
        <v>30</v>
      </c>
      <c r="D511" s="77" t="s">
        <v>31</v>
      </c>
      <c r="E511" s="78">
        <f>31.39*E502*0.1</f>
        <v>15.695</v>
      </c>
      <c r="F511" s="65">
        <v>118.9</v>
      </c>
      <c r="G511" s="65"/>
      <c r="H511" s="65">
        <f t="shared" si="40"/>
        <v>118.9</v>
      </c>
      <c r="I511" s="79">
        <f t="shared" si="37"/>
        <v>1866.14</v>
      </c>
      <c r="J511" s="79">
        <f t="shared" si="38"/>
        <v>0</v>
      </c>
      <c r="K511" s="79">
        <f t="shared" si="39"/>
        <v>1866.14</v>
      </c>
      <c r="L511" s="121"/>
    </row>
    <row r="512" spans="2:12" x14ac:dyDescent="0.35">
      <c r="B512" s="111">
        <f t="shared" si="36"/>
        <v>502</v>
      </c>
      <c r="C512" s="64" t="s">
        <v>189</v>
      </c>
      <c r="D512" s="77" t="s">
        <v>27</v>
      </c>
      <c r="E512" s="78" t="str">
        <f>E502</f>
        <v>5,0</v>
      </c>
      <c r="F512" s="65"/>
      <c r="G512" s="65">
        <v>2928</v>
      </c>
      <c r="H512" s="65">
        <f t="shared" si="40"/>
        <v>2928</v>
      </c>
      <c r="I512" s="79">
        <f t="shared" si="37"/>
        <v>0</v>
      </c>
      <c r="J512" s="79">
        <f t="shared" si="38"/>
        <v>14640</v>
      </c>
      <c r="K512" s="79">
        <f t="shared" si="39"/>
        <v>14640</v>
      </c>
      <c r="L512" s="121"/>
    </row>
    <row r="513" spans="2:12" ht="31" x14ac:dyDescent="0.35">
      <c r="B513" s="111">
        <f t="shared" si="36"/>
        <v>503</v>
      </c>
      <c r="C513" s="80" t="s">
        <v>195</v>
      </c>
      <c r="D513" s="77" t="s">
        <v>27</v>
      </c>
      <c r="E513" s="78">
        <f>E512*1.1</f>
        <v>5.5</v>
      </c>
      <c r="F513" s="65">
        <v>855</v>
      </c>
      <c r="G513" s="65"/>
      <c r="H513" s="65">
        <f t="shared" si="40"/>
        <v>855</v>
      </c>
      <c r="I513" s="79">
        <f t="shared" si="37"/>
        <v>4702.5</v>
      </c>
      <c r="J513" s="79">
        <f t="shared" si="38"/>
        <v>0</v>
      </c>
      <c r="K513" s="79">
        <f t="shared" si="39"/>
        <v>4702.5</v>
      </c>
      <c r="L513" s="121"/>
    </row>
    <row r="514" spans="2:12" ht="33" x14ac:dyDescent="0.35">
      <c r="B514" s="111">
        <f t="shared" si="36"/>
        <v>504</v>
      </c>
      <c r="C514" s="64" t="s">
        <v>355</v>
      </c>
      <c r="D514" s="81" t="s">
        <v>26</v>
      </c>
      <c r="E514" s="78">
        <v>77.260000000000005</v>
      </c>
      <c r="F514" s="65"/>
      <c r="G514" s="65">
        <v>439</v>
      </c>
      <c r="H514" s="65">
        <f t="shared" si="40"/>
        <v>439</v>
      </c>
      <c r="I514" s="79">
        <f t="shared" si="37"/>
        <v>0</v>
      </c>
      <c r="J514" s="79">
        <f t="shared" si="38"/>
        <v>33917.14</v>
      </c>
      <c r="K514" s="79">
        <f t="shared" si="39"/>
        <v>33917.14</v>
      </c>
      <c r="L514" s="121"/>
    </row>
    <row r="515" spans="2:12" ht="29.4" customHeight="1" x14ac:dyDescent="0.35">
      <c r="B515" s="111">
        <f t="shared" si="36"/>
        <v>505</v>
      </c>
      <c r="C515" s="98" t="s">
        <v>215</v>
      </c>
      <c r="D515" s="103" t="s">
        <v>32</v>
      </c>
      <c r="E515" s="100">
        <v>1</v>
      </c>
      <c r="F515" s="101"/>
      <c r="G515" s="101"/>
      <c r="H515" s="101">
        <f t="shared" si="40"/>
        <v>0</v>
      </c>
      <c r="I515" s="101">
        <f t="shared" si="37"/>
        <v>0</v>
      </c>
      <c r="J515" s="101">
        <f t="shared" si="38"/>
        <v>0</v>
      </c>
      <c r="K515" s="101">
        <f t="shared" si="39"/>
        <v>0</v>
      </c>
      <c r="L515" s="102"/>
    </row>
    <row r="516" spans="2:12" ht="31" x14ac:dyDescent="0.35">
      <c r="B516" s="111">
        <f t="shared" si="36"/>
        <v>506</v>
      </c>
      <c r="C516" s="64" t="s">
        <v>348</v>
      </c>
      <c r="D516" s="81" t="s">
        <v>26</v>
      </c>
      <c r="E516" s="78">
        <f>81.56*0.97</f>
        <v>79.113200000000006</v>
      </c>
      <c r="F516" s="65"/>
      <c r="G516" s="65">
        <v>300</v>
      </c>
      <c r="H516" s="65">
        <f t="shared" si="40"/>
        <v>300</v>
      </c>
      <c r="I516" s="79">
        <f t="shared" si="37"/>
        <v>0</v>
      </c>
      <c r="J516" s="79">
        <f t="shared" si="38"/>
        <v>23733.96</v>
      </c>
      <c r="K516" s="79">
        <f t="shared" si="39"/>
        <v>23733.96</v>
      </c>
      <c r="L516" s="121"/>
    </row>
    <row r="517" spans="2:12" x14ac:dyDescent="0.35">
      <c r="B517" s="111">
        <f t="shared" si="36"/>
        <v>507</v>
      </c>
      <c r="C517" s="64" t="s">
        <v>19</v>
      </c>
      <c r="D517" s="81" t="s">
        <v>26</v>
      </c>
      <c r="E517" s="78">
        <f>E516/9</f>
        <v>8.790355555555557</v>
      </c>
      <c r="F517" s="65"/>
      <c r="G517" s="65">
        <v>1500</v>
      </c>
      <c r="H517" s="65">
        <f t="shared" si="40"/>
        <v>1500</v>
      </c>
      <c r="I517" s="79">
        <f t="shared" si="37"/>
        <v>0</v>
      </c>
      <c r="J517" s="79">
        <f t="shared" si="38"/>
        <v>13185.53</v>
      </c>
      <c r="K517" s="79">
        <f t="shared" si="39"/>
        <v>13185.53</v>
      </c>
      <c r="L517" s="121"/>
    </row>
    <row r="518" spans="2:12" x14ac:dyDescent="0.35">
      <c r="B518" s="111">
        <f t="shared" si="36"/>
        <v>508</v>
      </c>
      <c r="C518" s="64" t="s">
        <v>67</v>
      </c>
      <c r="D518" s="81" t="s">
        <v>25</v>
      </c>
      <c r="E518" s="78">
        <v>6.6</v>
      </c>
      <c r="F518" s="65"/>
      <c r="G518" s="65"/>
      <c r="H518" s="65">
        <f t="shared" si="40"/>
        <v>0</v>
      </c>
      <c r="I518" s="79">
        <f t="shared" si="37"/>
        <v>0</v>
      </c>
      <c r="J518" s="79">
        <f t="shared" si="38"/>
        <v>0</v>
      </c>
      <c r="K518" s="79">
        <f t="shared" si="39"/>
        <v>0</v>
      </c>
      <c r="L518" s="121"/>
    </row>
    <row r="519" spans="2:12" x14ac:dyDescent="0.35">
      <c r="B519" s="111">
        <f t="shared" si="36"/>
        <v>509</v>
      </c>
      <c r="C519" s="64" t="s">
        <v>68</v>
      </c>
      <c r="D519" s="81" t="s">
        <v>26</v>
      </c>
      <c r="E519" s="78">
        <f>E518*0.1</f>
        <v>0.66</v>
      </c>
      <c r="F519" s="65"/>
      <c r="G519" s="65">
        <v>5860</v>
      </c>
      <c r="H519" s="65">
        <f t="shared" si="40"/>
        <v>5860</v>
      </c>
      <c r="I519" s="79">
        <f t="shared" si="37"/>
        <v>0</v>
      </c>
      <c r="J519" s="79">
        <f t="shared" si="38"/>
        <v>3867.6</v>
      </c>
      <c r="K519" s="79">
        <f t="shared" si="39"/>
        <v>3867.6</v>
      </c>
      <c r="L519" s="121"/>
    </row>
    <row r="520" spans="2:12" x14ac:dyDescent="0.35">
      <c r="B520" s="111">
        <f t="shared" si="36"/>
        <v>510</v>
      </c>
      <c r="C520" s="80" t="s">
        <v>159</v>
      </c>
      <c r="D520" s="81" t="s">
        <v>26</v>
      </c>
      <c r="E520" s="78">
        <f>E519*1.02</f>
        <v>0.67320000000000002</v>
      </c>
      <c r="F520" s="65">
        <v>6700</v>
      </c>
      <c r="G520" s="65"/>
      <c r="H520" s="65">
        <f t="shared" si="40"/>
        <v>6700</v>
      </c>
      <c r="I520" s="79">
        <f t="shared" si="37"/>
        <v>4510.4399999999996</v>
      </c>
      <c r="J520" s="79">
        <f t="shared" si="38"/>
        <v>0</v>
      </c>
      <c r="K520" s="79">
        <f t="shared" si="39"/>
        <v>4510.4399999999996</v>
      </c>
      <c r="L520" s="121"/>
    </row>
    <row r="521" spans="2:12" x14ac:dyDescent="0.35">
      <c r="B521" s="111">
        <f t="shared" si="36"/>
        <v>511</v>
      </c>
      <c r="C521" s="64" t="s">
        <v>151</v>
      </c>
      <c r="D521" s="81" t="s">
        <v>25</v>
      </c>
      <c r="E521" s="78">
        <f>(3.14*2.5^2)/4</f>
        <v>4.90625</v>
      </c>
      <c r="F521" s="65">
        <v>68.5</v>
      </c>
      <c r="G521" s="65">
        <v>150</v>
      </c>
      <c r="H521" s="65">
        <f t="shared" si="40"/>
        <v>218.5</v>
      </c>
      <c r="I521" s="79">
        <f t="shared" si="37"/>
        <v>336.08</v>
      </c>
      <c r="J521" s="79">
        <f t="shared" si="38"/>
        <v>735.94</v>
      </c>
      <c r="K521" s="79">
        <f t="shared" si="39"/>
        <v>1072.02</v>
      </c>
      <c r="L521" s="121"/>
    </row>
    <row r="522" spans="2:12" ht="31" x14ac:dyDescent="0.35">
      <c r="B522" s="111">
        <f t="shared" si="36"/>
        <v>512</v>
      </c>
      <c r="C522" s="64" t="s">
        <v>152</v>
      </c>
      <c r="D522" s="81" t="s">
        <v>25</v>
      </c>
      <c r="E522" s="78">
        <f>(3.14*2.5^2)/4</f>
        <v>4.90625</v>
      </c>
      <c r="F522" s="65">
        <v>927</v>
      </c>
      <c r="G522" s="65">
        <v>400</v>
      </c>
      <c r="H522" s="65">
        <f t="shared" si="40"/>
        <v>1327</v>
      </c>
      <c r="I522" s="79">
        <f t="shared" si="37"/>
        <v>4548.09</v>
      </c>
      <c r="J522" s="79">
        <f t="shared" si="38"/>
        <v>1962.5</v>
      </c>
      <c r="K522" s="79">
        <f t="shared" si="39"/>
        <v>6510.59</v>
      </c>
      <c r="L522" s="121"/>
    </row>
    <row r="523" spans="2:12" ht="31" x14ac:dyDescent="0.35">
      <c r="B523" s="111">
        <f t="shared" si="36"/>
        <v>513</v>
      </c>
      <c r="C523" s="64" t="s">
        <v>69</v>
      </c>
      <c r="D523" s="81" t="s">
        <v>32</v>
      </c>
      <c r="E523" s="78">
        <v>1</v>
      </c>
      <c r="F523" s="65"/>
      <c r="G523" s="65">
        <v>5662</v>
      </c>
      <c r="H523" s="65">
        <f t="shared" si="40"/>
        <v>5662</v>
      </c>
      <c r="I523" s="79">
        <f t="shared" si="37"/>
        <v>0</v>
      </c>
      <c r="J523" s="79">
        <f t="shared" si="38"/>
        <v>5662</v>
      </c>
      <c r="K523" s="79">
        <f t="shared" si="39"/>
        <v>5662</v>
      </c>
      <c r="L523" s="121"/>
    </row>
    <row r="524" spans="2:12" x14ac:dyDescent="0.35">
      <c r="B524" s="111">
        <f t="shared" si="36"/>
        <v>514</v>
      </c>
      <c r="C524" s="82" t="s">
        <v>71</v>
      </c>
      <c r="D524" s="81" t="s">
        <v>32</v>
      </c>
      <c r="E524" s="78">
        <v>1</v>
      </c>
      <c r="F524" s="65">
        <f>7000*1.2</f>
        <v>8400</v>
      </c>
      <c r="G524" s="65"/>
      <c r="H524" s="65">
        <f t="shared" si="40"/>
        <v>8400</v>
      </c>
      <c r="I524" s="79">
        <f t="shared" si="37"/>
        <v>8400</v>
      </c>
      <c r="J524" s="79">
        <f t="shared" si="38"/>
        <v>0</v>
      </c>
      <c r="K524" s="79">
        <f t="shared" si="39"/>
        <v>8400</v>
      </c>
      <c r="L524" s="121"/>
    </row>
    <row r="525" spans="2:12" x14ac:dyDescent="0.35">
      <c r="B525" s="111">
        <f t="shared" ref="B525:B588" si="41">B524+1</f>
        <v>515</v>
      </c>
      <c r="C525" s="82" t="s">
        <v>101</v>
      </c>
      <c r="D525" s="81" t="s">
        <v>26</v>
      </c>
      <c r="E525" s="78">
        <v>0.06</v>
      </c>
      <c r="F525" s="65">
        <v>7300</v>
      </c>
      <c r="G525" s="65"/>
      <c r="H525" s="65">
        <f t="shared" si="40"/>
        <v>7300</v>
      </c>
      <c r="I525" s="79">
        <f t="shared" ref="I525:I588" si="42">ROUND(F525*E525,2)</f>
        <v>438</v>
      </c>
      <c r="J525" s="79">
        <f t="shared" ref="J525:J588" si="43">ROUND(G525*E525,2)</f>
        <v>0</v>
      </c>
      <c r="K525" s="79">
        <f t="shared" ref="K525:K588" si="44">I525+J525</f>
        <v>438</v>
      </c>
      <c r="L525" s="121"/>
    </row>
    <row r="526" spans="2:12" ht="31" x14ac:dyDescent="0.35">
      <c r="B526" s="111">
        <f t="shared" si="41"/>
        <v>516</v>
      </c>
      <c r="C526" s="64" t="s">
        <v>179</v>
      </c>
      <c r="D526" s="81" t="s">
        <v>26</v>
      </c>
      <c r="E526" s="78">
        <v>1.2</v>
      </c>
      <c r="F526" s="65"/>
      <c r="G526" s="65">
        <v>5860</v>
      </c>
      <c r="H526" s="65">
        <f t="shared" si="40"/>
        <v>5860</v>
      </c>
      <c r="I526" s="79">
        <f t="shared" si="42"/>
        <v>0</v>
      </c>
      <c r="J526" s="79">
        <f t="shared" si="43"/>
        <v>7032</v>
      </c>
      <c r="K526" s="79">
        <f t="shared" si="44"/>
        <v>7032</v>
      </c>
      <c r="L526" s="121"/>
    </row>
    <row r="527" spans="2:12" x14ac:dyDescent="0.35">
      <c r="B527" s="111">
        <f t="shared" si="41"/>
        <v>517</v>
      </c>
      <c r="C527" s="82" t="s">
        <v>75</v>
      </c>
      <c r="D527" s="81" t="s">
        <v>26</v>
      </c>
      <c r="E527" s="78">
        <v>1.22</v>
      </c>
      <c r="F527" s="65">
        <v>7100</v>
      </c>
      <c r="G527" s="65"/>
      <c r="H527" s="65">
        <f t="shared" ref="H527:H590" si="45">F527+G527</f>
        <v>7100</v>
      </c>
      <c r="I527" s="79">
        <f t="shared" si="42"/>
        <v>8662</v>
      </c>
      <c r="J527" s="79">
        <f t="shared" si="43"/>
        <v>0</v>
      </c>
      <c r="K527" s="79">
        <f t="shared" si="44"/>
        <v>8662</v>
      </c>
      <c r="L527" s="121"/>
    </row>
    <row r="528" spans="2:12" ht="31" x14ac:dyDescent="0.35">
      <c r="B528" s="111">
        <f t="shared" si="41"/>
        <v>518</v>
      </c>
      <c r="C528" s="64" t="s">
        <v>78</v>
      </c>
      <c r="D528" s="81" t="s">
        <v>32</v>
      </c>
      <c r="E528" s="78">
        <v>7</v>
      </c>
      <c r="F528" s="65"/>
      <c r="G528" s="65">
        <v>5662</v>
      </c>
      <c r="H528" s="65">
        <f t="shared" si="45"/>
        <v>5662</v>
      </c>
      <c r="I528" s="79">
        <f t="shared" si="42"/>
        <v>0</v>
      </c>
      <c r="J528" s="79">
        <f t="shared" si="43"/>
        <v>39634</v>
      </c>
      <c r="K528" s="79">
        <f t="shared" si="44"/>
        <v>39634</v>
      </c>
      <c r="L528" s="121"/>
    </row>
    <row r="529" spans="2:12" x14ac:dyDescent="0.35">
      <c r="B529" s="111">
        <f t="shared" si="41"/>
        <v>519</v>
      </c>
      <c r="C529" s="82" t="s">
        <v>76</v>
      </c>
      <c r="D529" s="81" t="s">
        <v>32</v>
      </c>
      <c r="E529" s="78">
        <v>6</v>
      </c>
      <c r="F529" s="65">
        <f>7000*1.2</f>
        <v>8400</v>
      </c>
      <c r="G529" s="65"/>
      <c r="H529" s="65">
        <f t="shared" si="45"/>
        <v>8400</v>
      </c>
      <c r="I529" s="79">
        <f t="shared" si="42"/>
        <v>50400</v>
      </c>
      <c r="J529" s="79">
        <f t="shared" si="43"/>
        <v>0</v>
      </c>
      <c r="K529" s="79">
        <f t="shared" si="44"/>
        <v>50400</v>
      </c>
      <c r="L529" s="121"/>
    </row>
    <row r="530" spans="2:12" x14ac:dyDescent="0.35">
      <c r="B530" s="111">
        <f t="shared" si="41"/>
        <v>520</v>
      </c>
      <c r="C530" s="82" t="s">
        <v>80</v>
      </c>
      <c r="D530" s="81" t="s">
        <v>32</v>
      </c>
      <c r="E530" s="78">
        <v>1</v>
      </c>
      <c r="F530" s="65">
        <f>1200*1.2</f>
        <v>1440</v>
      </c>
      <c r="G530" s="65"/>
      <c r="H530" s="65">
        <f t="shared" si="45"/>
        <v>1440</v>
      </c>
      <c r="I530" s="79">
        <f t="shared" si="42"/>
        <v>1440</v>
      </c>
      <c r="J530" s="79">
        <f t="shared" si="43"/>
        <v>0</v>
      </c>
      <c r="K530" s="79">
        <f t="shared" si="44"/>
        <v>1440</v>
      </c>
      <c r="L530" s="121"/>
    </row>
    <row r="531" spans="2:12" ht="31" x14ac:dyDescent="0.35">
      <c r="B531" s="111">
        <f t="shared" si="41"/>
        <v>521</v>
      </c>
      <c r="C531" s="64" t="s">
        <v>85</v>
      </c>
      <c r="D531" s="81" t="s">
        <v>32</v>
      </c>
      <c r="E531" s="78">
        <v>1</v>
      </c>
      <c r="F531" s="65"/>
      <c r="G531" s="65">
        <v>2500</v>
      </c>
      <c r="H531" s="65">
        <f t="shared" si="45"/>
        <v>2500</v>
      </c>
      <c r="I531" s="79">
        <f t="shared" si="42"/>
        <v>0</v>
      </c>
      <c r="J531" s="79">
        <f t="shared" si="43"/>
        <v>2500</v>
      </c>
      <c r="K531" s="79">
        <f t="shared" si="44"/>
        <v>2500</v>
      </c>
      <c r="L531" s="121"/>
    </row>
    <row r="532" spans="2:12" x14ac:dyDescent="0.35">
      <c r="B532" s="111">
        <f t="shared" si="41"/>
        <v>522</v>
      </c>
      <c r="C532" s="82" t="s">
        <v>137</v>
      </c>
      <c r="D532" s="81" t="s">
        <v>32</v>
      </c>
      <c r="E532" s="78">
        <v>1</v>
      </c>
      <c r="F532" s="65">
        <f>7000*1.2</f>
        <v>8400</v>
      </c>
      <c r="G532" s="65"/>
      <c r="H532" s="65">
        <f t="shared" si="45"/>
        <v>8400</v>
      </c>
      <c r="I532" s="79">
        <f t="shared" si="42"/>
        <v>8400</v>
      </c>
      <c r="J532" s="79">
        <f t="shared" si="43"/>
        <v>0</v>
      </c>
      <c r="K532" s="79">
        <f t="shared" si="44"/>
        <v>8400</v>
      </c>
      <c r="L532" s="121"/>
    </row>
    <row r="533" spans="2:12" ht="31" x14ac:dyDescent="0.35">
      <c r="B533" s="111">
        <f t="shared" si="41"/>
        <v>523</v>
      </c>
      <c r="C533" s="64" t="s">
        <v>316</v>
      </c>
      <c r="D533" s="81" t="s">
        <v>32</v>
      </c>
      <c r="E533" s="78">
        <v>1</v>
      </c>
      <c r="F533" s="65"/>
      <c r="G533" s="65"/>
      <c r="H533" s="65">
        <f t="shared" si="45"/>
        <v>0</v>
      </c>
      <c r="I533" s="79">
        <f t="shared" si="42"/>
        <v>0</v>
      </c>
      <c r="J533" s="79">
        <f t="shared" si="43"/>
        <v>0</v>
      </c>
      <c r="K533" s="79">
        <f t="shared" si="44"/>
        <v>0</v>
      </c>
      <c r="L533" s="121"/>
    </row>
    <row r="534" spans="2:12" x14ac:dyDescent="0.35">
      <c r="B534" s="111">
        <f t="shared" si="41"/>
        <v>524</v>
      </c>
      <c r="C534" s="82" t="s">
        <v>84</v>
      </c>
      <c r="D534" s="81" t="s">
        <v>32</v>
      </c>
      <c r="E534" s="78">
        <v>1</v>
      </c>
      <c r="F534" s="65">
        <v>1300</v>
      </c>
      <c r="G534" s="65">
        <v>990</v>
      </c>
      <c r="H534" s="65">
        <f t="shared" si="45"/>
        <v>2290</v>
      </c>
      <c r="I534" s="79">
        <f t="shared" si="42"/>
        <v>1300</v>
      </c>
      <c r="J534" s="79">
        <f t="shared" si="43"/>
        <v>990</v>
      </c>
      <c r="K534" s="79">
        <f t="shared" si="44"/>
        <v>2290</v>
      </c>
      <c r="L534" s="121"/>
    </row>
    <row r="535" spans="2:12" x14ac:dyDescent="0.35">
      <c r="B535" s="111">
        <f t="shared" si="41"/>
        <v>525</v>
      </c>
      <c r="C535" s="80" t="s">
        <v>301</v>
      </c>
      <c r="D535" s="81" t="s">
        <v>32</v>
      </c>
      <c r="E535" s="78">
        <v>1</v>
      </c>
      <c r="F535" s="65">
        <v>6000</v>
      </c>
      <c r="G535" s="65">
        <v>1464.09</v>
      </c>
      <c r="H535" s="65">
        <f t="shared" si="45"/>
        <v>7464.09</v>
      </c>
      <c r="I535" s="79">
        <f t="shared" si="42"/>
        <v>6000</v>
      </c>
      <c r="J535" s="79">
        <f t="shared" si="43"/>
        <v>1464.09</v>
      </c>
      <c r="K535" s="79">
        <f t="shared" si="44"/>
        <v>7464.09</v>
      </c>
      <c r="L535" s="121"/>
    </row>
    <row r="536" spans="2:12" ht="31" x14ac:dyDescent="0.35">
      <c r="B536" s="111">
        <f t="shared" si="41"/>
        <v>526</v>
      </c>
      <c r="C536" s="64" t="s">
        <v>156</v>
      </c>
      <c r="D536" s="81" t="s">
        <v>25</v>
      </c>
      <c r="E536" s="78">
        <f>43.59+3.8</f>
        <v>47.39</v>
      </c>
      <c r="F536" s="65">
        <v>68.5</v>
      </c>
      <c r="G536" s="65">
        <v>150</v>
      </c>
      <c r="H536" s="65">
        <f t="shared" si="45"/>
        <v>218.5</v>
      </c>
      <c r="I536" s="79">
        <f t="shared" si="42"/>
        <v>3246.22</v>
      </c>
      <c r="J536" s="79">
        <f t="shared" si="43"/>
        <v>7108.5</v>
      </c>
      <c r="K536" s="79">
        <f t="shared" si="44"/>
        <v>10354.719999999999</v>
      </c>
      <c r="L536" s="121"/>
    </row>
    <row r="537" spans="2:12" ht="46.5" x14ac:dyDescent="0.35">
      <c r="B537" s="111">
        <f t="shared" si="41"/>
        <v>527</v>
      </c>
      <c r="C537" s="64" t="s">
        <v>157</v>
      </c>
      <c r="D537" s="81" t="s">
        <v>25</v>
      </c>
      <c r="E537" s="78">
        <f>43.59+3.8</f>
        <v>47.39</v>
      </c>
      <c r="F537" s="65">
        <v>927</v>
      </c>
      <c r="G537" s="65">
        <v>400</v>
      </c>
      <c r="H537" s="65">
        <f t="shared" si="45"/>
        <v>1327</v>
      </c>
      <c r="I537" s="79">
        <f t="shared" si="42"/>
        <v>43930.53</v>
      </c>
      <c r="J537" s="79">
        <f t="shared" si="43"/>
        <v>18956</v>
      </c>
      <c r="K537" s="79">
        <f t="shared" si="44"/>
        <v>62886.53</v>
      </c>
      <c r="L537" s="121"/>
    </row>
    <row r="538" spans="2:12" x14ac:dyDescent="0.35">
      <c r="B538" s="111">
        <f t="shared" si="41"/>
        <v>528</v>
      </c>
      <c r="C538" s="64" t="s">
        <v>317</v>
      </c>
      <c r="D538" s="81" t="s">
        <v>32</v>
      </c>
      <c r="E538" s="78">
        <v>1</v>
      </c>
      <c r="F538" s="65"/>
      <c r="G538" s="65"/>
      <c r="H538" s="65">
        <f t="shared" si="45"/>
        <v>0</v>
      </c>
      <c r="I538" s="79">
        <f t="shared" si="42"/>
        <v>0</v>
      </c>
      <c r="J538" s="79">
        <f t="shared" si="43"/>
        <v>0</v>
      </c>
      <c r="K538" s="79">
        <f t="shared" si="44"/>
        <v>0</v>
      </c>
      <c r="L538" s="121"/>
    </row>
    <row r="539" spans="2:12" x14ac:dyDescent="0.35">
      <c r="B539" s="111">
        <f t="shared" si="41"/>
        <v>529</v>
      </c>
      <c r="C539" s="82" t="s">
        <v>318</v>
      </c>
      <c r="D539" s="81" t="s">
        <v>31</v>
      </c>
      <c r="E539" s="78">
        <v>49.36</v>
      </c>
      <c r="F539" s="68">
        <v>71</v>
      </c>
      <c r="G539" s="65">
        <v>97.61</v>
      </c>
      <c r="H539" s="65">
        <f t="shared" si="45"/>
        <v>168.61</v>
      </c>
      <c r="I539" s="79">
        <f t="shared" si="42"/>
        <v>3504.56</v>
      </c>
      <c r="J539" s="79">
        <f t="shared" si="43"/>
        <v>4818.03</v>
      </c>
      <c r="K539" s="79">
        <f t="shared" si="44"/>
        <v>8322.59</v>
      </c>
      <c r="L539" s="121"/>
    </row>
    <row r="540" spans="2:12" x14ac:dyDescent="0.35">
      <c r="B540" s="111">
        <f t="shared" si="41"/>
        <v>530</v>
      </c>
      <c r="C540" s="64" t="s">
        <v>93</v>
      </c>
      <c r="D540" s="81" t="s">
        <v>32</v>
      </c>
      <c r="E540" s="78">
        <v>3</v>
      </c>
      <c r="F540" s="65"/>
      <c r="G540" s="65"/>
      <c r="H540" s="65">
        <f t="shared" si="45"/>
        <v>0</v>
      </c>
      <c r="I540" s="79">
        <f t="shared" si="42"/>
        <v>0</v>
      </c>
      <c r="J540" s="79">
        <f t="shared" si="43"/>
        <v>0</v>
      </c>
      <c r="K540" s="79">
        <f t="shared" si="44"/>
        <v>0</v>
      </c>
      <c r="L540" s="121"/>
    </row>
    <row r="541" spans="2:12" x14ac:dyDescent="0.35">
      <c r="B541" s="111">
        <f t="shared" si="41"/>
        <v>531</v>
      </c>
      <c r="C541" s="82" t="s">
        <v>94</v>
      </c>
      <c r="D541" s="81" t="s">
        <v>31</v>
      </c>
      <c r="E541" s="78">
        <f>0.82*3</f>
        <v>2.46</v>
      </c>
      <c r="F541" s="68">
        <v>71</v>
      </c>
      <c r="G541" s="65">
        <v>97.61</v>
      </c>
      <c r="H541" s="65">
        <f t="shared" si="45"/>
        <v>168.61</v>
      </c>
      <c r="I541" s="79">
        <f t="shared" si="42"/>
        <v>174.66</v>
      </c>
      <c r="J541" s="79">
        <f t="shared" si="43"/>
        <v>240.12</v>
      </c>
      <c r="K541" s="79">
        <f t="shared" si="44"/>
        <v>414.78</v>
      </c>
      <c r="L541" s="121"/>
    </row>
    <row r="542" spans="2:12" ht="31" x14ac:dyDescent="0.35">
      <c r="B542" s="111">
        <f t="shared" si="41"/>
        <v>532</v>
      </c>
      <c r="C542" s="64" t="s">
        <v>153</v>
      </c>
      <c r="D542" s="81" t="s">
        <v>32</v>
      </c>
      <c r="E542" s="78">
        <v>3</v>
      </c>
      <c r="F542" s="65"/>
      <c r="G542" s="65">
        <v>1464</v>
      </c>
      <c r="H542" s="65">
        <f t="shared" si="45"/>
        <v>1464</v>
      </c>
      <c r="I542" s="79">
        <f t="shared" si="42"/>
        <v>0</v>
      </c>
      <c r="J542" s="79">
        <f t="shared" si="43"/>
        <v>4392</v>
      </c>
      <c r="K542" s="79">
        <f t="shared" si="44"/>
        <v>4392</v>
      </c>
      <c r="L542" s="121"/>
    </row>
    <row r="543" spans="2:12" ht="33" x14ac:dyDescent="0.35">
      <c r="B543" s="111">
        <f t="shared" si="41"/>
        <v>533</v>
      </c>
      <c r="C543" s="64" t="s">
        <v>362</v>
      </c>
      <c r="D543" s="81" t="s">
        <v>26</v>
      </c>
      <c r="E543" s="78">
        <v>59.71</v>
      </c>
      <c r="F543" s="65"/>
      <c r="G543" s="65">
        <v>439</v>
      </c>
      <c r="H543" s="65">
        <f t="shared" si="45"/>
        <v>439</v>
      </c>
      <c r="I543" s="79">
        <f t="shared" si="42"/>
        <v>0</v>
      </c>
      <c r="J543" s="79">
        <f t="shared" si="43"/>
        <v>26212.69</v>
      </c>
      <c r="K543" s="79">
        <f t="shared" si="44"/>
        <v>26212.69</v>
      </c>
      <c r="L543" s="121"/>
    </row>
    <row r="544" spans="2:12" ht="30" x14ac:dyDescent="0.35">
      <c r="B544" s="111">
        <f t="shared" si="41"/>
        <v>534</v>
      </c>
      <c r="C544" s="98" t="s">
        <v>216</v>
      </c>
      <c r="D544" s="99" t="s">
        <v>27</v>
      </c>
      <c r="E544" s="100" t="s">
        <v>217</v>
      </c>
      <c r="F544" s="101"/>
      <c r="G544" s="101"/>
      <c r="H544" s="101">
        <f t="shared" si="45"/>
        <v>0</v>
      </c>
      <c r="I544" s="101">
        <f t="shared" si="42"/>
        <v>0</v>
      </c>
      <c r="J544" s="101">
        <f t="shared" si="43"/>
        <v>0</v>
      </c>
      <c r="K544" s="101">
        <f t="shared" si="44"/>
        <v>0</v>
      </c>
      <c r="L544" s="102"/>
    </row>
    <row r="545" spans="2:12" ht="31" x14ac:dyDescent="0.35">
      <c r="B545" s="111">
        <f t="shared" si="41"/>
        <v>535</v>
      </c>
      <c r="C545" s="64" t="s">
        <v>348</v>
      </c>
      <c r="D545" s="77" t="s">
        <v>26</v>
      </c>
      <c r="E545" s="78">
        <f>90.28*0.97</f>
        <v>87.571600000000004</v>
      </c>
      <c r="F545" s="65"/>
      <c r="G545" s="65">
        <v>300</v>
      </c>
      <c r="H545" s="65">
        <f t="shared" si="45"/>
        <v>300</v>
      </c>
      <c r="I545" s="79">
        <f t="shared" si="42"/>
        <v>0</v>
      </c>
      <c r="J545" s="79">
        <f t="shared" si="43"/>
        <v>26271.48</v>
      </c>
      <c r="K545" s="79">
        <f t="shared" si="44"/>
        <v>26271.48</v>
      </c>
      <c r="L545" s="121"/>
    </row>
    <row r="546" spans="2:12" x14ac:dyDescent="0.35">
      <c r="B546" s="111">
        <f t="shared" si="41"/>
        <v>536</v>
      </c>
      <c r="C546" s="64" t="s">
        <v>19</v>
      </c>
      <c r="D546" s="77" t="s">
        <v>26</v>
      </c>
      <c r="E546" s="78">
        <f>E545/97*3</f>
        <v>2.7084000000000001</v>
      </c>
      <c r="F546" s="65"/>
      <c r="G546" s="65">
        <v>1500</v>
      </c>
      <c r="H546" s="65">
        <f t="shared" si="45"/>
        <v>1500</v>
      </c>
      <c r="I546" s="79">
        <f t="shared" si="42"/>
        <v>0</v>
      </c>
      <c r="J546" s="79">
        <f t="shared" si="43"/>
        <v>4062.6</v>
      </c>
      <c r="K546" s="79">
        <f t="shared" si="44"/>
        <v>4062.6</v>
      </c>
      <c r="L546" s="121"/>
    </row>
    <row r="547" spans="2:12" x14ac:dyDescent="0.35">
      <c r="B547" s="111">
        <f t="shared" si="41"/>
        <v>537</v>
      </c>
      <c r="C547" s="64" t="s">
        <v>184</v>
      </c>
      <c r="D547" s="77" t="s">
        <v>25</v>
      </c>
      <c r="E547" s="78">
        <f>E544*0.75</f>
        <v>5.0250000000000004</v>
      </c>
      <c r="F547" s="65"/>
      <c r="G547" s="65"/>
      <c r="H547" s="65">
        <f t="shared" si="45"/>
        <v>0</v>
      </c>
      <c r="I547" s="79">
        <f t="shared" si="42"/>
        <v>0</v>
      </c>
      <c r="J547" s="79">
        <f t="shared" si="43"/>
        <v>0</v>
      </c>
      <c r="K547" s="79">
        <f t="shared" si="44"/>
        <v>0</v>
      </c>
      <c r="L547" s="121"/>
    </row>
    <row r="548" spans="2:12" ht="31" x14ac:dyDescent="0.35">
      <c r="B548" s="111">
        <f t="shared" si="41"/>
        <v>538</v>
      </c>
      <c r="C548" s="64" t="s">
        <v>194</v>
      </c>
      <c r="D548" s="77" t="s">
        <v>25</v>
      </c>
      <c r="E548" s="78">
        <f>E544*0.48</f>
        <v>3.2159999999999997</v>
      </c>
      <c r="F548" s="65">
        <f>1973*0.15</f>
        <v>295.95</v>
      </c>
      <c r="G548" s="65">
        <f>1500*0.15</f>
        <v>225</v>
      </c>
      <c r="H548" s="65">
        <f t="shared" si="45"/>
        <v>520.95000000000005</v>
      </c>
      <c r="I548" s="79">
        <f t="shared" si="42"/>
        <v>951.78</v>
      </c>
      <c r="J548" s="79">
        <f t="shared" si="43"/>
        <v>723.6</v>
      </c>
      <c r="K548" s="79">
        <f t="shared" si="44"/>
        <v>1675.38</v>
      </c>
      <c r="L548" s="121"/>
    </row>
    <row r="549" spans="2:12" x14ac:dyDescent="0.35">
      <c r="B549" s="111">
        <f t="shared" si="41"/>
        <v>539</v>
      </c>
      <c r="C549" s="64" t="s">
        <v>20</v>
      </c>
      <c r="D549" s="77" t="s">
        <v>26</v>
      </c>
      <c r="E549" s="78">
        <f>0.34*E544*0.1</f>
        <v>0.2278</v>
      </c>
      <c r="F549" s="65"/>
      <c r="G549" s="65">
        <v>5860</v>
      </c>
      <c r="H549" s="65">
        <f t="shared" si="45"/>
        <v>5860</v>
      </c>
      <c r="I549" s="79">
        <f t="shared" si="42"/>
        <v>0</v>
      </c>
      <c r="J549" s="79">
        <f t="shared" si="43"/>
        <v>1334.91</v>
      </c>
      <c r="K549" s="79">
        <f t="shared" si="44"/>
        <v>1334.91</v>
      </c>
      <c r="L549" s="121"/>
    </row>
    <row r="550" spans="2:12" x14ac:dyDescent="0.35">
      <c r="B550" s="111">
        <f t="shared" si="41"/>
        <v>540</v>
      </c>
      <c r="C550" s="80" t="s">
        <v>159</v>
      </c>
      <c r="D550" s="77" t="s">
        <v>26</v>
      </c>
      <c r="E550" s="78">
        <f>E549*1.02</f>
        <v>0.23235600000000001</v>
      </c>
      <c r="F550" s="65">
        <v>6700</v>
      </c>
      <c r="G550" s="65"/>
      <c r="H550" s="65">
        <f t="shared" si="45"/>
        <v>6700</v>
      </c>
      <c r="I550" s="79">
        <f t="shared" si="42"/>
        <v>1556.79</v>
      </c>
      <c r="J550" s="79">
        <f t="shared" si="43"/>
        <v>0</v>
      </c>
      <c r="K550" s="79">
        <f t="shared" si="44"/>
        <v>1556.79</v>
      </c>
      <c r="L550" s="121"/>
    </row>
    <row r="551" spans="2:12" x14ac:dyDescent="0.35">
      <c r="B551" s="111">
        <f t="shared" si="41"/>
        <v>541</v>
      </c>
      <c r="C551" s="64" t="s">
        <v>28</v>
      </c>
      <c r="D551" s="77" t="s">
        <v>26</v>
      </c>
      <c r="E551" s="78">
        <f>0.8*E544*0.1</f>
        <v>0.53600000000000003</v>
      </c>
      <c r="F551" s="65"/>
      <c r="G551" s="65">
        <v>5860</v>
      </c>
      <c r="H551" s="65">
        <f t="shared" si="45"/>
        <v>5860</v>
      </c>
      <c r="I551" s="79">
        <f t="shared" si="42"/>
        <v>0</v>
      </c>
      <c r="J551" s="79">
        <f t="shared" si="43"/>
        <v>3140.96</v>
      </c>
      <c r="K551" s="79">
        <f t="shared" si="44"/>
        <v>3140.96</v>
      </c>
      <c r="L551" s="121"/>
    </row>
    <row r="552" spans="2:12" x14ac:dyDescent="0.35">
      <c r="B552" s="111">
        <f t="shared" si="41"/>
        <v>542</v>
      </c>
      <c r="C552" s="80" t="s">
        <v>29</v>
      </c>
      <c r="D552" s="77" t="s">
        <v>26</v>
      </c>
      <c r="E552" s="78">
        <f>E551*1.02</f>
        <v>0.54672000000000009</v>
      </c>
      <c r="F552" s="65">
        <v>7100</v>
      </c>
      <c r="G552" s="65"/>
      <c r="H552" s="65">
        <f t="shared" si="45"/>
        <v>7100</v>
      </c>
      <c r="I552" s="79">
        <f t="shared" si="42"/>
        <v>3881.71</v>
      </c>
      <c r="J552" s="79">
        <f t="shared" si="43"/>
        <v>0</v>
      </c>
      <c r="K552" s="79">
        <f t="shared" si="44"/>
        <v>3881.71</v>
      </c>
      <c r="L552" s="121"/>
    </row>
    <row r="553" spans="2:12" x14ac:dyDescent="0.35">
      <c r="B553" s="111">
        <f t="shared" si="41"/>
        <v>543</v>
      </c>
      <c r="C553" s="80" t="s">
        <v>30</v>
      </c>
      <c r="D553" s="77" t="s">
        <v>31</v>
      </c>
      <c r="E553" s="78">
        <f>31.39*E544*0.1</f>
        <v>21.031300000000002</v>
      </c>
      <c r="F553" s="65">
        <v>118.9</v>
      </c>
      <c r="G553" s="65"/>
      <c r="H553" s="65">
        <f t="shared" si="45"/>
        <v>118.9</v>
      </c>
      <c r="I553" s="79">
        <f t="shared" si="42"/>
        <v>2500.62</v>
      </c>
      <c r="J553" s="79">
        <f t="shared" si="43"/>
        <v>0</v>
      </c>
      <c r="K553" s="79">
        <f t="shared" si="44"/>
        <v>2500.62</v>
      </c>
      <c r="L553" s="121"/>
    </row>
    <row r="554" spans="2:12" x14ac:dyDescent="0.35">
      <c r="B554" s="111">
        <f t="shared" si="41"/>
        <v>544</v>
      </c>
      <c r="C554" s="64" t="s">
        <v>189</v>
      </c>
      <c r="D554" s="77" t="s">
        <v>27</v>
      </c>
      <c r="E554" s="78" t="str">
        <f>E544</f>
        <v>6,7</v>
      </c>
      <c r="F554" s="65"/>
      <c r="G554" s="65">
        <v>2928</v>
      </c>
      <c r="H554" s="65">
        <f t="shared" si="45"/>
        <v>2928</v>
      </c>
      <c r="I554" s="79">
        <f t="shared" si="42"/>
        <v>0</v>
      </c>
      <c r="J554" s="79">
        <f t="shared" si="43"/>
        <v>19617.599999999999</v>
      </c>
      <c r="K554" s="79">
        <f t="shared" si="44"/>
        <v>19617.599999999999</v>
      </c>
      <c r="L554" s="121"/>
    </row>
    <row r="555" spans="2:12" ht="31" x14ac:dyDescent="0.35">
      <c r="B555" s="111">
        <f t="shared" si="41"/>
        <v>545</v>
      </c>
      <c r="C555" s="80" t="s">
        <v>195</v>
      </c>
      <c r="D555" s="77" t="s">
        <v>27</v>
      </c>
      <c r="E555" s="78">
        <f>E554*1.1</f>
        <v>7.370000000000001</v>
      </c>
      <c r="F555" s="65">
        <v>855</v>
      </c>
      <c r="G555" s="65"/>
      <c r="H555" s="65">
        <f t="shared" si="45"/>
        <v>855</v>
      </c>
      <c r="I555" s="79">
        <f t="shared" si="42"/>
        <v>6301.35</v>
      </c>
      <c r="J555" s="79">
        <f t="shared" si="43"/>
        <v>0</v>
      </c>
      <c r="K555" s="79">
        <f t="shared" si="44"/>
        <v>6301.35</v>
      </c>
      <c r="L555" s="121"/>
    </row>
    <row r="556" spans="2:12" ht="33" x14ac:dyDescent="0.35">
      <c r="B556" s="111">
        <f t="shared" si="41"/>
        <v>546</v>
      </c>
      <c r="C556" s="64" t="s">
        <v>355</v>
      </c>
      <c r="D556" s="81" t="s">
        <v>26</v>
      </c>
      <c r="E556" s="78">
        <v>89.8</v>
      </c>
      <c r="F556" s="65"/>
      <c r="G556" s="65">
        <v>439</v>
      </c>
      <c r="H556" s="65">
        <f t="shared" si="45"/>
        <v>439</v>
      </c>
      <c r="I556" s="79">
        <f t="shared" si="42"/>
        <v>0</v>
      </c>
      <c r="J556" s="79">
        <f t="shared" si="43"/>
        <v>39422.199999999997</v>
      </c>
      <c r="K556" s="79">
        <f t="shared" si="44"/>
        <v>39422.199999999997</v>
      </c>
      <c r="L556" s="121"/>
    </row>
    <row r="557" spans="2:12" ht="25.25" customHeight="1" x14ac:dyDescent="0.35">
      <c r="B557" s="111">
        <f t="shared" si="41"/>
        <v>547</v>
      </c>
      <c r="C557" s="98" t="s">
        <v>218</v>
      </c>
      <c r="D557" s="103" t="s">
        <v>32</v>
      </c>
      <c r="E557" s="100">
        <v>1</v>
      </c>
      <c r="F557" s="101"/>
      <c r="G557" s="101"/>
      <c r="H557" s="101">
        <f t="shared" si="45"/>
        <v>0</v>
      </c>
      <c r="I557" s="101">
        <f t="shared" si="42"/>
        <v>0</v>
      </c>
      <c r="J557" s="101">
        <f t="shared" si="43"/>
        <v>0</v>
      </c>
      <c r="K557" s="101">
        <f t="shared" si="44"/>
        <v>0</v>
      </c>
      <c r="L557" s="102"/>
    </row>
    <row r="558" spans="2:12" ht="31" x14ac:dyDescent="0.35">
      <c r="B558" s="111">
        <f t="shared" si="41"/>
        <v>548</v>
      </c>
      <c r="C558" s="64" t="s">
        <v>348</v>
      </c>
      <c r="D558" s="81" t="s">
        <v>26</v>
      </c>
      <c r="E558" s="78">
        <f>79.32*0.97</f>
        <v>76.940399999999997</v>
      </c>
      <c r="F558" s="65"/>
      <c r="G558" s="65">
        <v>300</v>
      </c>
      <c r="H558" s="65">
        <f t="shared" si="45"/>
        <v>300</v>
      </c>
      <c r="I558" s="79">
        <f t="shared" si="42"/>
        <v>0</v>
      </c>
      <c r="J558" s="79">
        <f t="shared" si="43"/>
        <v>23082.12</v>
      </c>
      <c r="K558" s="79">
        <f t="shared" si="44"/>
        <v>23082.12</v>
      </c>
      <c r="L558" s="121"/>
    </row>
    <row r="559" spans="2:12" x14ac:dyDescent="0.35">
      <c r="B559" s="111">
        <f t="shared" si="41"/>
        <v>549</v>
      </c>
      <c r="C559" s="64" t="s">
        <v>19</v>
      </c>
      <c r="D559" s="81" t="s">
        <v>26</v>
      </c>
      <c r="E559" s="78">
        <f>E558/9</f>
        <v>8.5489333333333324</v>
      </c>
      <c r="F559" s="65"/>
      <c r="G559" s="65">
        <v>1500</v>
      </c>
      <c r="H559" s="65">
        <f t="shared" si="45"/>
        <v>1500</v>
      </c>
      <c r="I559" s="79">
        <f t="shared" si="42"/>
        <v>0</v>
      </c>
      <c r="J559" s="79">
        <f t="shared" si="43"/>
        <v>12823.4</v>
      </c>
      <c r="K559" s="79">
        <f t="shared" si="44"/>
        <v>12823.4</v>
      </c>
      <c r="L559" s="121"/>
    </row>
    <row r="560" spans="2:12" x14ac:dyDescent="0.35">
      <c r="B560" s="111">
        <f t="shared" si="41"/>
        <v>550</v>
      </c>
      <c r="C560" s="64" t="s">
        <v>67</v>
      </c>
      <c r="D560" s="81" t="s">
        <v>25</v>
      </c>
      <c r="E560" s="78">
        <v>6.6</v>
      </c>
      <c r="F560" s="65"/>
      <c r="G560" s="65"/>
      <c r="H560" s="65">
        <f t="shared" si="45"/>
        <v>0</v>
      </c>
      <c r="I560" s="79">
        <f t="shared" si="42"/>
        <v>0</v>
      </c>
      <c r="J560" s="79">
        <f t="shared" si="43"/>
        <v>0</v>
      </c>
      <c r="K560" s="79">
        <f t="shared" si="44"/>
        <v>0</v>
      </c>
      <c r="L560" s="121"/>
    </row>
    <row r="561" spans="2:12" x14ac:dyDescent="0.35">
      <c r="B561" s="111">
        <f t="shared" si="41"/>
        <v>551</v>
      </c>
      <c r="C561" s="64" t="s">
        <v>68</v>
      </c>
      <c r="D561" s="81" t="s">
        <v>26</v>
      </c>
      <c r="E561" s="78">
        <f>E560*0.1</f>
        <v>0.66</v>
      </c>
      <c r="F561" s="65"/>
      <c r="G561" s="65">
        <v>5860</v>
      </c>
      <c r="H561" s="65">
        <f t="shared" si="45"/>
        <v>5860</v>
      </c>
      <c r="I561" s="79">
        <f t="shared" si="42"/>
        <v>0</v>
      </c>
      <c r="J561" s="79">
        <f t="shared" si="43"/>
        <v>3867.6</v>
      </c>
      <c r="K561" s="79">
        <f t="shared" si="44"/>
        <v>3867.6</v>
      </c>
      <c r="L561" s="121"/>
    </row>
    <row r="562" spans="2:12" x14ac:dyDescent="0.35">
      <c r="B562" s="111">
        <f t="shared" si="41"/>
        <v>552</v>
      </c>
      <c r="C562" s="80" t="s">
        <v>159</v>
      </c>
      <c r="D562" s="81" t="s">
        <v>26</v>
      </c>
      <c r="E562" s="78">
        <f>E561*1.02</f>
        <v>0.67320000000000002</v>
      </c>
      <c r="F562" s="65">
        <v>6700</v>
      </c>
      <c r="G562" s="65"/>
      <c r="H562" s="65">
        <f t="shared" si="45"/>
        <v>6700</v>
      </c>
      <c r="I562" s="79">
        <f t="shared" si="42"/>
        <v>4510.4399999999996</v>
      </c>
      <c r="J562" s="79">
        <f t="shared" si="43"/>
        <v>0</v>
      </c>
      <c r="K562" s="79">
        <f t="shared" si="44"/>
        <v>4510.4399999999996</v>
      </c>
      <c r="L562" s="121"/>
    </row>
    <row r="563" spans="2:12" x14ac:dyDescent="0.35">
      <c r="B563" s="111">
        <f t="shared" si="41"/>
        <v>553</v>
      </c>
      <c r="C563" s="64" t="s">
        <v>151</v>
      </c>
      <c r="D563" s="81" t="s">
        <v>25</v>
      </c>
      <c r="E563" s="78">
        <f>(3.14*2.5^2)/4</f>
        <v>4.90625</v>
      </c>
      <c r="F563" s="65">
        <v>68.5</v>
      </c>
      <c r="G563" s="65">
        <v>150</v>
      </c>
      <c r="H563" s="65">
        <f t="shared" si="45"/>
        <v>218.5</v>
      </c>
      <c r="I563" s="79">
        <f t="shared" si="42"/>
        <v>336.08</v>
      </c>
      <c r="J563" s="79">
        <f t="shared" si="43"/>
        <v>735.94</v>
      </c>
      <c r="K563" s="79">
        <f t="shared" si="44"/>
        <v>1072.02</v>
      </c>
      <c r="L563" s="121"/>
    </row>
    <row r="564" spans="2:12" ht="31" x14ac:dyDescent="0.35">
      <c r="B564" s="111">
        <f t="shared" si="41"/>
        <v>554</v>
      </c>
      <c r="C564" s="64" t="s">
        <v>152</v>
      </c>
      <c r="D564" s="81" t="s">
        <v>25</v>
      </c>
      <c r="E564" s="78">
        <f>(3.14*2.5^2)/4</f>
        <v>4.90625</v>
      </c>
      <c r="F564" s="65">
        <v>927</v>
      </c>
      <c r="G564" s="65">
        <v>400</v>
      </c>
      <c r="H564" s="65">
        <f t="shared" si="45"/>
        <v>1327</v>
      </c>
      <c r="I564" s="79">
        <f t="shared" si="42"/>
        <v>4548.09</v>
      </c>
      <c r="J564" s="79">
        <f t="shared" si="43"/>
        <v>1962.5</v>
      </c>
      <c r="K564" s="79">
        <f t="shared" si="44"/>
        <v>6510.59</v>
      </c>
      <c r="L564" s="121"/>
    </row>
    <row r="565" spans="2:12" ht="31" x14ac:dyDescent="0.35">
      <c r="B565" s="111">
        <f t="shared" si="41"/>
        <v>555</v>
      </c>
      <c r="C565" s="64" t="s">
        <v>69</v>
      </c>
      <c r="D565" s="81" t="s">
        <v>32</v>
      </c>
      <c r="E565" s="78">
        <v>1</v>
      </c>
      <c r="F565" s="65"/>
      <c r="G565" s="65">
        <v>5662</v>
      </c>
      <c r="H565" s="65">
        <f t="shared" si="45"/>
        <v>5662</v>
      </c>
      <c r="I565" s="79">
        <f t="shared" si="42"/>
        <v>0</v>
      </c>
      <c r="J565" s="79">
        <f t="shared" si="43"/>
        <v>5662</v>
      </c>
      <c r="K565" s="79">
        <f t="shared" si="44"/>
        <v>5662</v>
      </c>
      <c r="L565" s="121"/>
    </row>
    <row r="566" spans="2:12" x14ac:dyDescent="0.35">
      <c r="B566" s="111">
        <f t="shared" si="41"/>
        <v>556</v>
      </c>
      <c r="C566" s="82" t="s">
        <v>71</v>
      </c>
      <c r="D566" s="81" t="s">
        <v>32</v>
      </c>
      <c r="E566" s="78">
        <v>1</v>
      </c>
      <c r="F566" s="65">
        <f>7000*1.2</f>
        <v>8400</v>
      </c>
      <c r="G566" s="65"/>
      <c r="H566" s="65">
        <f t="shared" si="45"/>
        <v>8400</v>
      </c>
      <c r="I566" s="79">
        <f t="shared" si="42"/>
        <v>8400</v>
      </c>
      <c r="J566" s="79">
        <f t="shared" si="43"/>
        <v>0</v>
      </c>
      <c r="K566" s="79">
        <f t="shared" si="44"/>
        <v>8400</v>
      </c>
      <c r="L566" s="121"/>
    </row>
    <row r="567" spans="2:12" x14ac:dyDescent="0.35">
      <c r="B567" s="111">
        <f t="shared" si="41"/>
        <v>557</v>
      </c>
      <c r="C567" s="82" t="s">
        <v>101</v>
      </c>
      <c r="D567" s="81" t="s">
        <v>26</v>
      </c>
      <c r="E567" s="78">
        <v>0.06</v>
      </c>
      <c r="F567" s="65">
        <v>7300</v>
      </c>
      <c r="G567" s="65"/>
      <c r="H567" s="65">
        <f t="shared" si="45"/>
        <v>7300</v>
      </c>
      <c r="I567" s="79">
        <f t="shared" si="42"/>
        <v>438</v>
      </c>
      <c r="J567" s="79">
        <f t="shared" si="43"/>
        <v>0</v>
      </c>
      <c r="K567" s="79">
        <f t="shared" si="44"/>
        <v>438</v>
      </c>
      <c r="L567" s="121"/>
    </row>
    <row r="568" spans="2:12" ht="31" x14ac:dyDescent="0.35">
      <c r="B568" s="111">
        <f t="shared" si="41"/>
        <v>558</v>
      </c>
      <c r="C568" s="64" t="s">
        <v>179</v>
      </c>
      <c r="D568" s="81" t="s">
        <v>26</v>
      </c>
      <c r="E568" s="78">
        <v>1.2</v>
      </c>
      <c r="F568" s="65"/>
      <c r="G568" s="65">
        <v>5860</v>
      </c>
      <c r="H568" s="65">
        <f t="shared" si="45"/>
        <v>5860</v>
      </c>
      <c r="I568" s="79">
        <f t="shared" si="42"/>
        <v>0</v>
      </c>
      <c r="J568" s="79">
        <f t="shared" si="43"/>
        <v>7032</v>
      </c>
      <c r="K568" s="79">
        <f t="shared" si="44"/>
        <v>7032</v>
      </c>
      <c r="L568" s="121"/>
    </row>
    <row r="569" spans="2:12" x14ac:dyDescent="0.35">
      <c r="B569" s="111">
        <f t="shared" si="41"/>
        <v>559</v>
      </c>
      <c r="C569" s="82" t="s">
        <v>75</v>
      </c>
      <c r="D569" s="81" t="s">
        <v>26</v>
      </c>
      <c r="E569" s="78">
        <v>1.22</v>
      </c>
      <c r="F569" s="65">
        <v>7100</v>
      </c>
      <c r="G569" s="65"/>
      <c r="H569" s="65">
        <f t="shared" si="45"/>
        <v>7100</v>
      </c>
      <c r="I569" s="79">
        <f t="shared" si="42"/>
        <v>8662</v>
      </c>
      <c r="J569" s="79">
        <f t="shared" si="43"/>
        <v>0</v>
      </c>
      <c r="K569" s="79">
        <f t="shared" si="44"/>
        <v>8662</v>
      </c>
      <c r="L569" s="121"/>
    </row>
    <row r="570" spans="2:12" ht="31" x14ac:dyDescent="0.35">
      <c r="B570" s="111">
        <f t="shared" si="41"/>
        <v>560</v>
      </c>
      <c r="C570" s="64" t="s">
        <v>78</v>
      </c>
      <c r="D570" s="81" t="s">
        <v>32</v>
      </c>
      <c r="E570" s="78">
        <v>8</v>
      </c>
      <c r="F570" s="65"/>
      <c r="G570" s="65">
        <v>5662</v>
      </c>
      <c r="H570" s="65">
        <f t="shared" si="45"/>
        <v>5662</v>
      </c>
      <c r="I570" s="79">
        <f t="shared" si="42"/>
        <v>0</v>
      </c>
      <c r="J570" s="79">
        <f t="shared" si="43"/>
        <v>45296</v>
      </c>
      <c r="K570" s="79">
        <f t="shared" si="44"/>
        <v>45296</v>
      </c>
      <c r="L570" s="121"/>
    </row>
    <row r="571" spans="2:12" x14ac:dyDescent="0.35">
      <c r="B571" s="111">
        <f t="shared" si="41"/>
        <v>561</v>
      </c>
      <c r="C571" s="82" t="s">
        <v>76</v>
      </c>
      <c r="D571" s="81" t="s">
        <v>32</v>
      </c>
      <c r="E571" s="78">
        <v>4</v>
      </c>
      <c r="F571" s="65">
        <f>7000*1.2</f>
        <v>8400</v>
      </c>
      <c r="G571" s="65"/>
      <c r="H571" s="65">
        <f t="shared" si="45"/>
        <v>8400</v>
      </c>
      <c r="I571" s="79">
        <f t="shared" si="42"/>
        <v>33600</v>
      </c>
      <c r="J571" s="79">
        <f t="shared" si="43"/>
        <v>0</v>
      </c>
      <c r="K571" s="79">
        <f t="shared" si="44"/>
        <v>33600</v>
      </c>
      <c r="L571" s="121"/>
    </row>
    <row r="572" spans="2:12" x14ac:dyDescent="0.35">
      <c r="B572" s="111">
        <f t="shared" si="41"/>
        <v>562</v>
      </c>
      <c r="C572" s="82" t="s">
        <v>77</v>
      </c>
      <c r="D572" s="81" t="s">
        <v>32</v>
      </c>
      <c r="E572" s="78">
        <v>2</v>
      </c>
      <c r="F572" s="65">
        <f>5500*1.2</f>
        <v>6600</v>
      </c>
      <c r="G572" s="65"/>
      <c r="H572" s="65">
        <f t="shared" si="45"/>
        <v>6600</v>
      </c>
      <c r="I572" s="79">
        <f t="shared" si="42"/>
        <v>13200</v>
      </c>
      <c r="J572" s="79">
        <f t="shared" si="43"/>
        <v>0</v>
      </c>
      <c r="K572" s="79">
        <f t="shared" si="44"/>
        <v>13200</v>
      </c>
      <c r="L572" s="121"/>
    </row>
    <row r="573" spans="2:12" x14ac:dyDescent="0.35">
      <c r="B573" s="111">
        <f t="shared" si="41"/>
        <v>563</v>
      </c>
      <c r="C573" s="82" t="s">
        <v>81</v>
      </c>
      <c r="D573" s="81" t="s">
        <v>32</v>
      </c>
      <c r="E573" s="78">
        <v>1</v>
      </c>
      <c r="F573" s="65">
        <f>900*1.2</f>
        <v>1080</v>
      </c>
      <c r="G573" s="65"/>
      <c r="H573" s="65">
        <f t="shared" si="45"/>
        <v>1080</v>
      </c>
      <c r="I573" s="79">
        <f t="shared" si="42"/>
        <v>1080</v>
      </c>
      <c r="J573" s="79">
        <f t="shared" si="43"/>
        <v>0</v>
      </c>
      <c r="K573" s="79">
        <f t="shared" si="44"/>
        <v>1080</v>
      </c>
      <c r="L573" s="121"/>
    </row>
    <row r="574" spans="2:12" x14ac:dyDescent="0.35">
      <c r="B574" s="111">
        <f t="shared" si="41"/>
        <v>564</v>
      </c>
      <c r="C574" s="82" t="s">
        <v>98</v>
      </c>
      <c r="D574" s="81" t="s">
        <v>32</v>
      </c>
      <c r="E574" s="78">
        <v>1</v>
      </c>
      <c r="F574" s="65">
        <f>700*1.2</f>
        <v>840</v>
      </c>
      <c r="G574" s="65"/>
      <c r="H574" s="65">
        <f t="shared" si="45"/>
        <v>840</v>
      </c>
      <c r="I574" s="79">
        <f t="shared" si="42"/>
        <v>840</v>
      </c>
      <c r="J574" s="79">
        <f t="shared" si="43"/>
        <v>0</v>
      </c>
      <c r="K574" s="79">
        <f t="shared" si="44"/>
        <v>840</v>
      </c>
      <c r="L574" s="121"/>
    </row>
    <row r="575" spans="2:12" ht="31" x14ac:dyDescent="0.35">
      <c r="B575" s="111">
        <f t="shared" si="41"/>
        <v>565</v>
      </c>
      <c r="C575" s="64" t="s">
        <v>85</v>
      </c>
      <c r="D575" s="81" t="s">
        <v>32</v>
      </c>
      <c r="E575" s="78">
        <v>1</v>
      </c>
      <c r="F575" s="65"/>
      <c r="G575" s="65">
        <v>2500</v>
      </c>
      <c r="H575" s="65">
        <f t="shared" si="45"/>
        <v>2500</v>
      </c>
      <c r="I575" s="79">
        <f t="shared" si="42"/>
        <v>0</v>
      </c>
      <c r="J575" s="79">
        <f t="shared" si="43"/>
        <v>2500</v>
      </c>
      <c r="K575" s="79">
        <f t="shared" si="44"/>
        <v>2500</v>
      </c>
      <c r="L575" s="121"/>
    </row>
    <row r="576" spans="2:12" x14ac:dyDescent="0.35">
      <c r="B576" s="111">
        <f t="shared" si="41"/>
        <v>566</v>
      </c>
      <c r="C576" s="82" t="s">
        <v>137</v>
      </c>
      <c r="D576" s="81" t="s">
        <v>32</v>
      </c>
      <c r="E576" s="78">
        <v>1</v>
      </c>
      <c r="F576" s="65">
        <f>7000*1.2</f>
        <v>8400</v>
      </c>
      <c r="G576" s="65"/>
      <c r="H576" s="65">
        <f t="shared" si="45"/>
        <v>8400</v>
      </c>
      <c r="I576" s="79">
        <f t="shared" si="42"/>
        <v>8400</v>
      </c>
      <c r="J576" s="79">
        <f t="shared" si="43"/>
        <v>0</v>
      </c>
      <c r="K576" s="79">
        <f t="shared" si="44"/>
        <v>8400</v>
      </c>
      <c r="L576" s="121"/>
    </row>
    <row r="577" spans="2:12" ht="31" x14ac:dyDescent="0.35">
      <c r="B577" s="111">
        <f t="shared" si="41"/>
        <v>567</v>
      </c>
      <c r="C577" s="64" t="s">
        <v>316</v>
      </c>
      <c r="D577" s="81" t="s">
        <v>32</v>
      </c>
      <c r="E577" s="78">
        <v>1</v>
      </c>
      <c r="F577" s="65"/>
      <c r="G577" s="65"/>
      <c r="H577" s="65">
        <f t="shared" si="45"/>
        <v>0</v>
      </c>
      <c r="I577" s="79">
        <f t="shared" si="42"/>
        <v>0</v>
      </c>
      <c r="J577" s="79">
        <f t="shared" si="43"/>
        <v>0</v>
      </c>
      <c r="K577" s="79">
        <f t="shared" si="44"/>
        <v>0</v>
      </c>
      <c r="L577" s="121"/>
    </row>
    <row r="578" spans="2:12" x14ac:dyDescent="0.35">
      <c r="B578" s="111">
        <f t="shared" si="41"/>
        <v>568</v>
      </c>
      <c r="C578" s="82" t="s">
        <v>84</v>
      </c>
      <c r="D578" s="81" t="s">
        <v>32</v>
      </c>
      <c r="E578" s="78">
        <v>1</v>
      </c>
      <c r="F578" s="65">
        <v>1300</v>
      </c>
      <c r="G578" s="65">
        <v>990</v>
      </c>
      <c r="H578" s="65">
        <f t="shared" si="45"/>
        <v>2290</v>
      </c>
      <c r="I578" s="79">
        <f t="shared" si="42"/>
        <v>1300</v>
      </c>
      <c r="J578" s="79">
        <f t="shared" si="43"/>
        <v>990</v>
      </c>
      <c r="K578" s="79">
        <f t="shared" si="44"/>
        <v>2290</v>
      </c>
      <c r="L578" s="121"/>
    </row>
    <row r="579" spans="2:12" x14ac:dyDescent="0.35">
      <c r="B579" s="111">
        <f t="shared" si="41"/>
        <v>569</v>
      </c>
      <c r="C579" s="80" t="s">
        <v>301</v>
      </c>
      <c r="D579" s="81" t="s">
        <v>32</v>
      </c>
      <c r="E579" s="78">
        <v>1</v>
      </c>
      <c r="F579" s="65">
        <v>6000</v>
      </c>
      <c r="G579" s="65">
        <v>1464.09</v>
      </c>
      <c r="H579" s="65">
        <f t="shared" si="45"/>
        <v>7464.09</v>
      </c>
      <c r="I579" s="79">
        <f t="shared" si="42"/>
        <v>6000</v>
      </c>
      <c r="J579" s="79">
        <f t="shared" si="43"/>
        <v>1464.09</v>
      </c>
      <c r="K579" s="79">
        <f t="shared" si="44"/>
        <v>7464.09</v>
      </c>
      <c r="L579" s="121"/>
    </row>
    <row r="580" spans="2:12" ht="31" x14ac:dyDescent="0.35">
      <c r="B580" s="111">
        <f t="shared" si="41"/>
        <v>570</v>
      </c>
      <c r="C580" s="64" t="s">
        <v>156</v>
      </c>
      <c r="D580" s="81" t="s">
        <v>25</v>
      </c>
      <c r="E580" s="78">
        <f>38.96+3.8</f>
        <v>42.76</v>
      </c>
      <c r="F580" s="65">
        <v>68.5</v>
      </c>
      <c r="G580" s="65">
        <v>150</v>
      </c>
      <c r="H580" s="65">
        <f t="shared" si="45"/>
        <v>218.5</v>
      </c>
      <c r="I580" s="79">
        <f t="shared" si="42"/>
        <v>2929.06</v>
      </c>
      <c r="J580" s="79">
        <f t="shared" si="43"/>
        <v>6414</v>
      </c>
      <c r="K580" s="79">
        <f t="shared" si="44"/>
        <v>9343.06</v>
      </c>
      <c r="L580" s="121"/>
    </row>
    <row r="581" spans="2:12" ht="46.5" x14ac:dyDescent="0.35">
      <c r="B581" s="111">
        <f t="shared" si="41"/>
        <v>571</v>
      </c>
      <c r="C581" s="64" t="s">
        <v>157</v>
      </c>
      <c r="D581" s="81" t="s">
        <v>25</v>
      </c>
      <c r="E581" s="78">
        <f>38.96+3.8</f>
        <v>42.76</v>
      </c>
      <c r="F581" s="65">
        <v>927</v>
      </c>
      <c r="G581" s="65">
        <v>400</v>
      </c>
      <c r="H581" s="65">
        <f t="shared" si="45"/>
        <v>1327</v>
      </c>
      <c r="I581" s="79">
        <f t="shared" si="42"/>
        <v>39638.519999999997</v>
      </c>
      <c r="J581" s="79">
        <f t="shared" si="43"/>
        <v>17104</v>
      </c>
      <c r="K581" s="79">
        <f t="shared" si="44"/>
        <v>56742.52</v>
      </c>
      <c r="L581" s="121"/>
    </row>
    <row r="582" spans="2:12" x14ac:dyDescent="0.35">
      <c r="B582" s="111">
        <f t="shared" si="41"/>
        <v>572</v>
      </c>
      <c r="C582" s="64" t="s">
        <v>317</v>
      </c>
      <c r="D582" s="81" t="s">
        <v>32</v>
      </c>
      <c r="E582" s="78">
        <v>1</v>
      </c>
      <c r="F582" s="65"/>
      <c r="G582" s="65"/>
      <c r="H582" s="65">
        <f t="shared" si="45"/>
        <v>0</v>
      </c>
      <c r="I582" s="79">
        <f t="shared" si="42"/>
        <v>0</v>
      </c>
      <c r="J582" s="79">
        <f t="shared" si="43"/>
        <v>0</v>
      </c>
      <c r="K582" s="79">
        <f t="shared" si="44"/>
        <v>0</v>
      </c>
      <c r="L582" s="121"/>
    </row>
    <row r="583" spans="2:12" x14ac:dyDescent="0.35">
      <c r="B583" s="111">
        <f t="shared" si="41"/>
        <v>573</v>
      </c>
      <c r="C583" s="82" t="s">
        <v>318</v>
      </c>
      <c r="D583" s="81" t="s">
        <v>31</v>
      </c>
      <c r="E583" s="78">
        <v>49.36</v>
      </c>
      <c r="F583" s="68">
        <v>71</v>
      </c>
      <c r="G583" s="65">
        <v>97.61</v>
      </c>
      <c r="H583" s="65">
        <f t="shared" si="45"/>
        <v>168.61</v>
      </c>
      <c r="I583" s="79">
        <f t="shared" si="42"/>
        <v>3504.56</v>
      </c>
      <c r="J583" s="79">
        <f t="shared" si="43"/>
        <v>4818.03</v>
      </c>
      <c r="K583" s="79">
        <f t="shared" si="44"/>
        <v>8322.59</v>
      </c>
      <c r="L583" s="121"/>
    </row>
    <row r="584" spans="2:12" x14ac:dyDescent="0.35">
      <c r="B584" s="111">
        <f t="shared" si="41"/>
        <v>574</v>
      </c>
      <c r="C584" s="64" t="s">
        <v>93</v>
      </c>
      <c r="D584" s="81" t="s">
        <v>32</v>
      </c>
      <c r="E584" s="78">
        <v>3</v>
      </c>
      <c r="F584" s="65"/>
      <c r="G584" s="65"/>
      <c r="H584" s="65">
        <f t="shared" si="45"/>
        <v>0</v>
      </c>
      <c r="I584" s="79">
        <f t="shared" si="42"/>
        <v>0</v>
      </c>
      <c r="J584" s="79">
        <f t="shared" si="43"/>
        <v>0</v>
      </c>
      <c r="K584" s="79">
        <f t="shared" si="44"/>
        <v>0</v>
      </c>
      <c r="L584" s="121"/>
    </row>
    <row r="585" spans="2:12" x14ac:dyDescent="0.35">
      <c r="B585" s="111">
        <f t="shared" si="41"/>
        <v>575</v>
      </c>
      <c r="C585" s="82" t="s">
        <v>94</v>
      </c>
      <c r="D585" s="81" t="s">
        <v>31</v>
      </c>
      <c r="E585" s="78">
        <f>0.82*3</f>
        <v>2.46</v>
      </c>
      <c r="F585" s="68">
        <v>71</v>
      </c>
      <c r="G585" s="65">
        <v>97.61</v>
      </c>
      <c r="H585" s="65">
        <f t="shared" si="45"/>
        <v>168.61</v>
      </c>
      <c r="I585" s="79">
        <f t="shared" si="42"/>
        <v>174.66</v>
      </c>
      <c r="J585" s="79">
        <f t="shared" si="43"/>
        <v>240.12</v>
      </c>
      <c r="K585" s="79">
        <f t="shared" si="44"/>
        <v>414.78</v>
      </c>
      <c r="L585" s="121"/>
    </row>
    <row r="586" spans="2:12" ht="31" x14ac:dyDescent="0.35">
      <c r="B586" s="111">
        <f t="shared" si="41"/>
        <v>576</v>
      </c>
      <c r="C586" s="64" t="s">
        <v>153</v>
      </c>
      <c r="D586" s="81" t="s">
        <v>32</v>
      </c>
      <c r="E586" s="78">
        <v>2</v>
      </c>
      <c r="F586" s="65"/>
      <c r="G586" s="65">
        <v>1464</v>
      </c>
      <c r="H586" s="65">
        <f t="shared" si="45"/>
        <v>1464</v>
      </c>
      <c r="I586" s="79">
        <f t="shared" si="42"/>
        <v>0</v>
      </c>
      <c r="J586" s="79">
        <f t="shared" si="43"/>
        <v>2928</v>
      </c>
      <c r="K586" s="79">
        <f t="shared" si="44"/>
        <v>2928</v>
      </c>
      <c r="L586" s="121"/>
    </row>
    <row r="587" spans="2:12" ht="33" x14ac:dyDescent="0.35">
      <c r="B587" s="111">
        <f t="shared" si="41"/>
        <v>577</v>
      </c>
      <c r="C587" s="64" t="s">
        <v>362</v>
      </c>
      <c r="D587" s="81" t="s">
        <v>26</v>
      </c>
      <c r="E587" s="78">
        <f>72.3-21.43</f>
        <v>50.87</v>
      </c>
      <c r="F587" s="65"/>
      <c r="G587" s="65">
        <v>439</v>
      </c>
      <c r="H587" s="65">
        <f t="shared" si="45"/>
        <v>439</v>
      </c>
      <c r="I587" s="79">
        <f t="shared" si="42"/>
        <v>0</v>
      </c>
      <c r="J587" s="79">
        <f t="shared" si="43"/>
        <v>22331.93</v>
      </c>
      <c r="K587" s="79">
        <f t="shared" si="44"/>
        <v>22331.93</v>
      </c>
      <c r="L587" s="121"/>
    </row>
    <row r="588" spans="2:12" ht="30" x14ac:dyDescent="0.35">
      <c r="B588" s="111">
        <f t="shared" si="41"/>
        <v>578</v>
      </c>
      <c r="C588" s="98" t="s">
        <v>219</v>
      </c>
      <c r="D588" s="99" t="s">
        <v>27</v>
      </c>
      <c r="E588" s="100" t="s">
        <v>220</v>
      </c>
      <c r="F588" s="101"/>
      <c r="G588" s="101"/>
      <c r="H588" s="101">
        <f t="shared" si="45"/>
        <v>0</v>
      </c>
      <c r="I588" s="101">
        <f t="shared" si="42"/>
        <v>0</v>
      </c>
      <c r="J588" s="101">
        <f t="shared" si="43"/>
        <v>0</v>
      </c>
      <c r="K588" s="101">
        <f t="shared" si="44"/>
        <v>0</v>
      </c>
      <c r="L588" s="102"/>
    </row>
    <row r="589" spans="2:12" ht="31" x14ac:dyDescent="0.35">
      <c r="B589" s="111">
        <f t="shared" ref="B589:B652" si="46">B588+1</f>
        <v>579</v>
      </c>
      <c r="C589" s="64" t="s">
        <v>348</v>
      </c>
      <c r="D589" s="77" t="s">
        <v>26</v>
      </c>
      <c r="E589" s="78">
        <f>185.42*0.97</f>
        <v>179.85739999999998</v>
      </c>
      <c r="F589" s="65"/>
      <c r="G589" s="65">
        <v>300</v>
      </c>
      <c r="H589" s="65">
        <f t="shared" si="45"/>
        <v>300</v>
      </c>
      <c r="I589" s="79">
        <f t="shared" ref="I589:I652" si="47">ROUND(F589*E589,2)</f>
        <v>0</v>
      </c>
      <c r="J589" s="79">
        <f t="shared" ref="J589:J652" si="48">ROUND(G589*E589,2)</f>
        <v>53957.22</v>
      </c>
      <c r="K589" s="79">
        <f t="shared" ref="K589:K652" si="49">I589+J589</f>
        <v>53957.22</v>
      </c>
      <c r="L589" s="121"/>
    </row>
    <row r="590" spans="2:12" x14ac:dyDescent="0.35">
      <c r="B590" s="111">
        <f t="shared" si="46"/>
        <v>580</v>
      </c>
      <c r="C590" s="64" t="s">
        <v>19</v>
      </c>
      <c r="D590" s="77" t="s">
        <v>26</v>
      </c>
      <c r="E590" s="78">
        <f>E589/97*3</f>
        <v>5.5625999999999998</v>
      </c>
      <c r="F590" s="65"/>
      <c r="G590" s="65">
        <v>1500</v>
      </c>
      <c r="H590" s="65">
        <f t="shared" si="45"/>
        <v>1500</v>
      </c>
      <c r="I590" s="79">
        <f t="shared" si="47"/>
        <v>0</v>
      </c>
      <c r="J590" s="79">
        <f t="shared" si="48"/>
        <v>8343.9</v>
      </c>
      <c r="K590" s="79">
        <f t="shared" si="49"/>
        <v>8343.9</v>
      </c>
      <c r="L590" s="121"/>
    </row>
    <row r="591" spans="2:12" x14ac:dyDescent="0.35">
      <c r="B591" s="111">
        <f t="shared" si="46"/>
        <v>581</v>
      </c>
      <c r="C591" s="64" t="s">
        <v>184</v>
      </c>
      <c r="D591" s="77" t="s">
        <v>25</v>
      </c>
      <c r="E591" s="78">
        <f>E588*0.75</f>
        <v>8.4750000000000014</v>
      </c>
      <c r="F591" s="65"/>
      <c r="G591" s="65"/>
      <c r="H591" s="65">
        <f t="shared" ref="H591:H654" si="50">F591+G591</f>
        <v>0</v>
      </c>
      <c r="I591" s="79">
        <f t="shared" si="47"/>
        <v>0</v>
      </c>
      <c r="J591" s="79">
        <f t="shared" si="48"/>
        <v>0</v>
      </c>
      <c r="K591" s="79">
        <f t="shared" si="49"/>
        <v>0</v>
      </c>
      <c r="L591" s="121"/>
    </row>
    <row r="592" spans="2:12" ht="31" x14ac:dyDescent="0.35">
      <c r="B592" s="111">
        <f t="shared" si="46"/>
        <v>582</v>
      </c>
      <c r="C592" s="64" t="s">
        <v>194</v>
      </c>
      <c r="D592" s="77" t="s">
        <v>25</v>
      </c>
      <c r="E592" s="78">
        <f>E588*0.48</f>
        <v>5.4240000000000004</v>
      </c>
      <c r="F592" s="65">
        <f>1973*0.15</f>
        <v>295.95</v>
      </c>
      <c r="G592" s="65">
        <f>1500*0.15</f>
        <v>225</v>
      </c>
      <c r="H592" s="65">
        <f t="shared" si="50"/>
        <v>520.95000000000005</v>
      </c>
      <c r="I592" s="79">
        <f t="shared" si="47"/>
        <v>1605.23</v>
      </c>
      <c r="J592" s="79">
        <f t="shared" si="48"/>
        <v>1220.4000000000001</v>
      </c>
      <c r="K592" s="79">
        <f t="shared" si="49"/>
        <v>2825.63</v>
      </c>
      <c r="L592" s="121"/>
    </row>
    <row r="593" spans="2:12" x14ac:dyDescent="0.35">
      <c r="B593" s="111">
        <f t="shared" si="46"/>
        <v>583</v>
      </c>
      <c r="C593" s="64" t="s">
        <v>20</v>
      </c>
      <c r="D593" s="77" t="s">
        <v>26</v>
      </c>
      <c r="E593" s="78">
        <f>0.34*E588*0.1</f>
        <v>0.3842000000000001</v>
      </c>
      <c r="F593" s="65"/>
      <c r="G593" s="65">
        <v>5860</v>
      </c>
      <c r="H593" s="65">
        <f t="shared" si="50"/>
        <v>5860</v>
      </c>
      <c r="I593" s="79">
        <f t="shared" si="47"/>
        <v>0</v>
      </c>
      <c r="J593" s="79">
        <f t="shared" si="48"/>
        <v>2251.41</v>
      </c>
      <c r="K593" s="79">
        <f t="shared" si="49"/>
        <v>2251.41</v>
      </c>
      <c r="L593" s="121"/>
    </row>
    <row r="594" spans="2:12" x14ac:dyDescent="0.35">
      <c r="B594" s="111">
        <f t="shared" si="46"/>
        <v>584</v>
      </c>
      <c r="C594" s="80" t="s">
        <v>159</v>
      </c>
      <c r="D594" s="77" t="s">
        <v>26</v>
      </c>
      <c r="E594" s="78">
        <f>E593*1.02</f>
        <v>0.39188400000000012</v>
      </c>
      <c r="F594" s="65">
        <v>6700</v>
      </c>
      <c r="G594" s="65"/>
      <c r="H594" s="65">
        <f t="shared" si="50"/>
        <v>6700</v>
      </c>
      <c r="I594" s="79">
        <f t="shared" si="47"/>
        <v>2625.62</v>
      </c>
      <c r="J594" s="79">
        <f t="shared" si="48"/>
        <v>0</v>
      </c>
      <c r="K594" s="79">
        <f t="shared" si="49"/>
        <v>2625.62</v>
      </c>
      <c r="L594" s="121"/>
    </row>
    <row r="595" spans="2:12" x14ac:dyDescent="0.35">
      <c r="B595" s="111">
        <f t="shared" si="46"/>
        <v>585</v>
      </c>
      <c r="C595" s="64" t="s">
        <v>28</v>
      </c>
      <c r="D595" s="77" t="s">
        <v>26</v>
      </c>
      <c r="E595" s="78">
        <f>0.8*E588*0.1</f>
        <v>0.90400000000000014</v>
      </c>
      <c r="F595" s="65"/>
      <c r="G595" s="65">
        <v>5860</v>
      </c>
      <c r="H595" s="65">
        <f t="shared" si="50"/>
        <v>5860</v>
      </c>
      <c r="I595" s="79">
        <f t="shared" si="47"/>
        <v>0</v>
      </c>
      <c r="J595" s="79">
        <f t="shared" si="48"/>
        <v>5297.44</v>
      </c>
      <c r="K595" s="79">
        <f t="shared" si="49"/>
        <v>5297.44</v>
      </c>
      <c r="L595" s="121"/>
    </row>
    <row r="596" spans="2:12" x14ac:dyDescent="0.35">
      <c r="B596" s="111">
        <f t="shared" si="46"/>
        <v>586</v>
      </c>
      <c r="C596" s="80" t="s">
        <v>29</v>
      </c>
      <c r="D596" s="77" t="s">
        <v>26</v>
      </c>
      <c r="E596" s="78">
        <f>E595*1.02</f>
        <v>0.92208000000000012</v>
      </c>
      <c r="F596" s="65">
        <v>7100</v>
      </c>
      <c r="G596" s="65"/>
      <c r="H596" s="65">
        <f t="shared" si="50"/>
        <v>7100</v>
      </c>
      <c r="I596" s="79">
        <f t="shared" si="47"/>
        <v>6546.77</v>
      </c>
      <c r="J596" s="79">
        <f t="shared" si="48"/>
        <v>0</v>
      </c>
      <c r="K596" s="79">
        <f t="shared" si="49"/>
        <v>6546.77</v>
      </c>
      <c r="L596" s="121"/>
    </row>
    <row r="597" spans="2:12" x14ac:dyDescent="0.35">
      <c r="B597" s="111">
        <f t="shared" si="46"/>
        <v>587</v>
      </c>
      <c r="C597" s="80" t="s">
        <v>30</v>
      </c>
      <c r="D597" s="77" t="s">
        <v>31</v>
      </c>
      <c r="E597" s="78">
        <f>31.39*E588*0.1</f>
        <v>35.470700000000008</v>
      </c>
      <c r="F597" s="65">
        <v>118.9</v>
      </c>
      <c r="G597" s="65"/>
      <c r="H597" s="65">
        <f t="shared" si="50"/>
        <v>118.9</v>
      </c>
      <c r="I597" s="79">
        <f t="shared" si="47"/>
        <v>4217.47</v>
      </c>
      <c r="J597" s="79">
        <f t="shared" si="48"/>
        <v>0</v>
      </c>
      <c r="K597" s="79">
        <f t="shared" si="49"/>
        <v>4217.47</v>
      </c>
      <c r="L597" s="121"/>
    </row>
    <row r="598" spans="2:12" x14ac:dyDescent="0.35">
      <c r="B598" s="111">
        <f t="shared" si="46"/>
        <v>588</v>
      </c>
      <c r="C598" s="64" t="s">
        <v>189</v>
      </c>
      <c r="D598" s="77" t="s">
        <v>27</v>
      </c>
      <c r="E598" s="78" t="str">
        <f>E588</f>
        <v>11,3</v>
      </c>
      <c r="F598" s="65"/>
      <c r="G598" s="65">
        <v>2928</v>
      </c>
      <c r="H598" s="65">
        <f t="shared" si="50"/>
        <v>2928</v>
      </c>
      <c r="I598" s="79">
        <f t="shared" si="47"/>
        <v>0</v>
      </c>
      <c r="J598" s="79">
        <f t="shared" si="48"/>
        <v>33086.400000000001</v>
      </c>
      <c r="K598" s="79">
        <f t="shared" si="49"/>
        <v>33086.400000000001</v>
      </c>
      <c r="L598" s="121"/>
    </row>
    <row r="599" spans="2:12" ht="31" x14ac:dyDescent="0.35">
      <c r="B599" s="111">
        <f t="shared" si="46"/>
        <v>589</v>
      </c>
      <c r="C599" s="80" t="s">
        <v>195</v>
      </c>
      <c r="D599" s="77" t="s">
        <v>27</v>
      </c>
      <c r="E599" s="78">
        <f>E598*1.1</f>
        <v>12.430000000000001</v>
      </c>
      <c r="F599" s="65">
        <v>855</v>
      </c>
      <c r="G599" s="65"/>
      <c r="H599" s="65">
        <f t="shared" si="50"/>
        <v>855</v>
      </c>
      <c r="I599" s="79">
        <f t="shared" si="47"/>
        <v>10627.65</v>
      </c>
      <c r="J599" s="79">
        <f t="shared" si="48"/>
        <v>0</v>
      </c>
      <c r="K599" s="79">
        <f t="shared" si="49"/>
        <v>10627.65</v>
      </c>
      <c r="L599" s="121"/>
    </row>
    <row r="600" spans="2:12" ht="33" x14ac:dyDescent="0.35">
      <c r="B600" s="111">
        <f t="shared" si="46"/>
        <v>590</v>
      </c>
      <c r="C600" s="64" t="s">
        <v>355</v>
      </c>
      <c r="D600" s="81" t="s">
        <v>26</v>
      </c>
      <c r="E600" s="78">
        <v>182.3</v>
      </c>
      <c r="F600" s="65"/>
      <c r="G600" s="65">
        <v>439</v>
      </c>
      <c r="H600" s="65">
        <f t="shared" si="50"/>
        <v>439</v>
      </c>
      <c r="I600" s="79">
        <f t="shared" si="47"/>
        <v>0</v>
      </c>
      <c r="J600" s="79">
        <f t="shared" si="48"/>
        <v>80029.7</v>
      </c>
      <c r="K600" s="79">
        <f t="shared" si="49"/>
        <v>80029.7</v>
      </c>
      <c r="L600" s="121"/>
    </row>
    <row r="601" spans="2:12" ht="30" customHeight="1" x14ac:dyDescent="0.35">
      <c r="B601" s="111">
        <f t="shared" si="46"/>
        <v>591</v>
      </c>
      <c r="C601" s="98" t="s">
        <v>221</v>
      </c>
      <c r="D601" s="103" t="s">
        <v>32</v>
      </c>
      <c r="E601" s="100">
        <v>1</v>
      </c>
      <c r="F601" s="101"/>
      <c r="G601" s="101"/>
      <c r="H601" s="101">
        <f t="shared" si="50"/>
        <v>0</v>
      </c>
      <c r="I601" s="101">
        <f t="shared" si="47"/>
        <v>0</v>
      </c>
      <c r="J601" s="101">
        <f t="shared" si="48"/>
        <v>0</v>
      </c>
      <c r="K601" s="101">
        <f t="shared" si="49"/>
        <v>0</v>
      </c>
      <c r="L601" s="102"/>
    </row>
    <row r="602" spans="2:12" ht="31" x14ac:dyDescent="0.35">
      <c r="B602" s="111">
        <f t="shared" si="46"/>
        <v>592</v>
      </c>
      <c r="C602" s="64" t="s">
        <v>348</v>
      </c>
      <c r="D602" s="81" t="s">
        <v>26</v>
      </c>
      <c r="E602" s="78">
        <f>56.5*0.97</f>
        <v>54.805</v>
      </c>
      <c r="F602" s="65"/>
      <c r="G602" s="65">
        <v>300</v>
      </c>
      <c r="H602" s="65">
        <f t="shared" si="50"/>
        <v>300</v>
      </c>
      <c r="I602" s="79">
        <f t="shared" si="47"/>
        <v>0</v>
      </c>
      <c r="J602" s="79">
        <f t="shared" si="48"/>
        <v>16441.5</v>
      </c>
      <c r="K602" s="79">
        <f t="shared" si="49"/>
        <v>16441.5</v>
      </c>
      <c r="L602" s="121"/>
    </row>
    <row r="603" spans="2:12" x14ac:dyDescent="0.35">
      <c r="B603" s="111">
        <f t="shared" si="46"/>
        <v>593</v>
      </c>
      <c r="C603" s="64" t="s">
        <v>19</v>
      </c>
      <c r="D603" s="81" t="s">
        <v>26</v>
      </c>
      <c r="E603" s="78">
        <f>E602/9</f>
        <v>6.0894444444444442</v>
      </c>
      <c r="F603" s="65"/>
      <c r="G603" s="65">
        <v>1500</v>
      </c>
      <c r="H603" s="65">
        <f t="shared" si="50"/>
        <v>1500</v>
      </c>
      <c r="I603" s="79">
        <f t="shared" si="47"/>
        <v>0</v>
      </c>
      <c r="J603" s="79">
        <f t="shared" si="48"/>
        <v>9134.17</v>
      </c>
      <c r="K603" s="79">
        <f t="shared" si="49"/>
        <v>9134.17</v>
      </c>
      <c r="L603" s="121"/>
    </row>
    <row r="604" spans="2:12" x14ac:dyDescent="0.35">
      <c r="B604" s="111">
        <f t="shared" si="46"/>
        <v>594</v>
      </c>
      <c r="C604" s="64" t="s">
        <v>67</v>
      </c>
      <c r="D604" s="81" t="s">
        <v>25</v>
      </c>
      <c r="E604" s="78">
        <v>6.6</v>
      </c>
      <c r="F604" s="65"/>
      <c r="G604" s="65"/>
      <c r="H604" s="65">
        <f t="shared" si="50"/>
        <v>0</v>
      </c>
      <c r="I604" s="79">
        <f t="shared" si="47"/>
        <v>0</v>
      </c>
      <c r="J604" s="79">
        <f t="shared" si="48"/>
        <v>0</v>
      </c>
      <c r="K604" s="79">
        <f t="shared" si="49"/>
        <v>0</v>
      </c>
      <c r="L604" s="121"/>
    </row>
    <row r="605" spans="2:12" x14ac:dyDescent="0.35">
      <c r="B605" s="111">
        <f t="shared" si="46"/>
        <v>595</v>
      </c>
      <c r="C605" s="64" t="s">
        <v>68</v>
      </c>
      <c r="D605" s="81" t="s">
        <v>26</v>
      </c>
      <c r="E605" s="78">
        <v>0.66</v>
      </c>
      <c r="F605" s="65"/>
      <c r="G605" s="65">
        <v>5860</v>
      </c>
      <c r="H605" s="65">
        <f t="shared" si="50"/>
        <v>5860</v>
      </c>
      <c r="I605" s="79">
        <f t="shared" si="47"/>
        <v>0</v>
      </c>
      <c r="J605" s="79">
        <f t="shared" si="48"/>
        <v>3867.6</v>
      </c>
      <c r="K605" s="79">
        <f t="shared" si="49"/>
        <v>3867.6</v>
      </c>
      <c r="L605" s="121"/>
    </row>
    <row r="606" spans="2:12" x14ac:dyDescent="0.35">
      <c r="B606" s="111">
        <f t="shared" si="46"/>
        <v>596</v>
      </c>
      <c r="C606" s="80" t="s">
        <v>159</v>
      </c>
      <c r="D606" s="81" t="s">
        <v>26</v>
      </c>
      <c r="E606" s="78">
        <v>0.67</v>
      </c>
      <c r="F606" s="65">
        <v>6700</v>
      </c>
      <c r="G606" s="65"/>
      <c r="H606" s="65">
        <f t="shared" si="50"/>
        <v>6700</v>
      </c>
      <c r="I606" s="79">
        <f t="shared" si="47"/>
        <v>4489</v>
      </c>
      <c r="J606" s="79">
        <f t="shared" si="48"/>
        <v>0</v>
      </c>
      <c r="K606" s="79">
        <f t="shared" si="49"/>
        <v>4489</v>
      </c>
      <c r="L606" s="121"/>
    </row>
    <row r="607" spans="2:12" x14ac:dyDescent="0.35">
      <c r="B607" s="111">
        <f t="shared" si="46"/>
        <v>597</v>
      </c>
      <c r="C607" s="64" t="s">
        <v>151</v>
      </c>
      <c r="D607" s="81" t="s">
        <v>25</v>
      </c>
      <c r="E607" s="78">
        <f>(3.14*2.5^2)/4</f>
        <v>4.90625</v>
      </c>
      <c r="F607" s="65">
        <v>68.5</v>
      </c>
      <c r="G607" s="65">
        <v>150</v>
      </c>
      <c r="H607" s="65">
        <f t="shared" si="50"/>
        <v>218.5</v>
      </c>
      <c r="I607" s="79">
        <f t="shared" si="47"/>
        <v>336.08</v>
      </c>
      <c r="J607" s="79">
        <f t="shared" si="48"/>
        <v>735.94</v>
      </c>
      <c r="K607" s="79">
        <f t="shared" si="49"/>
        <v>1072.02</v>
      </c>
      <c r="L607" s="121"/>
    </row>
    <row r="608" spans="2:12" ht="31" x14ac:dyDescent="0.35">
      <c r="B608" s="111">
        <f t="shared" si="46"/>
        <v>598</v>
      </c>
      <c r="C608" s="64" t="s">
        <v>152</v>
      </c>
      <c r="D608" s="81" t="s">
        <v>25</v>
      </c>
      <c r="E608" s="78">
        <f>(3.14*2.5^2)/4</f>
        <v>4.90625</v>
      </c>
      <c r="F608" s="65">
        <v>927</v>
      </c>
      <c r="G608" s="65">
        <v>400</v>
      </c>
      <c r="H608" s="65">
        <f t="shared" si="50"/>
        <v>1327</v>
      </c>
      <c r="I608" s="79">
        <f t="shared" si="47"/>
        <v>4548.09</v>
      </c>
      <c r="J608" s="79">
        <f t="shared" si="48"/>
        <v>1962.5</v>
      </c>
      <c r="K608" s="79">
        <f t="shared" si="49"/>
        <v>6510.59</v>
      </c>
      <c r="L608" s="121"/>
    </row>
    <row r="609" spans="2:12" ht="31" x14ac:dyDescent="0.35">
      <c r="B609" s="111">
        <f t="shared" si="46"/>
        <v>599</v>
      </c>
      <c r="C609" s="64" t="s">
        <v>69</v>
      </c>
      <c r="D609" s="81" t="s">
        <v>32</v>
      </c>
      <c r="E609" s="78">
        <v>1</v>
      </c>
      <c r="F609" s="65"/>
      <c r="G609" s="65">
        <v>5662</v>
      </c>
      <c r="H609" s="65">
        <f t="shared" si="50"/>
        <v>5662</v>
      </c>
      <c r="I609" s="79">
        <f t="shared" si="47"/>
        <v>0</v>
      </c>
      <c r="J609" s="79">
        <f t="shared" si="48"/>
        <v>5662</v>
      </c>
      <c r="K609" s="79">
        <f t="shared" si="49"/>
        <v>5662</v>
      </c>
      <c r="L609" s="121"/>
    </row>
    <row r="610" spans="2:12" x14ac:dyDescent="0.35">
      <c r="B610" s="111">
        <f t="shared" si="46"/>
        <v>600</v>
      </c>
      <c r="C610" s="82" t="s">
        <v>320</v>
      </c>
      <c r="D610" s="81" t="s">
        <v>32</v>
      </c>
      <c r="E610" s="78">
        <v>1</v>
      </c>
      <c r="F610" s="65">
        <f>7000*1.2</f>
        <v>8400</v>
      </c>
      <c r="G610" s="65"/>
      <c r="H610" s="65">
        <f t="shared" si="50"/>
        <v>8400</v>
      </c>
      <c r="I610" s="79">
        <f t="shared" si="47"/>
        <v>8400</v>
      </c>
      <c r="J610" s="79">
        <f t="shared" si="48"/>
        <v>0</v>
      </c>
      <c r="K610" s="79">
        <f t="shared" si="49"/>
        <v>8400</v>
      </c>
      <c r="L610" s="121"/>
    </row>
    <row r="611" spans="2:12" x14ac:dyDescent="0.35">
      <c r="B611" s="111">
        <f t="shared" si="46"/>
        <v>601</v>
      </c>
      <c r="C611" s="82" t="s">
        <v>101</v>
      </c>
      <c r="D611" s="81" t="s">
        <v>26</v>
      </c>
      <c r="E611" s="78">
        <v>0.06</v>
      </c>
      <c r="F611" s="65">
        <v>7300</v>
      </c>
      <c r="G611" s="65"/>
      <c r="H611" s="65">
        <f t="shared" si="50"/>
        <v>7300</v>
      </c>
      <c r="I611" s="79">
        <f t="shared" si="47"/>
        <v>438</v>
      </c>
      <c r="J611" s="79">
        <f t="shared" si="48"/>
        <v>0</v>
      </c>
      <c r="K611" s="79">
        <f t="shared" si="49"/>
        <v>438</v>
      </c>
      <c r="L611" s="121"/>
    </row>
    <row r="612" spans="2:12" ht="31" x14ac:dyDescent="0.35">
      <c r="B612" s="111">
        <f t="shared" si="46"/>
        <v>602</v>
      </c>
      <c r="C612" s="64" t="s">
        <v>179</v>
      </c>
      <c r="D612" s="81" t="s">
        <v>26</v>
      </c>
      <c r="E612" s="78">
        <v>1.2</v>
      </c>
      <c r="F612" s="65"/>
      <c r="G612" s="65">
        <v>5860</v>
      </c>
      <c r="H612" s="65">
        <f t="shared" si="50"/>
        <v>5860</v>
      </c>
      <c r="I612" s="79">
        <f t="shared" si="47"/>
        <v>0</v>
      </c>
      <c r="J612" s="79">
        <f t="shared" si="48"/>
        <v>7032</v>
      </c>
      <c r="K612" s="79">
        <f t="shared" si="49"/>
        <v>7032</v>
      </c>
      <c r="L612" s="121"/>
    </row>
    <row r="613" spans="2:12" x14ac:dyDescent="0.35">
      <c r="B613" s="111">
        <f t="shared" si="46"/>
        <v>603</v>
      </c>
      <c r="C613" s="82" t="s">
        <v>75</v>
      </c>
      <c r="D613" s="81" t="s">
        <v>26</v>
      </c>
      <c r="E613" s="78">
        <v>1.22</v>
      </c>
      <c r="F613" s="65">
        <v>7100</v>
      </c>
      <c r="G613" s="65"/>
      <c r="H613" s="65">
        <f t="shared" si="50"/>
        <v>7100</v>
      </c>
      <c r="I613" s="79">
        <f t="shared" si="47"/>
        <v>8662</v>
      </c>
      <c r="J613" s="79">
        <f t="shared" si="48"/>
        <v>0</v>
      </c>
      <c r="K613" s="79">
        <f t="shared" si="49"/>
        <v>8662</v>
      </c>
      <c r="L613" s="121"/>
    </row>
    <row r="614" spans="2:12" ht="31" x14ac:dyDescent="0.35">
      <c r="B614" s="111">
        <f t="shared" si="46"/>
        <v>604</v>
      </c>
      <c r="C614" s="64" t="s">
        <v>78</v>
      </c>
      <c r="D614" s="81" t="s">
        <v>32</v>
      </c>
      <c r="E614" s="78">
        <v>7</v>
      </c>
      <c r="F614" s="65"/>
      <c r="G614" s="65">
        <v>5662</v>
      </c>
      <c r="H614" s="65">
        <f t="shared" si="50"/>
        <v>5662</v>
      </c>
      <c r="I614" s="79">
        <f t="shared" si="47"/>
        <v>0</v>
      </c>
      <c r="J614" s="79">
        <f t="shared" si="48"/>
        <v>39634</v>
      </c>
      <c r="K614" s="79">
        <f t="shared" si="49"/>
        <v>39634</v>
      </c>
      <c r="L614" s="121"/>
    </row>
    <row r="615" spans="2:12" x14ac:dyDescent="0.35">
      <c r="B615" s="111">
        <f t="shared" si="46"/>
        <v>605</v>
      </c>
      <c r="C615" s="82" t="s">
        <v>76</v>
      </c>
      <c r="D615" s="81" t="s">
        <v>32</v>
      </c>
      <c r="E615" s="78">
        <v>5</v>
      </c>
      <c r="F615" s="65">
        <f>7000*1.2</f>
        <v>8400</v>
      </c>
      <c r="G615" s="65"/>
      <c r="H615" s="65">
        <f t="shared" si="50"/>
        <v>8400</v>
      </c>
      <c r="I615" s="79">
        <f t="shared" si="47"/>
        <v>42000</v>
      </c>
      <c r="J615" s="79">
        <f t="shared" si="48"/>
        <v>0</v>
      </c>
      <c r="K615" s="79">
        <f t="shared" si="49"/>
        <v>42000</v>
      </c>
      <c r="L615" s="121"/>
    </row>
    <row r="616" spans="2:12" x14ac:dyDescent="0.35">
      <c r="B616" s="111">
        <f t="shared" si="46"/>
        <v>606</v>
      </c>
      <c r="C616" s="82" t="s">
        <v>81</v>
      </c>
      <c r="D616" s="81" t="s">
        <v>32</v>
      </c>
      <c r="E616" s="78">
        <v>1</v>
      </c>
      <c r="F616" s="65">
        <f>900*1.2</f>
        <v>1080</v>
      </c>
      <c r="G616" s="65"/>
      <c r="H616" s="65">
        <f t="shared" si="50"/>
        <v>1080</v>
      </c>
      <c r="I616" s="79">
        <f t="shared" si="47"/>
        <v>1080</v>
      </c>
      <c r="J616" s="79">
        <f t="shared" si="48"/>
        <v>0</v>
      </c>
      <c r="K616" s="79">
        <f t="shared" si="49"/>
        <v>1080</v>
      </c>
      <c r="L616" s="121"/>
    </row>
    <row r="617" spans="2:12" x14ac:dyDescent="0.35">
      <c r="B617" s="111">
        <f t="shared" si="46"/>
        <v>607</v>
      </c>
      <c r="C617" s="82" t="s">
        <v>80</v>
      </c>
      <c r="D617" s="81" t="s">
        <v>32</v>
      </c>
      <c r="E617" s="78">
        <v>1</v>
      </c>
      <c r="F617" s="65">
        <f>1200*1.2</f>
        <v>1440</v>
      </c>
      <c r="G617" s="65"/>
      <c r="H617" s="65">
        <f t="shared" si="50"/>
        <v>1440</v>
      </c>
      <c r="I617" s="79">
        <f t="shared" si="47"/>
        <v>1440</v>
      </c>
      <c r="J617" s="79">
        <f t="shared" si="48"/>
        <v>0</v>
      </c>
      <c r="K617" s="79">
        <f t="shared" si="49"/>
        <v>1440</v>
      </c>
      <c r="L617" s="121"/>
    </row>
    <row r="618" spans="2:12" ht="31" x14ac:dyDescent="0.35">
      <c r="B618" s="111">
        <f t="shared" si="46"/>
        <v>608</v>
      </c>
      <c r="C618" s="64" t="s">
        <v>85</v>
      </c>
      <c r="D618" s="81" t="s">
        <v>32</v>
      </c>
      <c r="E618" s="78">
        <v>1</v>
      </c>
      <c r="F618" s="65"/>
      <c r="G618" s="65">
        <v>2500</v>
      </c>
      <c r="H618" s="65">
        <f t="shared" si="50"/>
        <v>2500</v>
      </c>
      <c r="I618" s="79">
        <f t="shared" si="47"/>
        <v>0</v>
      </c>
      <c r="J618" s="79">
        <f t="shared" si="48"/>
        <v>2500</v>
      </c>
      <c r="K618" s="79">
        <f t="shared" si="49"/>
        <v>2500</v>
      </c>
      <c r="L618" s="121"/>
    </row>
    <row r="619" spans="2:12" x14ac:dyDescent="0.35">
      <c r="B619" s="111">
        <f t="shared" si="46"/>
        <v>609</v>
      </c>
      <c r="C619" s="82" t="s">
        <v>137</v>
      </c>
      <c r="D619" s="81" t="s">
        <v>32</v>
      </c>
      <c r="E619" s="78">
        <v>1</v>
      </c>
      <c r="F619" s="65">
        <f>7000*1.2</f>
        <v>8400</v>
      </c>
      <c r="G619" s="65"/>
      <c r="H619" s="65">
        <f t="shared" si="50"/>
        <v>8400</v>
      </c>
      <c r="I619" s="79">
        <f t="shared" si="47"/>
        <v>8400</v>
      </c>
      <c r="J619" s="79">
        <f t="shared" si="48"/>
        <v>0</v>
      </c>
      <c r="K619" s="79">
        <f t="shared" si="49"/>
        <v>8400</v>
      </c>
      <c r="L619" s="121"/>
    </row>
    <row r="620" spans="2:12" ht="31" x14ac:dyDescent="0.35">
      <c r="B620" s="111">
        <f t="shared" si="46"/>
        <v>610</v>
      </c>
      <c r="C620" s="64" t="s">
        <v>316</v>
      </c>
      <c r="D620" s="81" t="s">
        <v>32</v>
      </c>
      <c r="E620" s="78">
        <v>1</v>
      </c>
      <c r="F620" s="65"/>
      <c r="G620" s="65"/>
      <c r="H620" s="65">
        <f t="shared" si="50"/>
        <v>0</v>
      </c>
      <c r="I620" s="79">
        <f t="shared" si="47"/>
        <v>0</v>
      </c>
      <c r="J620" s="79">
        <f t="shared" si="48"/>
        <v>0</v>
      </c>
      <c r="K620" s="79">
        <f t="shared" si="49"/>
        <v>0</v>
      </c>
      <c r="L620" s="121"/>
    </row>
    <row r="621" spans="2:12" x14ac:dyDescent="0.35">
      <c r="B621" s="111">
        <f t="shared" si="46"/>
        <v>611</v>
      </c>
      <c r="C621" s="82" t="s">
        <v>84</v>
      </c>
      <c r="D621" s="81" t="s">
        <v>32</v>
      </c>
      <c r="E621" s="78">
        <v>1</v>
      </c>
      <c r="F621" s="65">
        <v>1300</v>
      </c>
      <c r="G621" s="65">
        <v>990</v>
      </c>
      <c r="H621" s="65">
        <f t="shared" si="50"/>
        <v>2290</v>
      </c>
      <c r="I621" s="79">
        <f t="shared" si="47"/>
        <v>1300</v>
      </c>
      <c r="J621" s="79">
        <f t="shared" si="48"/>
        <v>990</v>
      </c>
      <c r="K621" s="79">
        <f t="shared" si="49"/>
        <v>2290</v>
      </c>
      <c r="L621" s="121"/>
    </row>
    <row r="622" spans="2:12" x14ac:dyDescent="0.35">
      <c r="B622" s="111">
        <f t="shared" si="46"/>
        <v>612</v>
      </c>
      <c r="C622" s="80" t="s">
        <v>301</v>
      </c>
      <c r="D622" s="81" t="s">
        <v>32</v>
      </c>
      <c r="E622" s="78">
        <v>1</v>
      </c>
      <c r="F622" s="65">
        <v>6000</v>
      </c>
      <c r="G622" s="65">
        <v>1464.09</v>
      </c>
      <c r="H622" s="65">
        <f t="shared" si="50"/>
        <v>7464.09</v>
      </c>
      <c r="I622" s="79">
        <f t="shared" si="47"/>
        <v>6000</v>
      </c>
      <c r="J622" s="79">
        <f t="shared" si="48"/>
        <v>1464.09</v>
      </c>
      <c r="K622" s="79">
        <f t="shared" si="49"/>
        <v>7464.09</v>
      </c>
      <c r="L622" s="121"/>
    </row>
    <row r="623" spans="2:12" ht="31" x14ac:dyDescent="0.35">
      <c r="B623" s="111">
        <f t="shared" si="46"/>
        <v>613</v>
      </c>
      <c r="C623" s="64" t="s">
        <v>156</v>
      </c>
      <c r="D623" s="81" t="s">
        <v>25</v>
      </c>
      <c r="E623" s="78">
        <f>38.27+3.8</f>
        <v>42.07</v>
      </c>
      <c r="F623" s="65">
        <v>68.5</v>
      </c>
      <c r="G623" s="65">
        <v>150</v>
      </c>
      <c r="H623" s="65">
        <f t="shared" si="50"/>
        <v>218.5</v>
      </c>
      <c r="I623" s="79">
        <f t="shared" si="47"/>
        <v>2881.8</v>
      </c>
      <c r="J623" s="79">
        <f t="shared" si="48"/>
        <v>6310.5</v>
      </c>
      <c r="K623" s="79">
        <f t="shared" si="49"/>
        <v>9192.2999999999993</v>
      </c>
      <c r="L623" s="121"/>
    </row>
    <row r="624" spans="2:12" ht="46.5" x14ac:dyDescent="0.35">
      <c r="B624" s="111">
        <f t="shared" si="46"/>
        <v>614</v>
      </c>
      <c r="C624" s="64" t="s">
        <v>157</v>
      </c>
      <c r="D624" s="81" t="s">
        <v>25</v>
      </c>
      <c r="E624" s="78">
        <f>38.27+3.8</f>
        <v>42.07</v>
      </c>
      <c r="F624" s="65">
        <v>927</v>
      </c>
      <c r="G624" s="65">
        <v>400</v>
      </c>
      <c r="H624" s="65">
        <f t="shared" si="50"/>
        <v>1327</v>
      </c>
      <c r="I624" s="79">
        <f t="shared" si="47"/>
        <v>38998.89</v>
      </c>
      <c r="J624" s="79">
        <f t="shared" si="48"/>
        <v>16828</v>
      </c>
      <c r="K624" s="79">
        <f t="shared" si="49"/>
        <v>55826.89</v>
      </c>
      <c r="L624" s="121"/>
    </row>
    <row r="625" spans="2:12" x14ac:dyDescent="0.35">
      <c r="B625" s="111">
        <f t="shared" si="46"/>
        <v>615</v>
      </c>
      <c r="C625" s="64" t="s">
        <v>317</v>
      </c>
      <c r="D625" s="81" t="s">
        <v>32</v>
      </c>
      <c r="E625" s="78">
        <v>1</v>
      </c>
      <c r="F625" s="65"/>
      <c r="G625" s="65"/>
      <c r="H625" s="65">
        <f t="shared" si="50"/>
        <v>0</v>
      </c>
      <c r="I625" s="79">
        <f t="shared" si="47"/>
        <v>0</v>
      </c>
      <c r="J625" s="79">
        <f t="shared" si="48"/>
        <v>0</v>
      </c>
      <c r="K625" s="79">
        <f t="shared" si="49"/>
        <v>0</v>
      </c>
      <c r="L625" s="121"/>
    </row>
    <row r="626" spans="2:12" x14ac:dyDescent="0.35">
      <c r="B626" s="111">
        <f t="shared" si="46"/>
        <v>616</v>
      </c>
      <c r="C626" s="82" t="s">
        <v>318</v>
      </c>
      <c r="D626" s="81" t="s">
        <v>31</v>
      </c>
      <c r="E626" s="78">
        <v>49.36</v>
      </c>
      <c r="F626" s="68">
        <v>71</v>
      </c>
      <c r="G626" s="65">
        <v>97.61</v>
      </c>
      <c r="H626" s="65">
        <f t="shared" si="50"/>
        <v>168.61</v>
      </c>
      <c r="I626" s="79">
        <f t="shared" si="47"/>
        <v>3504.56</v>
      </c>
      <c r="J626" s="79">
        <f t="shared" si="48"/>
        <v>4818.03</v>
      </c>
      <c r="K626" s="79">
        <f t="shared" si="49"/>
        <v>8322.59</v>
      </c>
      <c r="L626" s="121"/>
    </row>
    <row r="627" spans="2:12" x14ac:dyDescent="0.35">
      <c r="B627" s="111">
        <f t="shared" si="46"/>
        <v>617</v>
      </c>
      <c r="C627" s="64" t="s">
        <v>93</v>
      </c>
      <c r="D627" s="81" t="s">
        <v>32</v>
      </c>
      <c r="E627" s="78">
        <v>2</v>
      </c>
      <c r="F627" s="65"/>
      <c r="G627" s="65"/>
      <c r="H627" s="65">
        <f t="shared" si="50"/>
        <v>0</v>
      </c>
      <c r="I627" s="79">
        <f t="shared" si="47"/>
        <v>0</v>
      </c>
      <c r="J627" s="79">
        <f t="shared" si="48"/>
        <v>0</v>
      </c>
      <c r="K627" s="79">
        <f t="shared" si="49"/>
        <v>0</v>
      </c>
      <c r="L627" s="121"/>
    </row>
    <row r="628" spans="2:12" x14ac:dyDescent="0.35">
      <c r="B628" s="111">
        <f t="shared" si="46"/>
        <v>618</v>
      </c>
      <c r="C628" s="82" t="s">
        <v>94</v>
      </c>
      <c r="D628" s="81" t="s">
        <v>31</v>
      </c>
      <c r="E628" s="78">
        <f>0.82*2</f>
        <v>1.64</v>
      </c>
      <c r="F628" s="68">
        <v>71</v>
      </c>
      <c r="G628" s="65">
        <v>97.61</v>
      </c>
      <c r="H628" s="65">
        <f t="shared" si="50"/>
        <v>168.61</v>
      </c>
      <c r="I628" s="79">
        <f t="shared" si="47"/>
        <v>116.44</v>
      </c>
      <c r="J628" s="79">
        <f t="shared" si="48"/>
        <v>160.08000000000001</v>
      </c>
      <c r="K628" s="79">
        <f t="shared" si="49"/>
        <v>276.52</v>
      </c>
      <c r="L628" s="121"/>
    </row>
    <row r="629" spans="2:12" ht="31" x14ac:dyDescent="0.35">
      <c r="B629" s="111">
        <f t="shared" si="46"/>
        <v>619</v>
      </c>
      <c r="C629" s="64" t="s">
        <v>153</v>
      </c>
      <c r="D629" s="81" t="s">
        <v>32</v>
      </c>
      <c r="E629" s="78">
        <v>3</v>
      </c>
      <c r="F629" s="65"/>
      <c r="G629" s="65">
        <v>1464</v>
      </c>
      <c r="H629" s="65">
        <f t="shared" si="50"/>
        <v>1464</v>
      </c>
      <c r="I629" s="79">
        <f t="shared" si="47"/>
        <v>0</v>
      </c>
      <c r="J629" s="79">
        <f t="shared" si="48"/>
        <v>4392</v>
      </c>
      <c r="K629" s="79">
        <f t="shared" si="49"/>
        <v>4392</v>
      </c>
      <c r="L629" s="121"/>
    </row>
    <row r="630" spans="2:12" ht="33" x14ac:dyDescent="0.35">
      <c r="B630" s="111">
        <f t="shared" si="46"/>
        <v>620</v>
      </c>
      <c r="C630" s="64" t="s">
        <v>362</v>
      </c>
      <c r="D630" s="81" t="s">
        <v>26</v>
      </c>
      <c r="E630" s="78">
        <f>53.59-21.05</f>
        <v>32.540000000000006</v>
      </c>
      <c r="F630" s="65"/>
      <c r="G630" s="65">
        <v>439</v>
      </c>
      <c r="H630" s="65">
        <f t="shared" si="50"/>
        <v>439</v>
      </c>
      <c r="I630" s="79">
        <f t="shared" si="47"/>
        <v>0</v>
      </c>
      <c r="J630" s="79">
        <f t="shared" si="48"/>
        <v>14285.06</v>
      </c>
      <c r="K630" s="79">
        <f t="shared" si="49"/>
        <v>14285.06</v>
      </c>
      <c r="L630" s="121"/>
    </row>
    <row r="631" spans="2:12" ht="30" x14ac:dyDescent="0.35">
      <c r="B631" s="111">
        <f t="shared" si="46"/>
        <v>621</v>
      </c>
      <c r="C631" s="98" t="s">
        <v>222</v>
      </c>
      <c r="D631" s="99" t="s">
        <v>27</v>
      </c>
      <c r="E631" s="105">
        <v>4.9000000000000004</v>
      </c>
      <c r="F631" s="101"/>
      <c r="G631" s="101"/>
      <c r="H631" s="101">
        <f t="shared" si="50"/>
        <v>0</v>
      </c>
      <c r="I631" s="101">
        <f t="shared" si="47"/>
        <v>0</v>
      </c>
      <c r="J631" s="101">
        <f t="shared" si="48"/>
        <v>0</v>
      </c>
      <c r="K631" s="101">
        <f t="shared" si="49"/>
        <v>0</v>
      </c>
      <c r="L631" s="102"/>
    </row>
    <row r="632" spans="2:12" ht="31" x14ac:dyDescent="0.35">
      <c r="B632" s="111">
        <f t="shared" si="46"/>
        <v>622</v>
      </c>
      <c r="C632" s="64" t="s">
        <v>348</v>
      </c>
      <c r="D632" s="77" t="s">
        <v>26</v>
      </c>
      <c r="E632" s="84">
        <f>0.97*49.28</f>
        <v>47.801600000000001</v>
      </c>
      <c r="F632" s="65"/>
      <c r="G632" s="65">
        <v>300</v>
      </c>
      <c r="H632" s="65">
        <f t="shared" si="50"/>
        <v>300</v>
      </c>
      <c r="I632" s="79">
        <f t="shared" si="47"/>
        <v>0</v>
      </c>
      <c r="J632" s="79">
        <f t="shared" si="48"/>
        <v>14340.48</v>
      </c>
      <c r="K632" s="79">
        <f t="shared" si="49"/>
        <v>14340.48</v>
      </c>
      <c r="L632" s="121"/>
    </row>
    <row r="633" spans="2:12" x14ac:dyDescent="0.35">
      <c r="B633" s="111">
        <f t="shared" si="46"/>
        <v>623</v>
      </c>
      <c r="C633" s="64" t="s">
        <v>19</v>
      </c>
      <c r="D633" s="77" t="s">
        <v>26</v>
      </c>
      <c r="E633" s="78">
        <f>E632/97*3</f>
        <v>1.4784000000000002</v>
      </c>
      <c r="F633" s="65"/>
      <c r="G633" s="65">
        <v>1500</v>
      </c>
      <c r="H633" s="65">
        <f t="shared" si="50"/>
        <v>1500</v>
      </c>
      <c r="I633" s="79">
        <f t="shared" si="47"/>
        <v>0</v>
      </c>
      <c r="J633" s="79">
        <f t="shared" si="48"/>
        <v>2217.6</v>
      </c>
      <c r="K633" s="79">
        <f t="shared" si="49"/>
        <v>2217.6</v>
      </c>
      <c r="L633" s="121"/>
    </row>
    <row r="634" spans="2:12" x14ac:dyDescent="0.35">
      <c r="B634" s="111">
        <f t="shared" si="46"/>
        <v>624</v>
      </c>
      <c r="C634" s="64" t="s">
        <v>184</v>
      </c>
      <c r="D634" s="77" t="s">
        <v>25</v>
      </c>
      <c r="E634" s="78">
        <f>E631*0.75</f>
        <v>3.6750000000000003</v>
      </c>
      <c r="F634" s="65"/>
      <c r="G634" s="65"/>
      <c r="H634" s="65">
        <f t="shared" si="50"/>
        <v>0</v>
      </c>
      <c r="I634" s="79">
        <f t="shared" si="47"/>
        <v>0</v>
      </c>
      <c r="J634" s="79">
        <f t="shared" si="48"/>
        <v>0</v>
      </c>
      <c r="K634" s="79">
        <f t="shared" si="49"/>
        <v>0</v>
      </c>
      <c r="L634" s="121"/>
    </row>
    <row r="635" spans="2:12" ht="31" x14ac:dyDescent="0.35">
      <c r="B635" s="111">
        <f t="shared" si="46"/>
        <v>625</v>
      </c>
      <c r="C635" s="64" t="s">
        <v>194</v>
      </c>
      <c r="D635" s="77" t="s">
        <v>25</v>
      </c>
      <c r="E635" s="78">
        <f>E631*0.48</f>
        <v>2.3519999999999999</v>
      </c>
      <c r="F635" s="65">
        <f>1973*0.15</f>
        <v>295.95</v>
      </c>
      <c r="G635" s="65">
        <f>1500*0.15</f>
        <v>225</v>
      </c>
      <c r="H635" s="65">
        <f t="shared" si="50"/>
        <v>520.95000000000005</v>
      </c>
      <c r="I635" s="79">
        <f t="shared" si="47"/>
        <v>696.07</v>
      </c>
      <c r="J635" s="79">
        <f t="shared" si="48"/>
        <v>529.20000000000005</v>
      </c>
      <c r="K635" s="79">
        <f t="shared" si="49"/>
        <v>1225.27</v>
      </c>
      <c r="L635" s="121"/>
    </row>
    <row r="636" spans="2:12" x14ac:dyDescent="0.35">
      <c r="B636" s="111">
        <f t="shared" si="46"/>
        <v>626</v>
      </c>
      <c r="C636" s="64" t="s">
        <v>20</v>
      </c>
      <c r="D636" s="77" t="s">
        <v>26</v>
      </c>
      <c r="E636" s="78">
        <f>0.34*E631*0.1</f>
        <v>0.16660000000000003</v>
      </c>
      <c r="F636" s="65"/>
      <c r="G636" s="65">
        <v>5860</v>
      </c>
      <c r="H636" s="65">
        <f t="shared" si="50"/>
        <v>5860</v>
      </c>
      <c r="I636" s="79">
        <f t="shared" si="47"/>
        <v>0</v>
      </c>
      <c r="J636" s="79">
        <f t="shared" si="48"/>
        <v>976.28</v>
      </c>
      <c r="K636" s="79">
        <f t="shared" si="49"/>
        <v>976.28</v>
      </c>
      <c r="L636" s="121"/>
    </row>
    <row r="637" spans="2:12" x14ac:dyDescent="0.35">
      <c r="B637" s="111">
        <f t="shared" si="46"/>
        <v>627</v>
      </c>
      <c r="C637" s="80" t="s">
        <v>159</v>
      </c>
      <c r="D637" s="77" t="s">
        <v>26</v>
      </c>
      <c r="E637" s="78">
        <f>E636*1.02</f>
        <v>0.16993200000000003</v>
      </c>
      <c r="F637" s="65">
        <v>6700</v>
      </c>
      <c r="G637" s="65"/>
      <c r="H637" s="65">
        <f t="shared" si="50"/>
        <v>6700</v>
      </c>
      <c r="I637" s="79">
        <f t="shared" si="47"/>
        <v>1138.54</v>
      </c>
      <c r="J637" s="79">
        <f t="shared" si="48"/>
        <v>0</v>
      </c>
      <c r="K637" s="79">
        <f t="shared" si="49"/>
        <v>1138.54</v>
      </c>
      <c r="L637" s="121"/>
    </row>
    <row r="638" spans="2:12" x14ac:dyDescent="0.35">
      <c r="B638" s="111">
        <f t="shared" si="46"/>
        <v>628</v>
      </c>
      <c r="C638" s="64" t="s">
        <v>28</v>
      </c>
      <c r="D638" s="77" t="s">
        <v>26</v>
      </c>
      <c r="E638" s="78">
        <f>0.8*E631*0.1</f>
        <v>0.39200000000000007</v>
      </c>
      <c r="F638" s="65"/>
      <c r="G638" s="65">
        <v>5860</v>
      </c>
      <c r="H638" s="65">
        <f t="shared" si="50"/>
        <v>5860</v>
      </c>
      <c r="I638" s="79">
        <f t="shared" si="47"/>
        <v>0</v>
      </c>
      <c r="J638" s="79">
        <f t="shared" si="48"/>
        <v>2297.12</v>
      </c>
      <c r="K638" s="79">
        <f t="shared" si="49"/>
        <v>2297.12</v>
      </c>
      <c r="L638" s="121"/>
    </row>
    <row r="639" spans="2:12" x14ac:dyDescent="0.35">
      <c r="B639" s="111">
        <f t="shared" si="46"/>
        <v>629</v>
      </c>
      <c r="C639" s="80" t="s">
        <v>29</v>
      </c>
      <c r="D639" s="77" t="s">
        <v>26</v>
      </c>
      <c r="E639" s="78">
        <f>E638*1.02</f>
        <v>0.39984000000000008</v>
      </c>
      <c r="F639" s="65">
        <v>7100</v>
      </c>
      <c r="G639" s="65"/>
      <c r="H639" s="65">
        <f t="shared" si="50"/>
        <v>7100</v>
      </c>
      <c r="I639" s="79">
        <f t="shared" si="47"/>
        <v>2838.86</v>
      </c>
      <c r="J639" s="79">
        <f t="shared" si="48"/>
        <v>0</v>
      </c>
      <c r="K639" s="79">
        <f t="shared" si="49"/>
        <v>2838.86</v>
      </c>
      <c r="L639" s="121"/>
    </row>
    <row r="640" spans="2:12" x14ac:dyDescent="0.35">
      <c r="B640" s="111">
        <f t="shared" si="46"/>
        <v>630</v>
      </c>
      <c r="C640" s="80" t="s">
        <v>30</v>
      </c>
      <c r="D640" s="77" t="s">
        <v>31</v>
      </c>
      <c r="E640" s="78">
        <f>31.39*E631*0.1</f>
        <v>15.381100000000002</v>
      </c>
      <c r="F640" s="65">
        <v>118.9</v>
      </c>
      <c r="G640" s="65"/>
      <c r="H640" s="65">
        <f t="shared" si="50"/>
        <v>118.9</v>
      </c>
      <c r="I640" s="79">
        <f t="shared" si="47"/>
        <v>1828.81</v>
      </c>
      <c r="J640" s="79">
        <f t="shared" si="48"/>
        <v>0</v>
      </c>
      <c r="K640" s="79">
        <f t="shared" si="49"/>
        <v>1828.81</v>
      </c>
      <c r="L640" s="121"/>
    </row>
    <row r="641" spans="2:12" x14ac:dyDescent="0.35">
      <c r="B641" s="111">
        <f t="shared" si="46"/>
        <v>631</v>
      </c>
      <c r="C641" s="64" t="s">
        <v>189</v>
      </c>
      <c r="D641" s="77" t="s">
        <v>27</v>
      </c>
      <c r="E641" s="78">
        <f>E631</f>
        <v>4.9000000000000004</v>
      </c>
      <c r="F641" s="65"/>
      <c r="G641" s="65">
        <v>2928</v>
      </c>
      <c r="H641" s="65">
        <f t="shared" si="50"/>
        <v>2928</v>
      </c>
      <c r="I641" s="79">
        <f t="shared" si="47"/>
        <v>0</v>
      </c>
      <c r="J641" s="79">
        <f t="shared" si="48"/>
        <v>14347.2</v>
      </c>
      <c r="K641" s="79">
        <f t="shared" si="49"/>
        <v>14347.2</v>
      </c>
      <c r="L641" s="121"/>
    </row>
    <row r="642" spans="2:12" ht="31" x14ac:dyDescent="0.35">
      <c r="B642" s="111">
        <f t="shared" si="46"/>
        <v>632</v>
      </c>
      <c r="C642" s="80" t="s">
        <v>195</v>
      </c>
      <c r="D642" s="77" t="s">
        <v>27</v>
      </c>
      <c r="E642" s="78">
        <f>E641*1.1</f>
        <v>5.3900000000000006</v>
      </c>
      <c r="F642" s="65">
        <v>855</v>
      </c>
      <c r="G642" s="65"/>
      <c r="H642" s="65">
        <f t="shared" si="50"/>
        <v>855</v>
      </c>
      <c r="I642" s="79">
        <f t="shared" si="47"/>
        <v>4608.45</v>
      </c>
      <c r="J642" s="79">
        <f t="shared" si="48"/>
        <v>0</v>
      </c>
      <c r="K642" s="79">
        <f t="shared" si="49"/>
        <v>4608.45</v>
      </c>
      <c r="L642" s="121"/>
    </row>
    <row r="643" spans="2:12" ht="33" x14ac:dyDescent="0.35">
      <c r="B643" s="111">
        <f t="shared" si="46"/>
        <v>633</v>
      </c>
      <c r="C643" s="64" t="s">
        <v>355</v>
      </c>
      <c r="D643" s="81" t="s">
        <v>26</v>
      </c>
      <c r="E643" s="78">
        <v>48.44</v>
      </c>
      <c r="F643" s="65"/>
      <c r="G643" s="65">
        <v>439</v>
      </c>
      <c r="H643" s="65">
        <f t="shared" si="50"/>
        <v>439</v>
      </c>
      <c r="I643" s="79">
        <f t="shared" si="47"/>
        <v>0</v>
      </c>
      <c r="J643" s="79">
        <f t="shared" si="48"/>
        <v>21265.16</v>
      </c>
      <c r="K643" s="79">
        <f t="shared" si="49"/>
        <v>21265.16</v>
      </c>
      <c r="L643" s="121"/>
    </row>
    <row r="644" spans="2:12" ht="27" customHeight="1" x14ac:dyDescent="0.35">
      <c r="B644" s="111">
        <f t="shared" si="46"/>
        <v>634</v>
      </c>
      <c r="C644" s="98" t="s">
        <v>223</v>
      </c>
      <c r="D644" s="103" t="s">
        <v>32</v>
      </c>
      <c r="E644" s="100">
        <v>1</v>
      </c>
      <c r="F644" s="101"/>
      <c r="G644" s="101"/>
      <c r="H644" s="101">
        <f t="shared" si="50"/>
        <v>0</v>
      </c>
      <c r="I644" s="101">
        <f t="shared" si="47"/>
        <v>0</v>
      </c>
      <c r="J644" s="101">
        <f t="shared" si="48"/>
        <v>0</v>
      </c>
      <c r="K644" s="101">
        <f t="shared" si="49"/>
        <v>0</v>
      </c>
      <c r="L644" s="102"/>
    </row>
    <row r="645" spans="2:12" ht="31" x14ac:dyDescent="0.35">
      <c r="B645" s="111">
        <f t="shared" si="46"/>
        <v>635</v>
      </c>
      <c r="C645" s="64" t="s">
        <v>348</v>
      </c>
      <c r="D645" s="81" t="s">
        <v>26</v>
      </c>
      <c r="E645" s="78">
        <f>49.08*0.97</f>
        <v>47.607599999999998</v>
      </c>
      <c r="F645" s="65"/>
      <c r="G645" s="65">
        <v>300</v>
      </c>
      <c r="H645" s="65">
        <f t="shared" si="50"/>
        <v>300</v>
      </c>
      <c r="I645" s="79">
        <f t="shared" si="47"/>
        <v>0</v>
      </c>
      <c r="J645" s="79">
        <f t="shared" si="48"/>
        <v>14282.28</v>
      </c>
      <c r="K645" s="79">
        <f t="shared" si="49"/>
        <v>14282.28</v>
      </c>
      <c r="L645" s="121"/>
    </row>
    <row r="646" spans="2:12" x14ac:dyDescent="0.35">
      <c r="B646" s="111">
        <f t="shared" si="46"/>
        <v>636</v>
      </c>
      <c r="C646" s="64" t="s">
        <v>19</v>
      </c>
      <c r="D646" s="81" t="s">
        <v>26</v>
      </c>
      <c r="E646" s="78">
        <f>E645/9</f>
        <v>5.2897333333333334</v>
      </c>
      <c r="F646" s="65"/>
      <c r="G646" s="65">
        <v>1500</v>
      </c>
      <c r="H646" s="65">
        <f t="shared" si="50"/>
        <v>1500</v>
      </c>
      <c r="I646" s="79">
        <f t="shared" si="47"/>
        <v>0</v>
      </c>
      <c r="J646" s="79">
        <f t="shared" si="48"/>
        <v>7934.6</v>
      </c>
      <c r="K646" s="79">
        <f t="shared" si="49"/>
        <v>7934.6</v>
      </c>
      <c r="L646" s="121"/>
    </row>
    <row r="647" spans="2:12" x14ac:dyDescent="0.35">
      <c r="B647" s="111">
        <f t="shared" si="46"/>
        <v>637</v>
      </c>
      <c r="C647" s="64" t="s">
        <v>67</v>
      </c>
      <c r="D647" s="81" t="s">
        <v>25</v>
      </c>
      <c r="E647" s="78">
        <v>6.6</v>
      </c>
      <c r="F647" s="65"/>
      <c r="G647" s="65"/>
      <c r="H647" s="65">
        <f t="shared" si="50"/>
        <v>0</v>
      </c>
      <c r="I647" s="79">
        <f t="shared" si="47"/>
        <v>0</v>
      </c>
      <c r="J647" s="79">
        <f t="shared" si="48"/>
        <v>0</v>
      </c>
      <c r="K647" s="79">
        <f t="shared" si="49"/>
        <v>0</v>
      </c>
      <c r="L647" s="121"/>
    </row>
    <row r="648" spans="2:12" x14ac:dyDescent="0.35">
      <c r="B648" s="111">
        <f t="shared" si="46"/>
        <v>638</v>
      </c>
      <c r="C648" s="64" t="s">
        <v>68</v>
      </c>
      <c r="D648" s="81" t="s">
        <v>26</v>
      </c>
      <c r="E648" s="78">
        <v>0.66</v>
      </c>
      <c r="F648" s="65"/>
      <c r="G648" s="65">
        <v>5860</v>
      </c>
      <c r="H648" s="65">
        <f t="shared" si="50"/>
        <v>5860</v>
      </c>
      <c r="I648" s="79">
        <f t="shared" si="47"/>
        <v>0</v>
      </c>
      <c r="J648" s="79">
        <f t="shared" si="48"/>
        <v>3867.6</v>
      </c>
      <c r="K648" s="79">
        <f t="shared" si="49"/>
        <v>3867.6</v>
      </c>
      <c r="L648" s="121"/>
    </row>
    <row r="649" spans="2:12" x14ac:dyDescent="0.35">
      <c r="B649" s="111">
        <f t="shared" si="46"/>
        <v>639</v>
      </c>
      <c r="C649" s="80" t="s">
        <v>159</v>
      </c>
      <c r="D649" s="81" t="s">
        <v>26</v>
      </c>
      <c r="E649" s="78">
        <v>0.67</v>
      </c>
      <c r="F649" s="65">
        <v>6700</v>
      </c>
      <c r="G649" s="65"/>
      <c r="H649" s="65">
        <f t="shared" si="50"/>
        <v>6700</v>
      </c>
      <c r="I649" s="79">
        <f t="shared" si="47"/>
        <v>4489</v>
      </c>
      <c r="J649" s="79">
        <f t="shared" si="48"/>
        <v>0</v>
      </c>
      <c r="K649" s="79">
        <f t="shared" si="49"/>
        <v>4489</v>
      </c>
      <c r="L649" s="121"/>
    </row>
    <row r="650" spans="2:12" x14ac:dyDescent="0.35">
      <c r="B650" s="111">
        <f t="shared" si="46"/>
        <v>640</v>
      </c>
      <c r="C650" s="64" t="s">
        <v>151</v>
      </c>
      <c r="D650" s="81" t="s">
        <v>25</v>
      </c>
      <c r="E650" s="78">
        <f>(3.14*2.5^2)/4</f>
        <v>4.90625</v>
      </c>
      <c r="F650" s="65">
        <v>68.5</v>
      </c>
      <c r="G650" s="65">
        <v>150</v>
      </c>
      <c r="H650" s="65">
        <f t="shared" si="50"/>
        <v>218.5</v>
      </c>
      <c r="I650" s="79">
        <f t="shared" si="47"/>
        <v>336.08</v>
      </c>
      <c r="J650" s="79">
        <f t="shared" si="48"/>
        <v>735.94</v>
      </c>
      <c r="K650" s="79">
        <f t="shared" si="49"/>
        <v>1072.02</v>
      </c>
      <c r="L650" s="121"/>
    </row>
    <row r="651" spans="2:12" ht="31" x14ac:dyDescent="0.35">
      <c r="B651" s="111">
        <f t="shared" si="46"/>
        <v>641</v>
      </c>
      <c r="C651" s="64" t="s">
        <v>152</v>
      </c>
      <c r="D651" s="81" t="s">
        <v>25</v>
      </c>
      <c r="E651" s="78">
        <f>(3.14*2.5^2)/4</f>
        <v>4.90625</v>
      </c>
      <c r="F651" s="65">
        <v>927</v>
      </c>
      <c r="G651" s="65">
        <v>400</v>
      </c>
      <c r="H651" s="65">
        <f t="shared" si="50"/>
        <v>1327</v>
      </c>
      <c r="I651" s="79">
        <f t="shared" si="47"/>
        <v>4548.09</v>
      </c>
      <c r="J651" s="79">
        <f t="shared" si="48"/>
        <v>1962.5</v>
      </c>
      <c r="K651" s="79">
        <f t="shared" si="49"/>
        <v>6510.59</v>
      </c>
      <c r="L651" s="121"/>
    </row>
    <row r="652" spans="2:12" ht="31" x14ac:dyDescent="0.35">
      <c r="B652" s="111">
        <f t="shared" si="46"/>
        <v>642</v>
      </c>
      <c r="C652" s="64" t="s">
        <v>69</v>
      </c>
      <c r="D652" s="81" t="s">
        <v>32</v>
      </c>
      <c r="E652" s="78">
        <v>1</v>
      </c>
      <c r="F652" s="65"/>
      <c r="G652" s="65">
        <v>5662</v>
      </c>
      <c r="H652" s="65">
        <f t="shared" si="50"/>
        <v>5662</v>
      </c>
      <c r="I652" s="79">
        <f t="shared" si="47"/>
        <v>0</v>
      </c>
      <c r="J652" s="79">
        <f t="shared" si="48"/>
        <v>5662</v>
      </c>
      <c r="K652" s="79">
        <f t="shared" si="49"/>
        <v>5662</v>
      </c>
      <c r="L652" s="121"/>
    </row>
    <row r="653" spans="2:12" x14ac:dyDescent="0.35">
      <c r="B653" s="111">
        <f t="shared" ref="B653:B716" si="51">B652+1</f>
        <v>643</v>
      </c>
      <c r="C653" s="82" t="s">
        <v>320</v>
      </c>
      <c r="D653" s="81" t="s">
        <v>32</v>
      </c>
      <c r="E653" s="78">
        <v>1</v>
      </c>
      <c r="F653" s="65">
        <f>7000*1.2</f>
        <v>8400</v>
      </c>
      <c r="G653" s="65"/>
      <c r="H653" s="65">
        <f t="shared" si="50"/>
        <v>8400</v>
      </c>
      <c r="I653" s="79">
        <f t="shared" ref="I653:I716" si="52">ROUND(F653*E653,2)</f>
        <v>8400</v>
      </c>
      <c r="J653" s="79">
        <f t="shared" ref="J653:J716" si="53">ROUND(G653*E653,2)</f>
        <v>0</v>
      </c>
      <c r="K653" s="79">
        <f t="shared" ref="K653:K716" si="54">I653+J653</f>
        <v>8400</v>
      </c>
      <c r="L653" s="121"/>
    </row>
    <row r="654" spans="2:12" x14ac:dyDescent="0.35">
      <c r="B654" s="111">
        <f t="shared" si="51"/>
        <v>644</v>
      </c>
      <c r="C654" s="82" t="s">
        <v>101</v>
      </c>
      <c r="D654" s="81" t="s">
        <v>26</v>
      </c>
      <c r="E654" s="78">
        <v>0.06</v>
      </c>
      <c r="F654" s="65">
        <v>7300</v>
      </c>
      <c r="G654" s="65"/>
      <c r="H654" s="65">
        <f t="shared" si="50"/>
        <v>7300</v>
      </c>
      <c r="I654" s="79">
        <f t="shared" si="52"/>
        <v>438</v>
      </c>
      <c r="J654" s="79">
        <f t="shared" si="53"/>
        <v>0</v>
      </c>
      <c r="K654" s="79">
        <f t="shared" si="54"/>
        <v>438</v>
      </c>
      <c r="L654" s="121"/>
    </row>
    <row r="655" spans="2:12" ht="31" x14ac:dyDescent="0.35">
      <c r="B655" s="111">
        <f t="shared" si="51"/>
        <v>645</v>
      </c>
      <c r="C655" s="64" t="s">
        <v>179</v>
      </c>
      <c r="D655" s="81" t="s">
        <v>26</v>
      </c>
      <c r="E655" s="78">
        <v>1.2</v>
      </c>
      <c r="F655" s="65"/>
      <c r="G655" s="65">
        <v>5860</v>
      </c>
      <c r="H655" s="65">
        <f t="shared" ref="H655:H718" si="55">F655+G655</f>
        <v>5860</v>
      </c>
      <c r="I655" s="79">
        <f t="shared" si="52"/>
        <v>0</v>
      </c>
      <c r="J655" s="79">
        <f t="shared" si="53"/>
        <v>7032</v>
      </c>
      <c r="K655" s="79">
        <f t="shared" si="54"/>
        <v>7032</v>
      </c>
      <c r="L655" s="121"/>
    </row>
    <row r="656" spans="2:12" x14ac:dyDescent="0.35">
      <c r="B656" s="111">
        <f t="shared" si="51"/>
        <v>646</v>
      </c>
      <c r="C656" s="82" t="s">
        <v>75</v>
      </c>
      <c r="D656" s="81" t="s">
        <v>26</v>
      </c>
      <c r="E656" s="78">
        <v>1.22</v>
      </c>
      <c r="F656" s="65">
        <v>7100</v>
      </c>
      <c r="G656" s="65"/>
      <c r="H656" s="65">
        <f t="shared" si="55"/>
        <v>7100</v>
      </c>
      <c r="I656" s="79">
        <f t="shared" si="52"/>
        <v>8662</v>
      </c>
      <c r="J656" s="79">
        <f t="shared" si="53"/>
        <v>0</v>
      </c>
      <c r="K656" s="79">
        <f t="shared" si="54"/>
        <v>8662</v>
      </c>
      <c r="L656" s="121"/>
    </row>
    <row r="657" spans="2:12" ht="31" x14ac:dyDescent="0.35">
      <c r="B657" s="111">
        <f t="shared" si="51"/>
        <v>647</v>
      </c>
      <c r="C657" s="64" t="s">
        <v>78</v>
      </c>
      <c r="D657" s="81" t="s">
        <v>32</v>
      </c>
      <c r="E657" s="78">
        <v>7</v>
      </c>
      <c r="F657" s="65"/>
      <c r="G657" s="65">
        <v>5662</v>
      </c>
      <c r="H657" s="65">
        <f t="shared" si="55"/>
        <v>5662</v>
      </c>
      <c r="I657" s="79">
        <f t="shared" si="52"/>
        <v>0</v>
      </c>
      <c r="J657" s="79">
        <f t="shared" si="53"/>
        <v>39634</v>
      </c>
      <c r="K657" s="79">
        <f t="shared" si="54"/>
        <v>39634</v>
      </c>
      <c r="L657" s="121"/>
    </row>
    <row r="658" spans="2:12" x14ac:dyDescent="0.35">
      <c r="B658" s="111">
        <f t="shared" si="51"/>
        <v>648</v>
      </c>
      <c r="C658" s="82" t="s">
        <v>76</v>
      </c>
      <c r="D658" s="81" t="s">
        <v>32</v>
      </c>
      <c r="E658" s="78">
        <v>5</v>
      </c>
      <c r="F658" s="65">
        <f>7000*1.2</f>
        <v>8400</v>
      </c>
      <c r="G658" s="65"/>
      <c r="H658" s="65">
        <f t="shared" si="55"/>
        <v>8400</v>
      </c>
      <c r="I658" s="79">
        <f t="shared" si="52"/>
        <v>42000</v>
      </c>
      <c r="J658" s="79">
        <f t="shared" si="53"/>
        <v>0</v>
      </c>
      <c r="K658" s="79">
        <f t="shared" si="54"/>
        <v>42000</v>
      </c>
      <c r="L658" s="121"/>
    </row>
    <row r="659" spans="2:12" x14ac:dyDescent="0.35">
      <c r="B659" s="111">
        <f t="shared" si="51"/>
        <v>649</v>
      </c>
      <c r="C659" s="82" t="s">
        <v>81</v>
      </c>
      <c r="D659" s="81" t="s">
        <v>32</v>
      </c>
      <c r="E659" s="78">
        <v>1</v>
      </c>
      <c r="F659" s="65">
        <f>900*1.2</f>
        <v>1080</v>
      </c>
      <c r="G659" s="65"/>
      <c r="H659" s="65">
        <f t="shared" si="55"/>
        <v>1080</v>
      </c>
      <c r="I659" s="79">
        <f t="shared" si="52"/>
        <v>1080</v>
      </c>
      <c r="J659" s="79">
        <f t="shared" si="53"/>
        <v>0</v>
      </c>
      <c r="K659" s="79">
        <f t="shared" si="54"/>
        <v>1080</v>
      </c>
      <c r="L659" s="121"/>
    </row>
    <row r="660" spans="2:12" x14ac:dyDescent="0.35">
      <c r="B660" s="111">
        <f t="shared" si="51"/>
        <v>650</v>
      </c>
      <c r="C660" s="82" t="s">
        <v>80</v>
      </c>
      <c r="D660" s="81" t="s">
        <v>32</v>
      </c>
      <c r="E660" s="78">
        <v>1</v>
      </c>
      <c r="F660" s="65">
        <f>1200*1.2</f>
        <v>1440</v>
      </c>
      <c r="G660" s="65"/>
      <c r="H660" s="65">
        <f t="shared" si="55"/>
        <v>1440</v>
      </c>
      <c r="I660" s="79">
        <f t="shared" si="52"/>
        <v>1440</v>
      </c>
      <c r="J660" s="79">
        <f t="shared" si="53"/>
        <v>0</v>
      </c>
      <c r="K660" s="79">
        <f t="shared" si="54"/>
        <v>1440</v>
      </c>
      <c r="L660" s="121"/>
    </row>
    <row r="661" spans="2:12" ht="31" x14ac:dyDescent="0.35">
      <c r="B661" s="111">
        <f t="shared" si="51"/>
        <v>651</v>
      </c>
      <c r="C661" s="64" t="s">
        <v>85</v>
      </c>
      <c r="D661" s="81" t="s">
        <v>32</v>
      </c>
      <c r="E661" s="78">
        <v>1</v>
      </c>
      <c r="F661" s="65"/>
      <c r="G661" s="65">
        <v>2500</v>
      </c>
      <c r="H661" s="65">
        <f t="shared" si="55"/>
        <v>2500</v>
      </c>
      <c r="I661" s="79">
        <f t="shared" si="52"/>
        <v>0</v>
      </c>
      <c r="J661" s="79">
        <f t="shared" si="53"/>
        <v>2500</v>
      </c>
      <c r="K661" s="79">
        <f t="shared" si="54"/>
        <v>2500</v>
      </c>
      <c r="L661" s="121"/>
    </row>
    <row r="662" spans="2:12" x14ac:dyDescent="0.35">
      <c r="B662" s="111">
        <f t="shared" si="51"/>
        <v>652</v>
      </c>
      <c r="C662" s="82" t="s">
        <v>137</v>
      </c>
      <c r="D662" s="81" t="s">
        <v>32</v>
      </c>
      <c r="E662" s="78">
        <v>1</v>
      </c>
      <c r="F662" s="65">
        <f>7000*1.2</f>
        <v>8400</v>
      </c>
      <c r="G662" s="65"/>
      <c r="H662" s="65">
        <f t="shared" si="55"/>
        <v>8400</v>
      </c>
      <c r="I662" s="79">
        <f t="shared" si="52"/>
        <v>8400</v>
      </c>
      <c r="J662" s="79">
        <f t="shared" si="53"/>
        <v>0</v>
      </c>
      <c r="K662" s="79">
        <f t="shared" si="54"/>
        <v>8400</v>
      </c>
      <c r="L662" s="121"/>
    </row>
    <row r="663" spans="2:12" ht="31" x14ac:dyDescent="0.35">
      <c r="B663" s="111">
        <f t="shared" si="51"/>
        <v>653</v>
      </c>
      <c r="C663" s="64" t="s">
        <v>316</v>
      </c>
      <c r="D663" s="81" t="s">
        <v>32</v>
      </c>
      <c r="E663" s="78">
        <v>1</v>
      </c>
      <c r="F663" s="65"/>
      <c r="G663" s="65"/>
      <c r="H663" s="65">
        <f t="shared" si="55"/>
        <v>0</v>
      </c>
      <c r="I663" s="79">
        <f t="shared" si="52"/>
        <v>0</v>
      </c>
      <c r="J663" s="79">
        <f t="shared" si="53"/>
        <v>0</v>
      </c>
      <c r="K663" s="79">
        <f t="shared" si="54"/>
        <v>0</v>
      </c>
      <c r="L663" s="121"/>
    </row>
    <row r="664" spans="2:12" x14ac:dyDescent="0.35">
      <c r="B664" s="111">
        <f t="shared" si="51"/>
        <v>654</v>
      </c>
      <c r="C664" s="82" t="s">
        <v>84</v>
      </c>
      <c r="D664" s="81" t="s">
        <v>32</v>
      </c>
      <c r="E664" s="78">
        <v>1</v>
      </c>
      <c r="F664" s="65">
        <v>1300</v>
      </c>
      <c r="G664" s="65">
        <v>990</v>
      </c>
      <c r="H664" s="65">
        <f t="shared" si="55"/>
        <v>2290</v>
      </c>
      <c r="I664" s="79">
        <f t="shared" si="52"/>
        <v>1300</v>
      </c>
      <c r="J664" s="79">
        <f t="shared" si="53"/>
        <v>990</v>
      </c>
      <c r="K664" s="79">
        <f t="shared" si="54"/>
        <v>2290</v>
      </c>
      <c r="L664" s="121"/>
    </row>
    <row r="665" spans="2:12" x14ac:dyDescent="0.35">
      <c r="B665" s="111">
        <f t="shared" si="51"/>
        <v>655</v>
      </c>
      <c r="C665" s="80" t="s">
        <v>301</v>
      </c>
      <c r="D665" s="81" t="s">
        <v>32</v>
      </c>
      <c r="E665" s="78">
        <v>1</v>
      </c>
      <c r="F665" s="65">
        <v>6000</v>
      </c>
      <c r="G665" s="65">
        <v>1464.09</v>
      </c>
      <c r="H665" s="65">
        <f t="shared" si="55"/>
        <v>7464.09</v>
      </c>
      <c r="I665" s="79">
        <f t="shared" si="52"/>
        <v>6000</v>
      </c>
      <c r="J665" s="79">
        <f t="shared" si="53"/>
        <v>1464.09</v>
      </c>
      <c r="K665" s="79">
        <f t="shared" si="54"/>
        <v>7464.09</v>
      </c>
      <c r="L665" s="121"/>
    </row>
    <row r="666" spans="2:12" ht="31" x14ac:dyDescent="0.35">
      <c r="B666" s="111">
        <f t="shared" si="51"/>
        <v>656</v>
      </c>
      <c r="C666" s="64" t="s">
        <v>156</v>
      </c>
      <c r="D666" s="81" t="s">
        <v>25</v>
      </c>
      <c r="E666" s="78">
        <f>38.48+3.8</f>
        <v>42.279999999999994</v>
      </c>
      <c r="F666" s="65">
        <v>68.5</v>
      </c>
      <c r="G666" s="65">
        <v>150</v>
      </c>
      <c r="H666" s="65">
        <f t="shared" si="55"/>
        <v>218.5</v>
      </c>
      <c r="I666" s="79">
        <f t="shared" si="52"/>
        <v>2896.18</v>
      </c>
      <c r="J666" s="79">
        <f t="shared" si="53"/>
        <v>6342</v>
      </c>
      <c r="K666" s="79">
        <f t="shared" si="54"/>
        <v>9238.18</v>
      </c>
      <c r="L666" s="121"/>
    </row>
    <row r="667" spans="2:12" ht="46.5" x14ac:dyDescent="0.35">
      <c r="B667" s="111">
        <f t="shared" si="51"/>
        <v>657</v>
      </c>
      <c r="C667" s="64" t="s">
        <v>157</v>
      </c>
      <c r="D667" s="81" t="s">
        <v>25</v>
      </c>
      <c r="E667" s="78">
        <f>38.48+3.8</f>
        <v>42.279999999999994</v>
      </c>
      <c r="F667" s="65">
        <v>927</v>
      </c>
      <c r="G667" s="65">
        <v>400</v>
      </c>
      <c r="H667" s="65">
        <f t="shared" si="55"/>
        <v>1327</v>
      </c>
      <c r="I667" s="79">
        <f t="shared" si="52"/>
        <v>39193.56</v>
      </c>
      <c r="J667" s="79">
        <f t="shared" si="53"/>
        <v>16912</v>
      </c>
      <c r="K667" s="79">
        <f t="shared" si="54"/>
        <v>56105.56</v>
      </c>
      <c r="L667" s="121"/>
    </row>
    <row r="668" spans="2:12" x14ac:dyDescent="0.35">
      <c r="B668" s="111">
        <f t="shared" si="51"/>
        <v>658</v>
      </c>
      <c r="C668" s="64" t="s">
        <v>317</v>
      </c>
      <c r="D668" s="81" t="s">
        <v>32</v>
      </c>
      <c r="E668" s="78">
        <v>1</v>
      </c>
      <c r="F668" s="65"/>
      <c r="G668" s="65"/>
      <c r="H668" s="65">
        <f t="shared" si="55"/>
        <v>0</v>
      </c>
      <c r="I668" s="79">
        <f t="shared" si="52"/>
        <v>0</v>
      </c>
      <c r="J668" s="79">
        <f t="shared" si="53"/>
        <v>0</v>
      </c>
      <c r="K668" s="79">
        <f t="shared" si="54"/>
        <v>0</v>
      </c>
      <c r="L668" s="121"/>
    </row>
    <row r="669" spans="2:12" x14ac:dyDescent="0.35">
      <c r="B669" s="111">
        <f t="shared" si="51"/>
        <v>659</v>
      </c>
      <c r="C669" s="82" t="s">
        <v>318</v>
      </c>
      <c r="D669" s="81" t="s">
        <v>31</v>
      </c>
      <c r="E669" s="78">
        <v>49.36</v>
      </c>
      <c r="F669" s="68">
        <v>71</v>
      </c>
      <c r="G669" s="65">
        <v>97.61</v>
      </c>
      <c r="H669" s="65">
        <f t="shared" si="55"/>
        <v>168.61</v>
      </c>
      <c r="I669" s="79">
        <f t="shared" si="52"/>
        <v>3504.56</v>
      </c>
      <c r="J669" s="79">
        <f t="shared" si="53"/>
        <v>4818.03</v>
      </c>
      <c r="K669" s="79">
        <f t="shared" si="54"/>
        <v>8322.59</v>
      </c>
      <c r="L669" s="121"/>
    </row>
    <row r="670" spans="2:12" x14ac:dyDescent="0.35">
      <c r="B670" s="111">
        <f t="shared" si="51"/>
        <v>660</v>
      </c>
      <c r="C670" s="64" t="s">
        <v>93</v>
      </c>
      <c r="D670" s="81" t="s">
        <v>32</v>
      </c>
      <c r="E670" s="78">
        <v>2</v>
      </c>
      <c r="F670" s="65"/>
      <c r="G670" s="65"/>
      <c r="H670" s="65">
        <f t="shared" si="55"/>
        <v>0</v>
      </c>
      <c r="I670" s="79">
        <f t="shared" si="52"/>
        <v>0</v>
      </c>
      <c r="J670" s="79">
        <f t="shared" si="53"/>
        <v>0</v>
      </c>
      <c r="K670" s="79">
        <f t="shared" si="54"/>
        <v>0</v>
      </c>
      <c r="L670" s="121"/>
    </row>
    <row r="671" spans="2:12" x14ac:dyDescent="0.35">
      <c r="B671" s="111">
        <f t="shared" si="51"/>
        <v>661</v>
      </c>
      <c r="C671" s="82" t="s">
        <v>94</v>
      </c>
      <c r="D671" s="81" t="s">
        <v>31</v>
      </c>
      <c r="E671" s="78">
        <f>0.82*2</f>
        <v>1.64</v>
      </c>
      <c r="F671" s="68">
        <v>71</v>
      </c>
      <c r="G671" s="65">
        <v>97.61</v>
      </c>
      <c r="H671" s="65">
        <f t="shared" si="55"/>
        <v>168.61</v>
      </c>
      <c r="I671" s="79">
        <f t="shared" si="52"/>
        <v>116.44</v>
      </c>
      <c r="J671" s="79">
        <f t="shared" si="53"/>
        <v>160.08000000000001</v>
      </c>
      <c r="K671" s="79">
        <f t="shared" si="54"/>
        <v>276.52</v>
      </c>
      <c r="L671" s="121"/>
    </row>
    <row r="672" spans="2:12" ht="31" x14ac:dyDescent="0.35">
      <c r="B672" s="111">
        <f t="shared" si="51"/>
        <v>662</v>
      </c>
      <c r="C672" s="64" t="s">
        <v>153</v>
      </c>
      <c r="D672" s="81" t="s">
        <v>32</v>
      </c>
      <c r="E672" s="78">
        <v>3</v>
      </c>
      <c r="F672" s="65"/>
      <c r="G672" s="65">
        <v>1464</v>
      </c>
      <c r="H672" s="65">
        <f t="shared" si="55"/>
        <v>1464</v>
      </c>
      <c r="I672" s="79">
        <f t="shared" si="52"/>
        <v>0</v>
      </c>
      <c r="J672" s="79">
        <f t="shared" si="53"/>
        <v>4392</v>
      </c>
      <c r="K672" s="79">
        <f t="shared" si="54"/>
        <v>4392</v>
      </c>
      <c r="L672" s="121"/>
    </row>
    <row r="673" spans="2:12" ht="33" x14ac:dyDescent="0.35">
      <c r="B673" s="111">
        <f t="shared" si="51"/>
        <v>663</v>
      </c>
      <c r="C673" s="64" t="s">
        <v>362</v>
      </c>
      <c r="D673" s="81" t="s">
        <v>26</v>
      </c>
      <c r="E673" s="78">
        <f>53.68-21.05</f>
        <v>32.629999999999995</v>
      </c>
      <c r="F673" s="65"/>
      <c r="G673" s="65">
        <v>439</v>
      </c>
      <c r="H673" s="65">
        <f t="shared" si="55"/>
        <v>439</v>
      </c>
      <c r="I673" s="79">
        <f t="shared" si="52"/>
        <v>0</v>
      </c>
      <c r="J673" s="79">
        <f t="shared" si="53"/>
        <v>14324.57</v>
      </c>
      <c r="K673" s="79">
        <f t="shared" si="54"/>
        <v>14324.57</v>
      </c>
      <c r="L673" s="121"/>
    </row>
    <row r="674" spans="2:12" ht="30" x14ac:dyDescent="0.35">
      <c r="B674" s="111">
        <f t="shared" si="51"/>
        <v>664</v>
      </c>
      <c r="C674" s="98" t="s">
        <v>224</v>
      </c>
      <c r="D674" s="99" t="s">
        <v>27</v>
      </c>
      <c r="E674" s="105">
        <v>18.100000000000001</v>
      </c>
      <c r="F674" s="101"/>
      <c r="G674" s="101"/>
      <c r="H674" s="101">
        <f t="shared" si="55"/>
        <v>0</v>
      </c>
      <c r="I674" s="101">
        <f t="shared" si="52"/>
        <v>0</v>
      </c>
      <c r="J674" s="101">
        <f t="shared" si="53"/>
        <v>0</v>
      </c>
      <c r="K674" s="101">
        <f t="shared" si="54"/>
        <v>0</v>
      </c>
      <c r="L674" s="102"/>
    </row>
    <row r="675" spans="2:12" ht="31" x14ac:dyDescent="0.35">
      <c r="B675" s="111">
        <f t="shared" si="51"/>
        <v>665</v>
      </c>
      <c r="C675" s="64" t="s">
        <v>348</v>
      </c>
      <c r="D675" s="77" t="s">
        <v>26</v>
      </c>
      <c r="E675" s="84">
        <f>0.97*298.04</f>
        <v>289.09880000000004</v>
      </c>
      <c r="F675" s="65"/>
      <c r="G675" s="65">
        <v>300</v>
      </c>
      <c r="H675" s="65">
        <f t="shared" si="55"/>
        <v>300</v>
      </c>
      <c r="I675" s="79">
        <f t="shared" si="52"/>
        <v>0</v>
      </c>
      <c r="J675" s="79">
        <f t="shared" si="53"/>
        <v>86729.64</v>
      </c>
      <c r="K675" s="79">
        <f t="shared" si="54"/>
        <v>86729.64</v>
      </c>
      <c r="L675" s="121"/>
    </row>
    <row r="676" spans="2:12" x14ac:dyDescent="0.35">
      <c r="B676" s="111">
        <f t="shared" si="51"/>
        <v>666</v>
      </c>
      <c r="C676" s="64" t="s">
        <v>19</v>
      </c>
      <c r="D676" s="77" t="s">
        <v>26</v>
      </c>
      <c r="E676" s="78">
        <f>E675/97*3</f>
        <v>8.941200000000002</v>
      </c>
      <c r="F676" s="65"/>
      <c r="G676" s="65">
        <v>1500</v>
      </c>
      <c r="H676" s="65">
        <f t="shared" si="55"/>
        <v>1500</v>
      </c>
      <c r="I676" s="79">
        <f t="shared" si="52"/>
        <v>0</v>
      </c>
      <c r="J676" s="79">
        <f t="shared" si="53"/>
        <v>13411.8</v>
      </c>
      <c r="K676" s="79">
        <f t="shared" si="54"/>
        <v>13411.8</v>
      </c>
      <c r="L676" s="121"/>
    </row>
    <row r="677" spans="2:12" x14ac:dyDescent="0.35">
      <c r="B677" s="111">
        <f t="shared" si="51"/>
        <v>667</v>
      </c>
      <c r="C677" s="64" t="s">
        <v>184</v>
      </c>
      <c r="D677" s="77" t="s">
        <v>25</v>
      </c>
      <c r="E677" s="78">
        <f>E674*0.75</f>
        <v>13.575000000000001</v>
      </c>
      <c r="F677" s="65"/>
      <c r="G677" s="65"/>
      <c r="H677" s="65">
        <f t="shared" si="55"/>
        <v>0</v>
      </c>
      <c r="I677" s="79">
        <f t="shared" si="52"/>
        <v>0</v>
      </c>
      <c r="J677" s="79">
        <f t="shared" si="53"/>
        <v>0</v>
      </c>
      <c r="K677" s="79">
        <f t="shared" si="54"/>
        <v>0</v>
      </c>
      <c r="L677" s="121"/>
    </row>
    <row r="678" spans="2:12" ht="31" x14ac:dyDescent="0.35">
      <c r="B678" s="111">
        <f t="shared" si="51"/>
        <v>668</v>
      </c>
      <c r="C678" s="64" t="s">
        <v>194</v>
      </c>
      <c r="D678" s="77" t="s">
        <v>25</v>
      </c>
      <c r="E678" s="78">
        <f>E674*0.48</f>
        <v>8.6880000000000006</v>
      </c>
      <c r="F678" s="65">
        <f>1973*0.15</f>
        <v>295.95</v>
      </c>
      <c r="G678" s="65">
        <f>1500*0.15</f>
        <v>225</v>
      </c>
      <c r="H678" s="65">
        <f t="shared" si="55"/>
        <v>520.95000000000005</v>
      </c>
      <c r="I678" s="79">
        <f t="shared" si="52"/>
        <v>2571.21</v>
      </c>
      <c r="J678" s="79">
        <f t="shared" si="53"/>
        <v>1954.8</v>
      </c>
      <c r="K678" s="79">
        <f t="shared" si="54"/>
        <v>4526.01</v>
      </c>
      <c r="L678" s="121"/>
    </row>
    <row r="679" spans="2:12" x14ac:dyDescent="0.35">
      <c r="B679" s="111">
        <f t="shared" si="51"/>
        <v>669</v>
      </c>
      <c r="C679" s="64" t="s">
        <v>20</v>
      </c>
      <c r="D679" s="77" t="s">
        <v>26</v>
      </c>
      <c r="E679" s="78">
        <f>0.34*E674*0.1</f>
        <v>0.61540000000000017</v>
      </c>
      <c r="F679" s="65"/>
      <c r="G679" s="65">
        <v>5860</v>
      </c>
      <c r="H679" s="65">
        <f t="shared" si="55"/>
        <v>5860</v>
      </c>
      <c r="I679" s="79">
        <f t="shared" si="52"/>
        <v>0</v>
      </c>
      <c r="J679" s="79">
        <f t="shared" si="53"/>
        <v>3606.24</v>
      </c>
      <c r="K679" s="79">
        <f t="shared" si="54"/>
        <v>3606.24</v>
      </c>
      <c r="L679" s="121"/>
    </row>
    <row r="680" spans="2:12" x14ac:dyDescent="0.35">
      <c r="B680" s="111">
        <f t="shared" si="51"/>
        <v>670</v>
      </c>
      <c r="C680" s="80" t="s">
        <v>159</v>
      </c>
      <c r="D680" s="77" t="s">
        <v>26</v>
      </c>
      <c r="E680" s="78">
        <f>E679*1.02</f>
        <v>0.62770800000000015</v>
      </c>
      <c r="F680" s="65">
        <v>6700</v>
      </c>
      <c r="G680" s="65"/>
      <c r="H680" s="65">
        <f t="shared" si="55"/>
        <v>6700</v>
      </c>
      <c r="I680" s="79">
        <f t="shared" si="52"/>
        <v>4205.6400000000003</v>
      </c>
      <c r="J680" s="79">
        <f t="shared" si="53"/>
        <v>0</v>
      </c>
      <c r="K680" s="79">
        <f t="shared" si="54"/>
        <v>4205.6400000000003</v>
      </c>
      <c r="L680" s="121"/>
    </row>
    <row r="681" spans="2:12" x14ac:dyDescent="0.35">
      <c r="B681" s="111">
        <f t="shared" si="51"/>
        <v>671</v>
      </c>
      <c r="C681" s="64" t="s">
        <v>28</v>
      </c>
      <c r="D681" s="77" t="s">
        <v>26</v>
      </c>
      <c r="E681" s="78">
        <f>0.8*E674*0.1</f>
        <v>1.4480000000000004</v>
      </c>
      <c r="F681" s="65"/>
      <c r="G681" s="65">
        <v>5860</v>
      </c>
      <c r="H681" s="65">
        <f t="shared" si="55"/>
        <v>5860</v>
      </c>
      <c r="I681" s="79">
        <f t="shared" si="52"/>
        <v>0</v>
      </c>
      <c r="J681" s="79">
        <f t="shared" si="53"/>
        <v>8485.2800000000007</v>
      </c>
      <c r="K681" s="79">
        <f t="shared" si="54"/>
        <v>8485.2800000000007</v>
      </c>
      <c r="L681" s="121"/>
    </row>
    <row r="682" spans="2:12" x14ac:dyDescent="0.35">
      <c r="B682" s="111">
        <f t="shared" si="51"/>
        <v>672</v>
      </c>
      <c r="C682" s="80" t="s">
        <v>29</v>
      </c>
      <c r="D682" s="77" t="s">
        <v>26</v>
      </c>
      <c r="E682" s="78">
        <f>E681*1.02</f>
        <v>1.4769600000000005</v>
      </c>
      <c r="F682" s="65">
        <v>7100</v>
      </c>
      <c r="G682" s="65"/>
      <c r="H682" s="65">
        <f t="shared" si="55"/>
        <v>7100</v>
      </c>
      <c r="I682" s="79">
        <f t="shared" si="52"/>
        <v>10486.42</v>
      </c>
      <c r="J682" s="79">
        <f t="shared" si="53"/>
        <v>0</v>
      </c>
      <c r="K682" s="79">
        <f t="shared" si="54"/>
        <v>10486.42</v>
      </c>
      <c r="L682" s="121"/>
    </row>
    <row r="683" spans="2:12" x14ac:dyDescent="0.35">
      <c r="B683" s="111">
        <f t="shared" si="51"/>
        <v>673</v>
      </c>
      <c r="C683" s="80" t="s">
        <v>30</v>
      </c>
      <c r="D683" s="77" t="s">
        <v>31</v>
      </c>
      <c r="E683" s="78">
        <f>31.39*E674*0.1</f>
        <v>56.815900000000013</v>
      </c>
      <c r="F683" s="65">
        <v>118.9</v>
      </c>
      <c r="G683" s="65"/>
      <c r="H683" s="65">
        <f t="shared" si="55"/>
        <v>118.9</v>
      </c>
      <c r="I683" s="79">
        <f t="shared" si="52"/>
        <v>6755.41</v>
      </c>
      <c r="J683" s="79">
        <f t="shared" si="53"/>
        <v>0</v>
      </c>
      <c r="K683" s="79">
        <f t="shared" si="54"/>
        <v>6755.41</v>
      </c>
      <c r="L683" s="121"/>
    </row>
    <row r="684" spans="2:12" x14ac:dyDescent="0.35">
      <c r="B684" s="111">
        <f t="shared" si="51"/>
        <v>674</v>
      </c>
      <c r="C684" s="64" t="s">
        <v>189</v>
      </c>
      <c r="D684" s="77" t="s">
        <v>27</v>
      </c>
      <c r="E684" s="78">
        <f>E674</f>
        <v>18.100000000000001</v>
      </c>
      <c r="F684" s="65"/>
      <c r="G684" s="65">
        <v>2928</v>
      </c>
      <c r="H684" s="65">
        <f t="shared" si="55"/>
        <v>2928</v>
      </c>
      <c r="I684" s="79">
        <f t="shared" si="52"/>
        <v>0</v>
      </c>
      <c r="J684" s="79">
        <f t="shared" si="53"/>
        <v>52996.800000000003</v>
      </c>
      <c r="K684" s="79">
        <f t="shared" si="54"/>
        <v>52996.800000000003</v>
      </c>
      <c r="L684" s="121"/>
    </row>
    <row r="685" spans="2:12" ht="31" x14ac:dyDescent="0.35">
      <c r="B685" s="111">
        <f t="shared" si="51"/>
        <v>675</v>
      </c>
      <c r="C685" s="80" t="s">
        <v>195</v>
      </c>
      <c r="D685" s="77" t="s">
        <v>27</v>
      </c>
      <c r="E685" s="78">
        <f>E684*1.1</f>
        <v>19.910000000000004</v>
      </c>
      <c r="F685" s="65">
        <v>855</v>
      </c>
      <c r="G685" s="65"/>
      <c r="H685" s="65">
        <f t="shared" si="55"/>
        <v>855</v>
      </c>
      <c r="I685" s="79">
        <f t="shared" si="52"/>
        <v>17023.05</v>
      </c>
      <c r="J685" s="79">
        <f t="shared" si="53"/>
        <v>0</v>
      </c>
      <c r="K685" s="79">
        <f t="shared" si="54"/>
        <v>17023.05</v>
      </c>
      <c r="L685" s="121"/>
    </row>
    <row r="686" spans="2:12" ht="33" x14ac:dyDescent="0.35">
      <c r="B686" s="111">
        <f t="shared" si="51"/>
        <v>676</v>
      </c>
      <c r="C686" s="64" t="s">
        <v>355</v>
      </c>
      <c r="D686" s="81" t="s">
        <v>26</v>
      </c>
      <c r="E686" s="78">
        <v>266.3</v>
      </c>
      <c r="F686" s="65"/>
      <c r="G686" s="65">
        <v>439</v>
      </c>
      <c r="H686" s="65">
        <f t="shared" si="55"/>
        <v>439</v>
      </c>
      <c r="I686" s="79">
        <f t="shared" si="52"/>
        <v>0</v>
      </c>
      <c r="J686" s="79">
        <f t="shared" si="53"/>
        <v>116905.7</v>
      </c>
      <c r="K686" s="79">
        <f t="shared" si="54"/>
        <v>116905.7</v>
      </c>
      <c r="L686" s="121"/>
    </row>
    <row r="687" spans="2:12" ht="29.4" customHeight="1" x14ac:dyDescent="0.35">
      <c r="B687" s="111">
        <f t="shared" si="51"/>
        <v>677</v>
      </c>
      <c r="C687" s="98" t="s">
        <v>97</v>
      </c>
      <c r="D687" s="103" t="s">
        <v>32</v>
      </c>
      <c r="E687" s="100">
        <v>1</v>
      </c>
      <c r="F687" s="101"/>
      <c r="G687" s="101"/>
      <c r="H687" s="101">
        <f t="shared" si="55"/>
        <v>0</v>
      </c>
      <c r="I687" s="101">
        <f t="shared" si="52"/>
        <v>0</v>
      </c>
      <c r="J687" s="101">
        <f t="shared" si="53"/>
        <v>0</v>
      </c>
      <c r="K687" s="101">
        <f t="shared" si="54"/>
        <v>0</v>
      </c>
      <c r="L687" s="102"/>
    </row>
    <row r="688" spans="2:12" ht="31" x14ac:dyDescent="0.35">
      <c r="B688" s="111">
        <f t="shared" si="51"/>
        <v>678</v>
      </c>
      <c r="C688" s="64" t="s">
        <v>348</v>
      </c>
      <c r="D688" s="81" t="s">
        <v>26</v>
      </c>
      <c r="E688" s="78">
        <f>52.98*0.97</f>
        <v>51.390599999999992</v>
      </c>
      <c r="F688" s="65"/>
      <c r="G688" s="65">
        <v>300</v>
      </c>
      <c r="H688" s="65">
        <f t="shared" si="55"/>
        <v>300</v>
      </c>
      <c r="I688" s="79">
        <f t="shared" si="52"/>
        <v>0</v>
      </c>
      <c r="J688" s="79">
        <f t="shared" si="53"/>
        <v>15417.18</v>
      </c>
      <c r="K688" s="79">
        <f t="shared" si="54"/>
        <v>15417.18</v>
      </c>
      <c r="L688" s="121"/>
    </row>
    <row r="689" spans="2:12" x14ac:dyDescent="0.35">
      <c r="B689" s="111">
        <f t="shared" si="51"/>
        <v>679</v>
      </c>
      <c r="C689" s="64" t="s">
        <v>19</v>
      </c>
      <c r="D689" s="81" t="s">
        <v>26</v>
      </c>
      <c r="E689" s="78">
        <f>E688/9</f>
        <v>5.7100666666666662</v>
      </c>
      <c r="F689" s="65"/>
      <c r="G689" s="65">
        <v>1500</v>
      </c>
      <c r="H689" s="65">
        <f t="shared" si="55"/>
        <v>1500</v>
      </c>
      <c r="I689" s="79">
        <f t="shared" si="52"/>
        <v>0</v>
      </c>
      <c r="J689" s="79">
        <f t="shared" si="53"/>
        <v>8565.1</v>
      </c>
      <c r="K689" s="79">
        <f t="shared" si="54"/>
        <v>8565.1</v>
      </c>
      <c r="L689" s="121"/>
    </row>
    <row r="690" spans="2:12" x14ac:dyDescent="0.35">
      <c r="B690" s="111">
        <f t="shared" si="51"/>
        <v>680</v>
      </c>
      <c r="C690" s="64" t="s">
        <v>67</v>
      </c>
      <c r="D690" s="81" t="s">
        <v>25</v>
      </c>
      <c r="E690" s="78">
        <v>6.6</v>
      </c>
      <c r="F690" s="65"/>
      <c r="G690" s="65"/>
      <c r="H690" s="65">
        <f t="shared" si="55"/>
        <v>0</v>
      </c>
      <c r="I690" s="79">
        <f t="shared" si="52"/>
        <v>0</v>
      </c>
      <c r="J690" s="79">
        <f t="shared" si="53"/>
        <v>0</v>
      </c>
      <c r="K690" s="79">
        <f t="shared" si="54"/>
        <v>0</v>
      </c>
      <c r="L690" s="121"/>
    </row>
    <row r="691" spans="2:12" x14ac:dyDescent="0.35">
      <c r="B691" s="111">
        <f t="shared" si="51"/>
        <v>681</v>
      </c>
      <c r="C691" s="64" t="s">
        <v>68</v>
      </c>
      <c r="D691" s="81" t="s">
        <v>26</v>
      </c>
      <c r="E691" s="78">
        <v>0.66</v>
      </c>
      <c r="F691" s="65"/>
      <c r="G691" s="65">
        <v>5860</v>
      </c>
      <c r="H691" s="65">
        <f t="shared" si="55"/>
        <v>5860</v>
      </c>
      <c r="I691" s="79">
        <f t="shared" si="52"/>
        <v>0</v>
      </c>
      <c r="J691" s="79">
        <f t="shared" si="53"/>
        <v>3867.6</v>
      </c>
      <c r="K691" s="79">
        <f t="shared" si="54"/>
        <v>3867.6</v>
      </c>
      <c r="L691" s="121"/>
    </row>
    <row r="692" spans="2:12" x14ac:dyDescent="0.35">
      <c r="B692" s="111">
        <f t="shared" si="51"/>
        <v>682</v>
      </c>
      <c r="C692" s="80" t="s">
        <v>159</v>
      </c>
      <c r="D692" s="81" t="s">
        <v>26</v>
      </c>
      <c r="E692" s="78">
        <v>0.67</v>
      </c>
      <c r="F692" s="65">
        <v>6700</v>
      </c>
      <c r="G692" s="65"/>
      <c r="H692" s="65">
        <f t="shared" si="55"/>
        <v>6700</v>
      </c>
      <c r="I692" s="79">
        <f t="shared" si="52"/>
        <v>4489</v>
      </c>
      <c r="J692" s="79">
        <f t="shared" si="53"/>
        <v>0</v>
      </c>
      <c r="K692" s="79">
        <f t="shared" si="54"/>
        <v>4489</v>
      </c>
      <c r="L692" s="121"/>
    </row>
    <row r="693" spans="2:12" x14ac:dyDescent="0.35">
      <c r="B693" s="111">
        <f t="shared" si="51"/>
        <v>683</v>
      </c>
      <c r="C693" s="64" t="s">
        <v>151</v>
      </c>
      <c r="D693" s="81" t="s">
        <v>25</v>
      </c>
      <c r="E693" s="78">
        <f>(3.14*2.5^2)/4</f>
        <v>4.90625</v>
      </c>
      <c r="F693" s="65">
        <v>68.5</v>
      </c>
      <c r="G693" s="65">
        <v>150</v>
      </c>
      <c r="H693" s="65">
        <f t="shared" si="55"/>
        <v>218.5</v>
      </c>
      <c r="I693" s="79">
        <f t="shared" si="52"/>
        <v>336.08</v>
      </c>
      <c r="J693" s="79">
        <f t="shared" si="53"/>
        <v>735.94</v>
      </c>
      <c r="K693" s="79">
        <f t="shared" si="54"/>
        <v>1072.02</v>
      </c>
      <c r="L693" s="121"/>
    </row>
    <row r="694" spans="2:12" ht="31" x14ac:dyDescent="0.35">
      <c r="B694" s="111">
        <f t="shared" si="51"/>
        <v>684</v>
      </c>
      <c r="C694" s="64" t="s">
        <v>152</v>
      </c>
      <c r="D694" s="81" t="s">
        <v>25</v>
      </c>
      <c r="E694" s="78">
        <f>(3.14*2.5^2)/4</f>
        <v>4.90625</v>
      </c>
      <c r="F694" s="65">
        <v>927</v>
      </c>
      <c r="G694" s="65">
        <v>400</v>
      </c>
      <c r="H694" s="65">
        <f t="shared" si="55"/>
        <v>1327</v>
      </c>
      <c r="I694" s="79">
        <f t="shared" si="52"/>
        <v>4548.09</v>
      </c>
      <c r="J694" s="79">
        <f t="shared" si="53"/>
        <v>1962.5</v>
      </c>
      <c r="K694" s="79">
        <f t="shared" si="54"/>
        <v>6510.59</v>
      </c>
      <c r="L694" s="121"/>
    </row>
    <row r="695" spans="2:12" ht="31" x14ac:dyDescent="0.35">
      <c r="B695" s="111">
        <f t="shared" si="51"/>
        <v>685</v>
      </c>
      <c r="C695" s="64" t="s">
        <v>69</v>
      </c>
      <c r="D695" s="81" t="s">
        <v>32</v>
      </c>
      <c r="E695" s="78">
        <v>1</v>
      </c>
      <c r="F695" s="65"/>
      <c r="G695" s="65">
        <v>5662</v>
      </c>
      <c r="H695" s="65">
        <f t="shared" si="55"/>
        <v>5662</v>
      </c>
      <c r="I695" s="79">
        <f t="shared" si="52"/>
        <v>0</v>
      </c>
      <c r="J695" s="79">
        <f t="shared" si="53"/>
        <v>5662</v>
      </c>
      <c r="K695" s="79">
        <f t="shared" si="54"/>
        <v>5662</v>
      </c>
      <c r="L695" s="121"/>
    </row>
    <row r="696" spans="2:12" x14ac:dyDescent="0.35">
      <c r="B696" s="111">
        <f t="shared" si="51"/>
        <v>686</v>
      </c>
      <c r="C696" s="82" t="s">
        <v>71</v>
      </c>
      <c r="D696" s="81" t="s">
        <v>32</v>
      </c>
      <c r="E696" s="78">
        <v>1</v>
      </c>
      <c r="F696" s="65">
        <f>7000*1.2</f>
        <v>8400</v>
      </c>
      <c r="G696" s="65"/>
      <c r="H696" s="65">
        <f t="shared" si="55"/>
        <v>8400</v>
      </c>
      <c r="I696" s="79">
        <f t="shared" si="52"/>
        <v>8400</v>
      </c>
      <c r="J696" s="79">
        <f t="shared" si="53"/>
        <v>0</v>
      </c>
      <c r="K696" s="79">
        <f t="shared" si="54"/>
        <v>8400</v>
      </c>
      <c r="L696" s="121"/>
    </row>
    <row r="697" spans="2:12" x14ac:dyDescent="0.35">
      <c r="B697" s="111">
        <f t="shared" si="51"/>
        <v>687</v>
      </c>
      <c r="C697" s="82" t="s">
        <v>101</v>
      </c>
      <c r="D697" s="81" t="s">
        <v>26</v>
      </c>
      <c r="E697" s="78">
        <v>0.06</v>
      </c>
      <c r="F697" s="65">
        <v>7300</v>
      </c>
      <c r="G697" s="65"/>
      <c r="H697" s="65">
        <f t="shared" si="55"/>
        <v>7300</v>
      </c>
      <c r="I697" s="79">
        <f t="shared" si="52"/>
        <v>438</v>
      </c>
      <c r="J697" s="79">
        <f t="shared" si="53"/>
        <v>0</v>
      </c>
      <c r="K697" s="79">
        <f t="shared" si="54"/>
        <v>438</v>
      </c>
      <c r="L697" s="121"/>
    </row>
    <row r="698" spans="2:12" ht="31" x14ac:dyDescent="0.35">
      <c r="B698" s="111">
        <f t="shared" si="51"/>
        <v>688</v>
      </c>
      <c r="C698" s="64" t="s">
        <v>179</v>
      </c>
      <c r="D698" s="81" t="s">
        <v>26</v>
      </c>
      <c r="E698" s="78">
        <v>1.2</v>
      </c>
      <c r="F698" s="65"/>
      <c r="G698" s="65">
        <v>5860</v>
      </c>
      <c r="H698" s="65">
        <f t="shared" si="55"/>
        <v>5860</v>
      </c>
      <c r="I698" s="79">
        <f t="shared" si="52"/>
        <v>0</v>
      </c>
      <c r="J698" s="79">
        <f t="shared" si="53"/>
        <v>7032</v>
      </c>
      <c r="K698" s="79">
        <f t="shared" si="54"/>
        <v>7032</v>
      </c>
      <c r="L698" s="121"/>
    </row>
    <row r="699" spans="2:12" x14ac:dyDescent="0.35">
      <c r="B699" s="111">
        <f t="shared" si="51"/>
        <v>689</v>
      </c>
      <c r="C699" s="82" t="s">
        <v>75</v>
      </c>
      <c r="D699" s="81" t="s">
        <v>26</v>
      </c>
      <c r="E699" s="78">
        <v>1.22</v>
      </c>
      <c r="F699" s="65">
        <v>7100</v>
      </c>
      <c r="G699" s="65"/>
      <c r="H699" s="65">
        <f t="shared" si="55"/>
        <v>7100</v>
      </c>
      <c r="I699" s="79">
        <f t="shared" si="52"/>
        <v>8662</v>
      </c>
      <c r="J699" s="79">
        <f t="shared" si="53"/>
        <v>0</v>
      </c>
      <c r="K699" s="79">
        <f t="shared" si="54"/>
        <v>8662</v>
      </c>
      <c r="L699" s="121"/>
    </row>
    <row r="700" spans="2:12" ht="31" x14ac:dyDescent="0.35">
      <c r="B700" s="111">
        <f t="shared" si="51"/>
        <v>690</v>
      </c>
      <c r="C700" s="64" t="s">
        <v>78</v>
      </c>
      <c r="D700" s="81" t="s">
        <v>32</v>
      </c>
      <c r="E700" s="78">
        <v>8</v>
      </c>
      <c r="F700" s="65"/>
      <c r="G700" s="65">
        <v>5662</v>
      </c>
      <c r="H700" s="65">
        <f t="shared" si="55"/>
        <v>5662</v>
      </c>
      <c r="I700" s="79">
        <f t="shared" si="52"/>
        <v>0</v>
      </c>
      <c r="J700" s="79">
        <f t="shared" si="53"/>
        <v>45296</v>
      </c>
      <c r="K700" s="79">
        <f t="shared" si="54"/>
        <v>45296</v>
      </c>
      <c r="L700" s="121"/>
    </row>
    <row r="701" spans="2:12" x14ac:dyDescent="0.35">
      <c r="B701" s="111">
        <f t="shared" si="51"/>
        <v>691</v>
      </c>
      <c r="C701" s="82" t="s">
        <v>76</v>
      </c>
      <c r="D701" s="81" t="s">
        <v>32</v>
      </c>
      <c r="E701" s="78">
        <v>5</v>
      </c>
      <c r="F701" s="65">
        <f>7000*1.2</f>
        <v>8400</v>
      </c>
      <c r="G701" s="65"/>
      <c r="H701" s="65">
        <f t="shared" si="55"/>
        <v>8400</v>
      </c>
      <c r="I701" s="79">
        <f t="shared" si="52"/>
        <v>42000</v>
      </c>
      <c r="J701" s="79">
        <f t="shared" si="53"/>
        <v>0</v>
      </c>
      <c r="K701" s="79">
        <f t="shared" si="54"/>
        <v>42000</v>
      </c>
      <c r="L701" s="121"/>
    </row>
    <row r="702" spans="2:12" x14ac:dyDescent="0.35">
      <c r="B702" s="111">
        <f t="shared" si="51"/>
        <v>692</v>
      </c>
      <c r="C702" s="82" t="s">
        <v>98</v>
      </c>
      <c r="D702" s="81" t="s">
        <v>32</v>
      </c>
      <c r="E702" s="78">
        <v>2</v>
      </c>
      <c r="F702" s="65">
        <f>700*1.2</f>
        <v>840</v>
      </c>
      <c r="G702" s="65"/>
      <c r="H702" s="65">
        <f t="shared" si="55"/>
        <v>840</v>
      </c>
      <c r="I702" s="79">
        <f t="shared" si="52"/>
        <v>1680</v>
      </c>
      <c r="J702" s="79">
        <f t="shared" si="53"/>
        <v>0</v>
      </c>
      <c r="K702" s="79">
        <f t="shared" si="54"/>
        <v>1680</v>
      </c>
      <c r="L702" s="121"/>
    </row>
    <row r="703" spans="2:12" x14ac:dyDescent="0.35">
      <c r="B703" s="111">
        <f t="shared" si="51"/>
        <v>693</v>
      </c>
      <c r="C703" s="82" t="s">
        <v>80</v>
      </c>
      <c r="D703" s="81" t="s">
        <v>32</v>
      </c>
      <c r="E703" s="78">
        <v>1</v>
      </c>
      <c r="F703" s="65">
        <f>1200*1.2</f>
        <v>1440</v>
      </c>
      <c r="G703" s="65"/>
      <c r="H703" s="65">
        <f t="shared" si="55"/>
        <v>1440</v>
      </c>
      <c r="I703" s="79">
        <f t="shared" si="52"/>
        <v>1440</v>
      </c>
      <c r="J703" s="79">
        <f t="shared" si="53"/>
        <v>0</v>
      </c>
      <c r="K703" s="79">
        <f t="shared" si="54"/>
        <v>1440</v>
      </c>
      <c r="L703" s="121"/>
    </row>
    <row r="704" spans="2:12" ht="31" x14ac:dyDescent="0.35">
      <c r="B704" s="111">
        <f t="shared" si="51"/>
        <v>694</v>
      </c>
      <c r="C704" s="64" t="s">
        <v>85</v>
      </c>
      <c r="D704" s="81" t="s">
        <v>32</v>
      </c>
      <c r="E704" s="78">
        <v>1</v>
      </c>
      <c r="F704" s="65"/>
      <c r="G704" s="65">
        <v>2500</v>
      </c>
      <c r="H704" s="65">
        <f t="shared" si="55"/>
        <v>2500</v>
      </c>
      <c r="I704" s="79">
        <f t="shared" si="52"/>
        <v>0</v>
      </c>
      <c r="J704" s="79">
        <f t="shared" si="53"/>
        <v>2500</v>
      </c>
      <c r="K704" s="79">
        <f t="shared" si="54"/>
        <v>2500</v>
      </c>
      <c r="L704" s="121"/>
    </row>
    <row r="705" spans="2:12" x14ac:dyDescent="0.35">
      <c r="B705" s="111">
        <f t="shared" si="51"/>
        <v>695</v>
      </c>
      <c r="C705" s="82" t="s">
        <v>79</v>
      </c>
      <c r="D705" s="81" t="s">
        <v>32</v>
      </c>
      <c r="E705" s="78">
        <v>1</v>
      </c>
      <c r="F705" s="65">
        <f>6500*1.2</f>
        <v>7800</v>
      </c>
      <c r="G705" s="65"/>
      <c r="H705" s="65">
        <f t="shared" si="55"/>
        <v>7800</v>
      </c>
      <c r="I705" s="79">
        <f t="shared" si="52"/>
        <v>7800</v>
      </c>
      <c r="J705" s="79">
        <f t="shared" si="53"/>
        <v>0</v>
      </c>
      <c r="K705" s="79">
        <f t="shared" si="54"/>
        <v>7800</v>
      </c>
      <c r="L705" s="121"/>
    </row>
    <row r="706" spans="2:12" ht="31" x14ac:dyDescent="0.35">
      <c r="B706" s="111">
        <f t="shared" si="51"/>
        <v>696</v>
      </c>
      <c r="C706" s="64" t="s">
        <v>316</v>
      </c>
      <c r="D706" s="81" t="s">
        <v>32</v>
      </c>
      <c r="E706" s="78">
        <v>1</v>
      </c>
      <c r="F706" s="65"/>
      <c r="G706" s="65"/>
      <c r="H706" s="65">
        <f t="shared" si="55"/>
        <v>0</v>
      </c>
      <c r="I706" s="79">
        <f t="shared" si="52"/>
        <v>0</v>
      </c>
      <c r="J706" s="79">
        <f t="shared" si="53"/>
        <v>0</v>
      </c>
      <c r="K706" s="79">
        <f t="shared" si="54"/>
        <v>0</v>
      </c>
      <c r="L706" s="121"/>
    </row>
    <row r="707" spans="2:12" x14ac:dyDescent="0.35">
      <c r="B707" s="111">
        <f t="shared" si="51"/>
        <v>697</v>
      </c>
      <c r="C707" s="82" t="s">
        <v>84</v>
      </c>
      <c r="D707" s="81" t="s">
        <v>32</v>
      </c>
      <c r="E707" s="78">
        <v>1</v>
      </c>
      <c r="F707" s="65">
        <v>1300</v>
      </c>
      <c r="G707" s="65">
        <v>990</v>
      </c>
      <c r="H707" s="65">
        <f t="shared" si="55"/>
        <v>2290</v>
      </c>
      <c r="I707" s="79">
        <f t="shared" si="52"/>
        <v>1300</v>
      </c>
      <c r="J707" s="79">
        <f t="shared" si="53"/>
        <v>990</v>
      </c>
      <c r="K707" s="79">
        <f t="shared" si="54"/>
        <v>2290</v>
      </c>
      <c r="L707" s="121"/>
    </row>
    <row r="708" spans="2:12" x14ac:dyDescent="0.35">
      <c r="B708" s="111">
        <f t="shared" si="51"/>
        <v>698</v>
      </c>
      <c r="C708" s="80" t="s">
        <v>301</v>
      </c>
      <c r="D708" s="81" t="s">
        <v>32</v>
      </c>
      <c r="E708" s="78">
        <v>1</v>
      </c>
      <c r="F708" s="65">
        <v>6000</v>
      </c>
      <c r="G708" s="65">
        <v>1464.09</v>
      </c>
      <c r="H708" s="65">
        <f t="shared" si="55"/>
        <v>7464.09</v>
      </c>
      <c r="I708" s="79">
        <f t="shared" si="52"/>
        <v>6000</v>
      </c>
      <c r="J708" s="79">
        <f t="shared" si="53"/>
        <v>1464.09</v>
      </c>
      <c r="K708" s="79">
        <f t="shared" si="54"/>
        <v>7464.09</v>
      </c>
      <c r="L708" s="121"/>
    </row>
    <row r="709" spans="2:12" ht="31" x14ac:dyDescent="0.35">
      <c r="B709" s="111">
        <f t="shared" si="51"/>
        <v>699</v>
      </c>
      <c r="C709" s="64" t="s">
        <v>156</v>
      </c>
      <c r="D709" s="81" t="s">
        <v>25</v>
      </c>
      <c r="E709" s="78">
        <f>38.82+3.8</f>
        <v>42.62</v>
      </c>
      <c r="F709" s="65">
        <v>68.5</v>
      </c>
      <c r="G709" s="65">
        <v>150</v>
      </c>
      <c r="H709" s="65">
        <f t="shared" si="55"/>
        <v>218.5</v>
      </c>
      <c r="I709" s="79">
        <f t="shared" si="52"/>
        <v>2919.47</v>
      </c>
      <c r="J709" s="79">
        <f t="shared" si="53"/>
        <v>6393</v>
      </c>
      <c r="K709" s="79">
        <f t="shared" si="54"/>
        <v>9312.4699999999993</v>
      </c>
      <c r="L709" s="121"/>
    </row>
    <row r="710" spans="2:12" ht="46.5" x14ac:dyDescent="0.35">
      <c r="B710" s="111">
        <f t="shared" si="51"/>
        <v>700</v>
      </c>
      <c r="C710" s="64" t="s">
        <v>157</v>
      </c>
      <c r="D710" s="81" t="s">
        <v>25</v>
      </c>
      <c r="E710" s="78">
        <f>38.82+3.8</f>
        <v>42.62</v>
      </c>
      <c r="F710" s="65">
        <v>927</v>
      </c>
      <c r="G710" s="65">
        <v>400</v>
      </c>
      <c r="H710" s="65">
        <f t="shared" si="55"/>
        <v>1327</v>
      </c>
      <c r="I710" s="79">
        <f t="shared" si="52"/>
        <v>39508.74</v>
      </c>
      <c r="J710" s="79">
        <f t="shared" si="53"/>
        <v>17048</v>
      </c>
      <c r="K710" s="79">
        <f t="shared" si="54"/>
        <v>56556.74</v>
      </c>
      <c r="L710" s="121"/>
    </row>
    <row r="711" spans="2:12" x14ac:dyDescent="0.35">
      <c r="B711" s="111">
        <f t="shared" si="51"/>
        <v>701</v>
      </c>
      <c r="C711" s="64" t="s">
        <v>317</v>
      </c>
      <c r="D711" s="81" t="s">
        <v>32</v>
      </c>
      <c r="E711" s="78">
        <v>1</v>
      </c>
      <c r="F711" s="65"/>
      <c r="G711" s="65"/>
      <c r="H711" s="65">
        <f t="shared" si="55"/>
        <v>0</v>
      </c>
      <c r="I711" s="79">
        <f t="shared" si="52"/>
        <v>0</v>
      </c>
      <c r="J711" s="79">
        <f t="shared" si="53"/>
        <v>0</v>
      </c>
      <c r="K711" s="79">
        <f t="shared" si="54"/>
        <v>0</v>
      </c>
      <c r="L711" s="121"/>
    </row>
    <row r="712" spans="2:12" x14ac:dyDescent="0.35">
      <c r="B712" s="111">
        <f t="shared" si="51"/>
        <v>702</v>
      </c>
      <c r="C712" s="82" t="s">
        <v>318</v>
      </c>
      <c r="D712" s="81" t="s">
        <v>31</v>
      </c>
      <c r="E712" s="78">
        <v>49.36</v>
      </c>
      <c r="F712" s="68">
        <v>71</v>
      </c>
      <c r="G712" s="65">
        <v>97.61</v>
      </c>
      <c r="H712" s="65">
        <f t="shared" si="55"/>
        <v>168.61</v>
      </c>
      <c r="I712" s="79">
        <f t="shared" si="52"/>
        <v>3504.56</v>
      </c>
      <c r="J712" s="79">
        <f t="shared" si="53"/>
        <v>4818.03</v>
      </c>
      <c r="K712" s="79">
        <f t="shared" si="54"/>
        <v>8322.59</v>
      </c>
      <c r="L712" s="121"/>
    </row>
    <row r="713" spans="2:12" x14ac:dyDescent="0.35">
      <c r="B713" s="111">
        <f t="shared" si="51"/>
        <v>703</v>
      </c>
      <c r="C713" s="64" t="s">
        <v>93</v>
      </c>
      <c r="D713" s="81" t="s">
        <v>32</v>
      </c>
      <c r="E713" s="78">
        <v>3</v>
      </c>
      <c r="F713" s="65"/>
      <c r="G713" s="65"/>
      <c r="H713" s="65">
        <f t="shared" si="55"/>
        <v>0</v>
      </c>
      <c r="I713" s="79">
        <f t="shared" si="52"/>
        <v>0</v>
      </c>
      <c r="J713" s="79">
        <f t="shared" si="53"/>
        <v>0</v>
      </c>
      <c r="K713" s="79">
        <f t="shared" si="54"/>
        <v>0</v>
      </c>
      <c r="L713" s="121"/>
    </row>
    <row r="714" spans="2:12" x14ac:dyDescent="0.35">
      <c r="B714" s="111">
        <f t="shared" si="51"/>
        <v>704</v>
      </c>
      <c r="C714" s="82" t="s">
        <v>94</v>
      </c>
      <c r="D714" s="81" t="s">
        <v>31</v>
      </c>
      <c r="E714" s="78">
        <f>0.82*3</f>
        <v>2.46</v>
      </c>
      <c r="F714" s="68">
        <v>71</v>
      </c>
      <c r="G714" s="65">
        <v>97.61</v>
      </c>
      <c r="H714" s="65">
        <f t="shared" si="55"/>
        <v>168.61</v>
      </c>
      <c r="I714" s="79">
        <f t="shared" si="52"/>
        <v>174.66</v>
      </c>
      <c r="J714" s="79">
        <f t="shared" si="53"/>
        <v>240.12</v>
      </c>
      <c r="K714" s="79">
        <f t="shared" si="54"/>
        <v>414.78</v>
      </c>
      <c r="L714" s="121"/>
    </row>
    <row r="715" spans="2:12" ht="31" x14ac:dyDescent="0.35">
      <c r="B715" s="111">
        <f t="shared" si="51"/>
        <v>705</v>
      </c>
      <c r="C715" s="64" t="s">
        <v>153</v>
      </c>
      <c r="D715" s="81" t="s">
        <v>32</v>
      </c>
      <c r="E715" s="78">
        <v>3</v>
      </c>
      <c r="F715" s="65"/>
      <c r="G715" s="65">
        <v>1464</v>
      </c>
      <c r="H715" s="65">
        <f t="shared" si="55"/>
        <v>1464</v>
      </c>
      <c r="I715" s="79">
        <f t="shared" si="52"/>
        <v>0</v>
      </c>
      <c r="J715" s="79">
        <f t="shared" si="53"/>
        <v>4392</v>
      </c>
      <c r="K715" s="79">
        <f t="shared" si="54"/>
        <v>4392</v>
      </c>
      <c r="L715" s="121"/>
    </row>
    <row r="716" spans="2:12" ht="33" x14ac:dyDescent="0.35">
      <c r="B716" s="111">
        <f t="shared" si="51"/>
        <v>706</v>
      </c>
      <c r="C716" s="64" t="s">
        <v>362</v>
      </c>
      <c r="D716" s="81" t="s">
        <v>26</v>
      </c>
      <c r="E716" s="78">
        <f>54.14-21.35</f>
        <v>32.79</v>
      </c>
      <c r="F716" s="65"/>
      <c r="G716" s="65">
        <v>439</v>
      </c>
      <c r="H716" s="65">
        <f t="shared" si="55"/>
        <v>439</v>
      </c>
      <c r="I716" s="79">
        <f t="shared" si="52"/>
        <v>0</v>
      </c>
      <c r="J716" s="79">
        <f t="shared" si="53"/>
        <v>14394.81</v>
      </c>
      <c r="K716" s="79">
        <f t="shared" si="54"/>
        <v>14394.81</v>
      </c>
      <c r="L716" s="121"/>
    </row>
    <row r="717" spans="2:12" ht="30" x14ac:dyDescent="0.35">
      <c r="B717" s="111">
        <f t="shared" ref="B717:B780" si="56">B716+1</f>
        <v>707</v>
      </c>
      <c r="C717" s="98" t="s">
        <v>225</v>
      </c>
      <c r="D717" s="99" t="s">
        <v>27</v>
      </c>
      <c r="E717" s="100" t="s">
        <v>226</v>
      </c>
      <c r="F717" s="101"/>
      <c r="G717" s="101"/>
      <c r="H717" s="101">
        <f t="shared" si="55"/>
        <v>0</v>
      </c>
      <c r="I717" s="101">
        <f t="shared" ref="I717:I780" si="57">ROUND(F717*E717,2)</f>
        <v>0</v>
      </c>
      <c r="J717" s="101">
        <f t="shared" ref="J717:J780" si="58">ROUND(G717*E717,2)</f>
        <v>0</v>
      </c>
      <c r="K717" s="101">
        <f t="shared" ref="K717:K780" si="59">I717+J717</f>
        <v>0</v>
      </c>
      <c r="L717" s="102"/>
    </row>
    <row r="718" spans="2:12" ht="31" x14ac:dyDescent="0.35">
      <c r="B718" s="111">
        <f t="shared" si="56"/>
        <v>708</v>
      </c>
      <c r="C718" s="64" t="s">
        <v>348</v>
      </c>
      <c r="D718" s="77" t="s">
        <v>26</v>
      </c>
      <c r="E718" s="78">
        <f>0.97*160.44</f>
        <v>155.6268</v>
      </c>
      <c r="F718" s="65"/>
      <c r="G718" s="65">
        <v>300</v>
      </c>
      <c r="H718" s="65">
        <f t="shared" si="55"/>
        <v>300</v>
      </c>
      <c r="I718" s="79">
        <f t="shared" si="57"/>
        <v>0</v>
      </c>
      <c r="J718" s="79">
        <f t="shared" si="58"/>
        <v>46688.04</v>
      </c>
      <c r="K718" s="79">
        <f t="shared" si="59"/>
        <v>46688.04</v>
      </c>
      <c r="L718" s="121"/>
    </row>
    <row r="719" spans="2:12" x14ac:dyDescent="0.35">
      <c r="B719" s="111">
        <f t="shared" si="56"/>
        <v>709</v>
      </c>
      <c r="C719" s="64" t="s">
        <v>19</v>
      </c>
      <c r="D719" s="77" t="s">
        <v>26</v>
      </c>
      <c r="E719" s="78">
        <f>E718/97*3</f>
        <v>4.8132000000000001</v>
      </c>
      <c r="F719" s="65"/>
      <c r="G719" s="65">
        <v>1500</v>
      </c>
      <c r="H719" s="65">
        <f t="shared" ref="H719:H782" si="60">F719+G719</f>
        <v>1500</v>
      </c>
      <c r="I719" s="79">
        <f t="shared" si="57"/>
        <v>0</v>
      </c>
      <c r="J719" s="79">
        <f t="shared" si="58"/>
        <v>7219.8</v>
      </c>
      <c r="K719" s="79">
        <f t="shared" si="59"/>
        <v>7219.8</v>
      </c>
      <c r="L719" s="121"/>
    </row>
    <row r="720" spans="2:12" x14ac:dyDescent="0.35">
      <c r="B720" s="111">
        <f t="shared" si="56"/>
        <v>710</v>
      </c>
      <c r="C720" s="64" t="s">
        <v>184</v>
      </c>
      <c r="D720" s="77" t="s">
        <v>25</v>
      </c>
      <c r="E720" s="78">
        <f>E717*0.75</f>
        <v>10.649999999999999</v>
      </c>
      <c r="F720" s="65"/>
      <c r="G720" s="65"/>
      <c r="H720" s="65">
        <f t="shared" si="60"/>
        <v>0</v>
      </c>
      <c r="I720" s="79">
        <f t="shared" si="57"/>
        <v>0</v>
      </c>
      <c r="J720" s="79">
        <f t="shared" si="58"/>
        <v>0</v>
      </c>
      <c r="K720" s="79">
        <f t="shared" si="59"/>
        <v>0</v>
      </c>
      <c r="L720" s="121"/>
    </row>
    <row r="721" spans="2:12" ht="31" x14ac:dyDescent="0.35">
      <c r="B721" s="111">
        <f t="shared" si="56"/>
        <v>711</v>
      </c>
      <c r="C721" s="64" t="s">
        <v>194</v>
      </c>
      <c r="D721" s="77" t="s">
        <v>25</v>
      </c>
      <c r="E721" s="78">
        <f>E717*0.48</f>
        <v>6.8159999999999998</v>
      </c>
      <c r="F721" s="65">
        <f>1973*0.15</f>
        <v>295.95</v>
      </c>
      <c r="G721" s="65">
        <f>1500*0.15</f>
        <v>225</v>
      </c>
      <c r="H721" s="65">
        <f t="shared" si="60"/>
        <v>520.95000000000005</v>
      </c>
      <c r="I721" s="79">
        <f t="shared" si="57"/>
        <v>2017.2</v>
      </c>
      <c r="J721" s="79">
        <f t="shared" si="58"/>
        <v>1533.6</v>
      </c>
      <c r="K721" s="79">
        <f t="shared" si="59"/>
        <v>3550.8</v>
      </c>
      <c r="L721" s="121"/>
    </row>
    <row r="722" spans="2:12" x14ac:dyDescent="0.35">
      <c r="B722" s="111">
        <f t="shared" si="56"/>
        <v>712</v>
      </c>
      <c r="C722" s="64" t="s">
        <v>20</v>
      </c>
      <c r="D722" s="77" t="s">
        <v>26</v>
      </c>
      <c r="E722" s="78">
        <f>0.34*E717*0.1</f>
        <v>0.48280000000000006</v>
      </c>
      <c r="F722" s="65"/>
      <c r="G722" s="65">
        <v>5860</v>
      </c>
      <c r="H722" s="65">
        <f t="shared" si="60"/>
        <v>5860</v>
      </c>
      <c r="I722" s="79">
        <f t="shared" si="57"/>
        <v>0</v>
      </c>
      <c r="J722" s="79">
        <f t="shared" si="58"/>
        <v>2829.21</v>
      </c>
      <c r="K722" s="79">
        <f t="shared" si="59"/>
        <v>2829.21</v>
      </c>
      <c r="L722" s="121"/>
    </row>
    <row r="723" spans="2:12" x14ac:dyDescent="0.35">
      <c r="B723" s="111">
        <f t="shared" si="56"/>
        <v>713</v>
      </c>
      <c r="C723" s="80" t="s">
        <v>159</v>
      </c>
      <c r="D723" s="77" t="s">
        <v>26</v>
      </c>
      <c r="E723" s="78">
        <f>E722*1.02</f>
        <v>0.49245600000000006</v>
      </c>
      <c r="F723" s="65">
        <v>6700</v>
      </c>
      <c r="G723" s="65"/>
      <c r="H723" s="65">
        <f t="shared" si="60"/>
        <v>6700</v>
      </c>
      <c r="I723" s="79">
        <f t="shared" si="57"/>
        <v>3299.46</v>
      </c>
      <c r="J723" s="79">
        <f t="shared" si="58"/>
        <v>0</v>
      </c>
      <c r="K723" s="79">
        <f t="shared" si="59"/>
        <v>3299.46</v>
      </c>
      <c r="L723" s="121"/>
    </row>
    <row r="724" spans="2:12" x14ac:dyDescent="0.35">
      <c r="B724" s="111">
        <f t="shared" si="56"/>
        <v>714</v>
      </c>
      <c r="C724" s="64" t="s">
        <v>28</v>
      </c>
      <c r="D724" s="77" t="s">
        <v>26</v>
      </c>
      <c r="E724" s="78">
        <f>0.8*E717*0.1</f>
        <v>1.1359999999999999</v>
      </c>
      <c r="F724" s="65"/>
      <c r="G724" s="65">
        <v>5860</v>
      </c>
      <c r="H724" s="65">
        <f t="shared" si="60"/>
        <v>5860</v>
      </c>
      <c r="I724" s="79">
        <f t="shared" si="57"/>
        <v>0</v>
      </c>
      <c r="J724" s="79">
        <f t="shared" si="58"/>
        <v>6656.96</v>
      </c>
      <c r="K724" s="79">
        <f t="shared" si="59"/>
        <v>6656.96</v>
      </c>
      <c r="L724" s="121"/>
    </row>
    <row r="725" spans="2:12" x14ac:dyDescent="0.35">
      <c r="B725" s="111">
        <f t="shared" si="56"/>
        <v>715</v>
      </c>
      <c r="C725" s="80" t="s">
        <v>29</v>
      </c>
      <c r="D725" s="77" t="s">
        <v>26</v>
      </c>
      <c r="E725" s="78">
        <f>E724*1.02</f>
        <v>1.15872</v>
      </c>
      <c r="F725" s="65">
        <v>7100</v>
      </c>
      <c r="G725" s="65"/>
      <c r="H725" s="65">
        <f t="shared" si="60"/>
        <v>7100</v>
      </c>
      <c r="I725" s="79">
        <f t="shared" si="57"/>
        <v>8226.91</v>
      </c>
      <c r="J725" s="79">
        <f t="shared" si="58"/>
        <v>0</v>
      </c>
      <c r="K725" s="79">
        <f t="shared" si="59"/>
        <v>8226.91</v>
      </c>
      <c r="L725" s="121"/>
    </row>
    <row r="726" spans="2:12" x14ac:dyDescent="0.35">
      <c r="B726" s="111">
        <f t="shared" si="56"/>
        <v>716</v>
      </c>
      <c r="C726" s="80" t="s">
        <v>30</v>
      </c>
      <c r="D726" s="77" t="s">
        <v>31</v>
      </c>
      <c r="E726" s="78">
        <f>31.39*E717*0.1</f>
        <v>44.573800000000006</v>
      </c>
      <c r="F726" s="65">
        <v>118.9</v>
      </c>
      <c r="G726" s="65"/>
      <c r="H726" s="65">
        <f t="shared" si="60"/>
        <v>118.9</v>
      </c>
      <c r="I726" s="79">
        <f t="shared" si="57"/>
        <v>5299.82</v>
      </c>
      <c r="J726" s="79">
        <f t="shared" si="58"/>
        <v>0</v>
      </c>
      <c r="K726" s="79">
        <f t="shared" si="59"/>
        <v>5299.82</v>
      </c>
      <c r="L726" s="121"/>
    </row>
    <row r="727" spans="2:12" x14ac:dyDescent="0.35">
      <c r="B727" s="111">
        <f t="shared" si="56"/>
        <v>717</v>
      </c>
      <c r="C727" s="64" t="s">
        <v>189</v>
      </c>
      <c r="D727" s="77" t="s">
        <v>27</v>
      </c>
      <c r="E727" s="78" t="str">
        <f>E717</f>
        <v>14,2</v>
      </c>
      <c r="F727" s="65"/>
      <c r="G727" s="65">
        <v>2928</v>
      </c>
      <c r="H727" s="65">
        <f t="shared" si="60"/>
        <v>2928</v>
      </c>
      <c r="I727" s="79">
        <f t="shared" si="57"/>
        <v>0</v>
      </c>
      <c r="J727" s="79">
        <f t="shared" si="58"/>
        <v>41577.599999999999</v>
      </c>
      <c r="K727" s="79">
        <f t="shared" si="59"/>
        <v>41577.599999999999</v>
      </c>
      <c r="L727" s="121"/>
    </row>
    <row r="728" spans="2:12" ht="31" x14ac:dyDescent="0.35">
      <c r="B728" s="111">
        <f t="shared" si="56"/>
        <v>718</v>
      </c>
      <c r="C728" s="80" t="s">
        <v>195</v>
      </c>
      <c r="D728" s="77" t="s">
        <v>27</v>
      </c>
      <c r="E728" s="78">
        <f>E727*1.1</f>
        <v>15.620000000000001</v>
      </c>
      <c r="F728" s="65">
        <v>855</v>
      </c>
      <c r="G728" s="65"/>
      <c r="H728" s="65">
        <f t="shared" si="60"/>
        <v>855</v>
      </c>
      <c r="I728" s="79">
        <f t="shared" si="57"/>
        <v>13355.1</v>
      </c>
      <c r="J728" s="79">
        <f t="shared" si="58"/>
        <v>0</v>
      </c>
      <c r="K728" s="79">
        <f t="shared" si="59"/>
        <v>13355.1</v>
      </c>
      <c r="L728" s="121"/>
    </row>
    <row r="729" spans="2:12" ht="33" x14ac:dyDescent="0.35">
      <c r="B729" s="111">
        <f t="shared" si="56"/>
        <v>719</v>
      </c>
      <c r="C729" s="64" t="s">
        <v>355</v>
      </c>
      <c r="D729" s="81" t="s">
        <v>26</v>
      </c>
      <c r="E729" s="78">
        <v>179.8</v>
      </c>
      <c r="F729" s="65"/>
      <c r="G729" s="65">
        <v>439</v>
      </c>
      <c r="H729" s="65">
        <f t="shared" si="60"/>
        <v>439</v>
      </c>
      <c r="I729" s="79">
        <f t="shared" si="57"/>
        <v>0</v>
      </c>
      <c r="J729" s="79">
        <f t="shared" si="58"/>
        <v>78932.2</v>
      </c>
      <c r="K729" s="79">
        <f t="shared" si="59"/>
        <v>78932.2</v>
      </c>
      <c r="L729" s="121"/>
    </row>
    <row r="730" spans="2:12" ht="27" customHeight="1" x14ac:dyDescent="0.35">
      <c r="B730" s="111">
        <f t="shared" si="56"/>
        <v>720</v>
      </c>
      <c r="C730" s="98" t="s">
        <v>100</v>
      </c>
      <c r="D730" s="103" t="s">
        <v>32</v>
      </c>
      <c r="E730" s="100">
        <v>1</v>
      </c>
      <c r="F730" s="101"/>
      <c r="G730" s="101"/>
      <c r="H730" s="101">
        <f t="shared" si="60"/>
        <v>0</v>
      </c>
      <c r="I730" s="101">
        <f t="shared" si="57"/>
        <v>0</v>
      </c>
      <c r="J730" s="101">
        <f t="shared" si="58"/>
        <v>0</v>
      </c>
      <c r="K730" s="101">
        <f t="shared" si="59"/>
        <v>0</v>
      </c>
      <c r="L730" s="102"/>
    </row>
    <row r="731" spans="2:12" ht="31" x14ac:dyDescent="0.35">
      <c r="B731" s="111">
        <f t="shared" si="56"/>
        <v>721</v>
      </c>
      <c r="C731" s="64" t="s">
        <v>348</v>
      </c>
      <c r="D731" s="81" t="s">
        <v>26</v>
      </c>
      <c r="E731" s="78">
        <f>39.28*0.97</f>
        <v>38.101599999999998</v>
      </c>
      <c r="F731" s="65"/>
      <c r="G731" s="65">
        <v>300</v>
      </c>
      <c r="H731" s="65">
        <f t="shared" si="60"/>
        <v>300</v>
      </c>
      <c r="I731" s="79">
        <f t="shared" si="57"/>
        <v>0</v>
      </c>
      <c r="J731" s="79">
        <f t="shared" si="58"/>
        <v>11430.48</v>
      </c>
      <c r="K731" s="79">
        <f t="shared" si="59"/>
        <v>11430.48</v>
      </c>
      <c r="L731" s="121"/>
    </row>
    <row r="732" spans="2:12" x14ac:dyDescent="0.35">
      <c r="B732" s="111">
        <f t="shared" si="56"/>
        <v>722</v>
      </c>
      <c r="C732" s="64" t="s">
        <v>19</v>
      </c>
      <c r="D732" s="81" t="s">
        <v>26</v>
      </c>
      <c r="E732" s="78">
        <f>E731/9</f>
        <v>4.2335111111111106</v>
      </c>
      <c r="F732" s="65"/>
      <c r="G732" s="65">
        <v>1500</v>
      </c>
      <c r="H732" s="65">
        <f t="shared" si="60"/>
        <v>1500</v>
      </c>
      <c r="I732" s="79">
        <f t="shared" si="57"/>
        <v>0</v>
      </c>
      <c r="J732" s="79">
        <f t="shared" si="58"/>
        <v>6350.27</v>
      </c>
      <c r="K732" s="79">
        <f t="shared" si="59"/>
        <v>6350.27</v>
      </c>
      <c r="L732" s="121"/>
    </row>
    <row r="733" spans="2:12" x14ac:dyDescent="0.35">
      <c r="B733" s="111">
        <f t="shared" si="56"/>
        <v>723</v>
      </c>
      <c r="C733" s="64" t="s">
        <v>67</v>
      </c>
      <c r="D733" s="81" t="s">
        <v>25</v>
      </c>
      <c r="E733" s="78">
        <v>6.6</v>
      </c>
      <c r="F733" s="65"/>
      <c r="G733" s="65"/>
      <c r="H733" s="65">
        <f t="shared" si="60"/>
        <v>0</v>
      </c>
      <c r="I733" s="79">
        <f t="shared" si="57"/>
        <v>0</v>
      </c>
      <c r="J733" s="79">
        <f t="shared" si="58"/>
        <v>0</v>
      </c>
      <c r="K733" s="79">
        <f t="shared" si="59"/>
        <v>0</v>
      </c>
      <c r="L733" s="121"/>
    </row>
    <row r="734" spans="2:12" x14ac:dyDescent="0.35">
      <c r="B734" s="111">
        <f t="shared" si="56"/>
        <v>724</v>
      </c>
      <c r="C734" s="64" t="s">
        <v>68</v>
      </c>
      <c r="D734" s="81" t="s">
        <v>26</v>
      </c>
      <c r="E734" s="78">
        <v>0.66</v>
      </c>
      <c r="F734" s="65"/>
      <c r="G734" s="65">
        <v>5860</v>
      </c>
      <c r="H734" s="65">
        <f t="shared" si="60"/>
        <v>5860</v>
      </c>
      <c r="I734" s="79">
        <f t="shared" si="57"/>
        <v>0</v>
      </c>
      <c r="J734" s="79">
        <f t="shared" si="58"/>
        <v>3867.6</v>
      </c>
      <c r="K734" s="79">
        <f t="shared" si="59"/>
        <v>3867.6</v>
      </c>
      <c r="L734" s="121"/>
    </row>
    <row r="735" spans="2:12" x14ac:dyDescent="0.35">
      <c r="B735" s="111">
        <f t="shared" si="56"/>
        <v>725</v>
      </c>
      <c r="C735" s="80" t="s">
        <v>159</v>
      </c>
      <c r="D735" s="81" t="s">
        <v>26</v>
      </c>
      <c r="E735" s="78">
        <v>0.67</v>
      </c>
      <c r="F735" s="65">
        <v>6700</v>
      </c>
      <c r="G735" s="65"/>
      <c r="H735" s="65">
        <f t="shared" si="60"/>
        <v>6700</v>
      </c>
      <c r="I735" s="79">
        <f t="shared" si="57"/>
        <v>4489</v>
      </c>
      <c r="J735" s="79">
        <f t="shared" si="58"/>
        <v>0</v>
      </c>
      <c r="K735" s="79">
        <f t="shared" si="59"/>
        <v>4489</v>
      </c>
      <c r="L735" s="121"/>
    </row>
    <row r="736" spans="2:12" x14ac:dyDescent="0.35">
      <c r="B736" s="111">
        <f t="shared" si="56"/>
        <v>726</v>
      </c>
      <c r="C736" s="64" t="s">
        <v>151</v>
      </c>
      <c r="D736" s="81" t="s">
        <v>25</v>
      </c>
      <c r="E736" s="78">
        <f>(3.14*2.5^2)/4</f>
        <v>4.90625</v>
      </c>
      <c r="F736" s="65">
        <v>68.5</v>
      </c>
      <c r="G736" s="65">
        <v>150</v>
      </c>
      <c r="H736" s="65">
        <f t="shared" si="60"/>
        <v>218.5</v>
      </c>
      <c r="I736" s="79">
        <f t="shared" si="57"/>
        <v>336.08</v>
      </c>
      <c r="J736" s="79">
        <f t="shared" si="58"/>
        <v>735.94</v>
      </c>
      <c r="K736" s="79">
        <f t="shared" si="59"/>
        <v>1072.02</v>
      </c>
      <c r="L736" s="121"/>
    </row>
    <row r="737" spans="2:12" ht="31" x14ac:dyDescent="0.35">
      <c r="B737" s="111">
        <f t="shared" si="56"/>
        <v>727</v>
      </c>
      <c r="C737" s="64" t="s">
        <v>152</v>
      </c>
      <c r="D737" s="81" t="s">
        <v>25</v>
      </c>
      <c r="E737" s="78">
        <f>(3.14*2.5^2)/4</f>
        <v>4.90625</v>
      </c>
      <c r="F737" s="65">
        <v>927</v>
      </c>
      <c r="G737" s="65">
        <v>400</v>
      </c>
      <c r="H737" s="65">
        <f t="shared" si="60"/>
        <v>1327</v>
      </c>
      <c r="I737" s="79">
        <f t="shared" si="57"/>
        <v>4548.09</v>
      </c>
      <c r="J737" s="79">
        <f t="shared" si="58"/>
        <v>1962.5</v>
      </c>
      <c r="K737" s="79">
        <f t="shared" si="59"/>
        <v>6510.59</v>
      </c>
      <c r="L737" s="121"/>
    </row>
    <row r="738" spans="2:12" ht="31" x14ac:dyDescent="0.35">
      <c r="B738" s="111">
        <f t="shared" si="56"/>
        <v>728</v>
      </c>
      <c r="C738" s="64" t="s">
        <v>69</v>
      </c>
      <c r="D738" s="81" t="s">
        <v>32</v>
      </c>
      <c r="E738" s="78">
        <v>1</v>
      </c>
      <c r="F738" s="65"/>
      <c r="G738" s="65">
        <v>5662</v>
      </c>
      <c r="H738" s="65">
        <f t="shared" si="60"/>
        <v>5662</v>
      </c>
      <c r="I738" s="79">
        <f t="shared" si="57"/>
        <v>0</v>
      </c>
      <c r="J738" s="79">
        <f t="shared" si="58"/>
        <v>5662</v>
      </c>
      <c r="K738" s="79">
        <f t="shared" si="59"/>
        <v>5662</v>
      </c>
      <c r="L738" s="121"/>
    </row>
    <row r="739" spans="2:12" x14ac:dyDescent="0.35">
      <c r="B739" s="111">
        <f t="shared" si="56"/>
        <v>729</v>
      </c>
      <c r="C739" s="82" t="s">
        <v>71</v>
      </c>
      <c r="D739" s="81" t="s">
        <v>32</v>
      </c>
      <c r="E739" s="78">
        <v>1</v>
      </c>
      <c r="F739" s="65">
        <f>7000*1.2</f>
        <v>8400</v>
      </c>
      <c r="G739" s="65"/>
      <c r="H739" s="65">
        <f t="shared" si="60"/>
        <v>8400</v>
      </c>
      <c r="I739" s="79">
        <f t="shared" si="57"/>
        <v>8400</v>
      </c>
      <c r="J739" s="79">
        <f t="shared" si="58"/>
        <v>0</v>
      </c>
      <c r="K739" s="79">
        <f t="shared" si="59"/>
        <v>8400</v>
      </c>
      <c r="L739" s="121"/>
    </row>
    <row r="740" spans="2:12" x14ac:dyDescent="0.35">
      <c r="B740" s="111">
        <f t="shared" si="56"/>
        <v>730</v>
      </c>
      <c r="C740" s="82" t="s">
        <v>101</v>
      </c>
      <c r="D740" s="81" t="s">
        <v>26</v>
      </c>
      <c r="E740" s="78">
        <v>0.06</v>
      </c>
      <c r="F740" s="65">
        <v>7300</v>
      </c>
      <c r="G740" s="65"/>
      <c r="H740" s="65">
        <f t="shared" si="60"/>
        <v>7300</v>
      </c>
      <c r="I740" s="79">
        <f t="shared" si="57"/>
        <v>438</v>
      </c>
      <c r="J740" s="79">
        <f t="shared" si="58"/>
        <v>0</v>
      </c>
      <c r="K740" s="79">
        <f t="shared" si="59"/>
        <v>438</v>
      </c>
      <c r="L740" s="121"/>
    </row>
    <row r="741" spans="2:12" ht="31" x14ac:dyDescent="0.35">
      <c r="B741" s="111">
        <f t="shared" si="56"/>
        <v>731</v>
      </c>
      <c r="C741" s="64" t="s">
        <v>179</v>
      </c>
      <c r="D741" s="81" t="s">
        <v>26</v>
      </c>
      <c r="E741" s="78">
        <v>1.2</v>
      </c>
      <c r="F741" s="65"/>
      <c r="G741" s="65">
        <v>5860</v>
      </c>
      <c r="H741" s="65">
        <f t="shared" si="60"/>
        <v>5860</v>
      </c>
      <c r="I741" s="79">
        <f t="shared" si="57"/>
        <v>0</v>
      </c>
      <c r="J741" s="79">
        <f t="shared" si="58"/>
        <v>7032</v>
      </c>
      <c r="K741" s="79">
        <f t="shared" si="59"/>
        <v>7032</v>
      </c>
      <c r="L741" s="121"/>
    </row>
    <row r="742" spans="2:12" x14ac:dyDescent="0.35">
      <c r="B742" s="111">
        <f t="shared" si="56"/>
        <v>732</v>
      </c>
      <c r="C742" s="82" t="s">
        <v>75</v>
      </c>
      <c r="D742" s="81" t="s">
        <v>26</v>
      </c>
      <c r="E742" s="78">
        <v>1.22</v>
      </c>
      <c r="F742" s="65">
        <v>7100</v>
      </c>
      <c r="G742" s="65"/>
      <c r="H742" s="65">
        <f t="shared" si="60"/>
        <v>7100</v>
      </c>
      <c r="I742" s="79">
        <f t="shared" si="57"/>
        <v>8662</v>
      </c>
      <c r="J742" s="79">
        <f t="shared" si="58"/>
        <v>0</v>
      </c>
      <c r="K742" s="79">
        <f t="shared" si="59"/>
        <v>8662</v>
      </c>
      <c r="L742" s="121"/>
    </row>
    <row r="743" spans="2:12" ht="31" x14ac:dyDescent="0.35">
      <c r="B743" s="111">
        <f t="shared" si="56"/>
        <v>733</v>
      </c>
      <c r="C743" s="64" t="s">
        <v>78</v>
      </c>
      <c r="D743" s="81" t="s">
        <v>32</v>
      </c>
      <c r="E743" s="78">
        <v>8</v>
      </c>
      <c r="F743" s="65"/>
      <c r="G743" s="65">
        <v>5662</v>
      </c>
      <c r="H743" s="65">
        <f t="shared" si="60"/>
        <v>5662</v>
      </c>
      <c r="I743" s="79">
        <f t="shared" si="57"/>
        <v>0</v>
      </c>
      <c r="J743" s="79">
        <f t="shared" si="58"/>
        <v>45296</v>
      </c>
      <c r="K743" s="79">
        <f t="shared" si="59"/>
        <v>45296</v>
      </c>
      <c r="L743" s="121"/>
    </row>
    <row r="744" spans="2:12" x14ac:dyDescent="0.35">
      <c r="B744" s="111">
        <f t="shared" si="56"/>
        <v>734</v>
      </c>
      <c r="C744" s="82" t="s">
        <v>76</v>
      </c>
      <c r="D744" s="81" t="s">
        <v>32</v>
      </c>
      <c r="E744" s="78">
        <v>2</v>
      </c>
      <c r="F744" s="65">
        <f>7000*1.2</f>
        <v>8400</v>
      </c>
      <c r="G744" s="65"/>
      <c r="H744" s="65">
        <f t="shared" si="60"/>
        <v>8400</v>
      </c>
      <c r="I744" s="79">
        <f t="shared" si="57"/>
        <v>16800</v>
      </c>
      <c r="J744" s="79">
        <f t="shared" si="58"/>
        <v>0</v>
      </c>
      <c r="K744" s="79">
        <f t="shared" si="59"/>
        <v>16800</v>
      </c>
      <c r="L744" s="121"/>
    </row>
    <row r="745" spans="2:12" x14ac:dyDescent="0.35">
      <c r="B745" s="111">
        <f t="shared" si="56"/>
        <v>735</v>
      </c>
      <c r="C745" s="82" t="s">
        <v>77</v>
      </c>
      <c r="D745" s="81" t="s">
        <v>32</v>
      </c>
      <c r="E745" s="78">
        <v>2</v>
      </c>
      <c r="F745" s="65">
        <f>5500*1.2</f>
        <v>6600</v>
      </c>
      <c r="G745" s="65"/>
      <c r="H745" s="65">
        <f t="shared" si="60"/>
        <v>6600</v>
      </c>
      <c r="I745" s="79">
        <f t="shared" si="57"/>
        <v>13200</v>
      </c>
      <c r="J745" s="79">
        <f t="shared" si="58"/>
        <v>0</v>
      </c>
      <c r="K745" s="79">
        <f t="shared" si="59"/>
        <v>13200</v>
      </c>
      <c r="L745" s="121"/>
    </row>
    <row r="746" spans="2:12" x14ac:dyDescent="0.35">
      <c r="B746" s="111">
        <f t="shared" si="56"/>
        <v>736</v>
      </c>
      <c r="C746" s="82" t="s">
        <v>98</v>
      </c>
      <c r="D746" s="81" t="s">
        <v>32</v>
      </c>
      <c r="E746" s="78">
        <v>2</v>
      </c>
      <c r="F746" s="65">
        <f>700*1.2</f>
        <v>840</v>
      </c>
      <c r="G746" s="65"/>
      <c r="H746" s="65">
        <f t="shared" si="60"/>
        <v>840</v>
      </c>
      <c r="I746" s="79">
        <f t="shared" si="57"/>
        <v>1680</v>
      </c>
      <c r="J746" s="79">
        <f t="shared" si="58"/>
        <v>0</v>
      </c>
      <c r="K746" s="79">
        <f t="shared" si="59"/>
        <v>1680</v>
      </c>
      <c r="L746" s="121"/>
    </row>
    <row r="747" spans="2:12" x14ac:dyDescent="0.35">
      <c r="B747" s="111">
        <f t="shared" si="56"/>
        <v>737</v>
      </c>
      <c r="C747" s="82" t="s">
        <v>80</v>
      </c>
      <c r="D747" s="81" t="s">
        <v>32</v>
      </c>
      <c r="E747" s="78">
        <v>1</v>
      </c>
      <c r="F747" s="65">
        <f>1200*1.2</f>
        <v>1440</v>
      </c>
      <c r="G747" s="65"/>
      <c r="H747" s="65">
        <f t="shared" si="60"/>
        <v>1440</v>
      </c>
      <c r="I747" s="79">
        <f t="shared" si="57"/>
        <v>1440</v>
      </c>
      <c r="J747" s="79">
        <f t="shared" si="58"/>
        <v>0</v>
      </c>
      <c r="K747" s="79">
        <f t="shared" si="59"/>
        <v>1440</v>
      </c>
      <c r="L747" s="121"/>
    </row>
    <row r="748" spans="2:12" ht="31" x14ac:dyDescent="0.35">
      <c r="B748" s="111">
        <f t="shared" si="56"/>
        <v>738</v>
      </c>
      <c r="C748" s="64" t="s">
        <v>85</v>
      </c>
      <c r="D748" s="81" t="s">
        <v>32</v>
      </c>
      <c r="E748" s="78">
        <v>1</v>
      </c>
      <c r="F748" s="65"/>
      <c r="G748" s="65">
        <v>2500</v>
      </c>
      <c r="H748" s="65">
        <f t="shared" si="60"/>
        <v>2500</v>
      </c>
      <c r="I748" s="79">
        <f t="shared" si="57"/>
        <v>0</v>
      </c>
      <c r="J748" s="79">
        <f t="shared" si="58"/>
        <v>2500</v>
      </c>
      <c r="K748" s="79">
        <f t="shared" si="59"/>
        <v>2500</v>
      </c>
      <c r="L748" s="121"/>
    </row>
    <row r="749" spans="2:12" x14ac:dyDescent="0.35">
      <c r="B749" s="111">
        <f t="shared" si="56"/>
        <v>739</v>
      </c>
      <c r="C749" s="82" t="s">
        <v>79</v>
      </c>
      <c r="D749" s="81" t="s">
        <v>32</v>
      </c>
      <c r="E749" s="78">
        <v>1</v>
      </c>
      <c r="F749" s="65">
        <f>6500*1.2</f>
        <v>7800</v>
      </c>
      <c r="G749" s="65"/>
      <c r="H749" s="65">
        <f t="shared" si="60"/>
        <v>7800</v>
      </c>
      <c r="I749" s="79">
        <f t="shared" si="57"/>
        <v>7800</v>
      </c>
      <c r="J749" s="79">
        <f t="shared" si="58"/>
        <v>0</v>
      </c>
      <c r="K749" s="79">
        <f t="shared" si="59"/>
        <v>7800</v>
      </c>
      <c r="L749" s="121"/>
    </row>
    <row r="750" spans="2:12" ht="31" x14ac:dyDescent="0.35">
      <c r="B750" s="111">
        <f t="shared" si="56"/>
        <v>740</v>
      </c>
      <c r="C750" s="64" t="s">
        <v>316</v>
      </c>
      <c r="D750" s="81" t="s">
        <v>32</v>
      </c>
      <c r="E750" s="78">
        <v>1</v>
      </c>
      <c r="F750" s="65"/>
      <c r="G750" s="65"/>
      <c r="H750" s="65">
        <f t="shared" si="60"/>
        <v>0</v>
      </c>
      <c r="I750" s="79">
        <f t="shared" si="57"/>
        <v>0</v>
      </c>
      <c r="J750" s="79">
        <f t="shared" si="58"/>
        <v>0</v>
      </c>
      <c r="K750" s="79">
        <f t="shared" si="59"/>
        <v>0</v>
      </c>
      <c r="L750" s="121"/>
    </row>
    <row r="751" spans="2:12" x14ac:dyDescent="0.35">
      <c r="B751" s="111">
        <f t="shared" si="56"/>
        <v>741</v>
      </c>
      <c r="C751" s="82" t="s">
        <v>84</v>
      </c>
      <c r="D751" s="81" t="s">
        <v>32</v>
      </c>
      <c r="E751" s="78">
        <v>1</v>
      </c>
      <c r="F751" s="65">
        <v>1300</v>
      </c>
      <c r="G751" s="65">
        <v>990</v>
      </c>
      <c r="H751" s="65">
        <f t="shared" si="60"/>
        <v>2290</v>
      </c>
      <c r="I751" s="79">
        <f t="shared" si="57"/>
        <v>1300</v>
      </c>
      <c r="J751" s="79">
        <f t="shared" si="58"/>
        <v>990</v>
      </c>
      <c r="K751" s="79">
        <f t="shared" si="59"/>
        <v>2290</v>
      </c>
      <c r="L751" s="121"/>
    </row>
    <row r="752" spans="2:12" x14ac:dyDescent="0.35">
      <c r="B752" s="111">
        <f t="shared" si="56"/>
        <v>742</v>
      </c>
      <c r="C752" s="80" t="s">
        <v>301</v>
      </c>
      <c r="D752" s="81" t="s">
        <v>32</v>
      </c>
      <c r="E752" s="78">
        <v>1</v>
      </c>
      <c r="F752" s="65">
        <v>6000</v>
      </c>
      <c r="G752" s="65">
        <v>1464.09</v>
      </c>
      <c r="H752" s="65">
        <f t="shared" si="60"/>
        <v>7464.09</v>
      </c>
      <c r="I752" s="79">
        <f t="shared" si="57"/>
        <v>6000</v>
      </c>
      <c r="J752" s="79">
        <f t="shared" si="58"/>
        <v>1464.09</v>
      </c>
      <c r="K752" s="79">
        <f t="shared" si="59"/>
        <v>7464.09</v>
      </c>
      <c r="L752" s="121"/>
    </row>
    <row r="753" spans="2:12" ht="31" x14ac:dyDescent="0.35">
      <c r="B753" s="111">
        <f t="shared" si="56"/>
        <v>743</v>
      </c>
      <c r="C753" s="64" t="s">
        <v>156</v>
      </c>
      <c r="D753" s="81" t="s">
        <v>25</v>
      </c>
      <c r="E753" s="78">
        <f>28.53+3.8</f>
        <v>32.33</v>
      </c>
      <c r="F753" s="65">
        <v>68.5</v>
      </c>
      <c r="G753" s="65">
        <v>150</v>
      </c>
      <c r="H753" s="65">
        <f t="shared" si="60"/>
        <v>218.5</v>
      </c>
      <c r="I753" s="79">
        <f t="shared" si="57"/>
        <v>2214.61</v>
      </c>
      <c r="J753" s="79">
        <f t="shared" si="58"/>
        <v>4849.5</v>
      </c>
      <c r="K753" s="79">
        <f t="shared" si="59"/>
        <v>7064.1100000000006</v>
      </c>
      <c r="L753" s="121"/>
    </row>
    <row r="754" spans="2:12" ht="46.5" x14ac:dyDescent="0.35">
      <c r="B754" s="111">
        <f t="shared" si="56"/>
        <v>744</v>
      </c>
      <c r="C754" s="64" t="s">
        <v>157</v>
      </c>
      <c r="D754" s="81" t="s">
        <v>25</v>
      </c>
      <c r="E754" s="78">
        <f>28.53+3.8</f>
        <v>32.33</v>
      </c>
      <c r="F754" s="65">
        <v>927</v>
      </c>
      <c r="G754" s="65">
        <v>400</v>
      </c>
      <c r="H754" s="65">
        <f t="shared" si="60"/>
        <v>1327</v>
      </c>
      <c r="I754" s="79">
        <f t="shared" si="57"/>
        <v>29969.91</v>
      </c>
      <c r="J754" s="79">
        <f t="shared" si="58"/>
        <v>12932</v>
      </c>
      <c r="K754" s="79">
        <f t="shared" si="59"/>
        <v>42901.91</v>
      </c>
      <c r="L754" s="121"/>
    </row>
    <row r="755" spans="2:12" x14ac:dyDescent="0.35">
      <c r="B755" s="111">
        <f t="shared" si="56"/>
        <v>745</v>
      </c>
      <c r="C755" s="64" t="s">
        <v>102</v>
      </c>
      <c r="D755" s="81" t="s">
        <v>32</v>
      </c>
      <c r="E755" s="78">
        <v>1</v>
      </c>
      <c r="F755" s="65"/>
      <c r="G755" s="65"/>
      <c r="H755" s="65">
        <f t="shared" si="60"/>
        <v>0</v>
      </c>
      <c r="I755" s="79">
        <f t="shared" si="57"/>
        <v>0</v>
      </c>
      <c r="J755" s="79">
        <f t="shared" si="58"/>
        <v>0</v>
      </c>
      <c r="K755" s="79">
        <f t="shared" si="59"/>
        <v>0</v>
      </c>
      <c r="L755" s="121"/>
    </row>
    <row r="756" spans="2:12" x14ac:dyDescent="0.35">
      <c r="B756" s="111">
        <f t="shared" si="56"/>
        <v>746</v>
      </c>
      <c r="C756" s="82" t="s">
        <v>104</v>
      </c>
      <c r="D756" s="81" t="s">
        <v>31</v>
      </c>
      <c r="E756" s="78">
        <v>30</v>
      </c>
      <c r="F756" s="68">
        <v>71</v>
      </c>
      <c r="G756" s="65">
        <v>97.61</v>
      </c>
      <c r="H756" s="65">
        <f t="shared" si="60"/>
        <v>168.61</v>
      </c>
      <c r="I756" s="79">
        <f t="shared" si="57"/>
        <v>2130</v>
      </c>
      <c r="J756" s="79">
        <f t="shared" si="58"/>
        <v>2928.3</v>
      </c>
      <c r="K756" s="79">
        <f t="shared" si="59"/>
        <v>5058.3</v>
      </c>
      <c r="L756" s="121"/>
    </row>
    <row r="757" spans="2:12" x14ac:dyDescent="0.35">
      <c r="B757" s="111">
        <f t="shared" si="56"/>
        <v>747</v>
      </c>
      <c r="C757" s="64" t="s">
        <v>93</v>
      </c>
      <c r="D757" s="81" t="s">
        <v>32</v>
      </c>
      <c r="E757" s="78">
        <v>3</v>
      </c>
      <c r="F757" s="65"/>
      <c r="G757" s="65"/>
      <c r="H757" s="65">
        <f t="shared" si="60"/>
        <v>0</v>
      </c>
      <c r="I757" s="79">
        <f t="shared" si="57"/>
        <v>0</v>
      </c>
      <c r="J757" s="79">
        <f t="shared" si="58"/>
        <v>0</v>
      </c>
      <c r="K757" s="79">
        <f t="shared" si="59"/>
        <v>0</v>
      </c>
      <c r="L757" s="121"/>
    </row>
    <row r="758" spans="2:12" x14ac:dyDescent="0.35">
      <c r="B758" s="111">
        <f t="shared" si="56"/>
        <v>748</v>
      </c>
      <c r="C758" s="82" t="s">
        <v>94</v>
      </c>
      <c r="D758" s="81" t="s">
        <v>31</v>
      </c>
      <c r="E758" s="78">
        <f>0.82*3</f>
        <v>2.46</v>
      </c>
      <c r="F758" s="68">
        <v>71</v>
      </c>
      <c r="G758" s="65">
        <v>97.61</v>
      </c>
      <c r="H758" s="65">
        <f t="shared" si="60"/>
        <v>168.61</v>
      </c>
      <c r="I758" s="79">
        <f t="shared" si="57"/>
        <v>174.66</v>
      </c>
      <c r="J758" s="79">
        <f t="shared" si="58"/>
        <v>240.12</v>
      </c>
      <c r="K758" s="79">
        <f t="shared" si="59"/>
        <v>414.78</v>
      </c>
      <c r="L758" s="121"/>
    </row>
    <row r="759" spans="2:12" ht="31" x14ac:dyDescent="0.35">
      <c r="B759" s="111">
        <f t="shared" si="56"/>
        <v>749</v>
      </c>
      <c r="C759" s="64" t="s">
        <v>153</v>
      </c>
      <c r="D759" s="81" t="s">
        <v>32</v>
      </c>
      <c r="E759" s="78">
        <v>2</v>
      </c>
      <c r="F759" s="65"/>
      <c r="G759" s="65">
        <v>1464</v>
      </c>
      <c r="H759" s="65">
        <f t="shared" si="60"/>
        <v>1464</v>
      </c>
      <c r="I759" s="79">
        <f t="shared" si="57"/>
        <v>0</v>
      </c>
      <c r="J759" s="79">
        <f t="shared" si="58"/>
        <v>2928</v>
      </c>
      <c r="K759" s="79">
        <f t="shared" si="59"/>
        <v>2928</v>
      </c>
      <c r="L759" s="121"/>
    </row>
    <row r="760" spans="2:12" ht="33" x14ac:dyDescent="0.35">
      <c r="B760" s="111">
        <f t="shared" si="56"/>
        <v>750</v>
      </c>
      <c r="C760" s="64" t="s">
        <v>362</v>
      </c>
      <c r="D760" s="81" t="s">
        <v>26</v>
      </c>
      <c r="E760" s="78">
        <f>40.25-15.69</f>
        <v>24.560000000000002</v>
      </c>
      <c r="F760" s="65"/>
      <c r="G760" s="65">
        <v>439</v>
      </c>
      <c r="H760" s="65">
        <f t="shared" si="60"/>
        <v>439</v>
      </c>
      <c r="I760" s="79">
        <f t="shared" si="57"/>
        <v>0</v>
      </c>
      <c r="J760" s="79">
        <f t="shared" si="58"/>
        <v>10781.84</v>
      </c>
      <c r="K760" s="79">
        <f t="shared" si="59"/>
        <v>10781.84</v>
      </c>
      <c r="L760" s="121"/>
    </row>
    <row r="761" spans="2:12" x14ac:dyDescent="0.35">
      <c r="B761" s="111">
        <f t="shared" si="56"/>
        <v>751</v>
      </c>
      <c r="C761" s="64" t="s">
        <v>321</v>
      </c>
      <c r="D761" s="81"/>
      <c r="E761" s="78"/>
      <c r="F761" s="65"/>
      <c r="G761" s="65"/>
      <c r="H761" s="65">
        <f t="shared" si="60"/>
        <v>0</v>
      </c>
      <c r="I761" s="79">
        <f t="shared" si="57"/>
        <v>0</v>
      </c>
      <c r="J761" s="79">
        <f t="shared" si="58"/>
        <v>0</v>
      </c>
      <c r="K761" s="79">
        <f t="shared" si="59"/>
        <v>0</v>
      </c>
      <c r="L761" s="121">
        <v>1</v>
      </c>
    </row>
    <row r="762" spans="2:12" ht="31" x14ac:dyDescent="0.35">
      <c r="B762" s="111">
        <f t="shared" si="56"/>
        <v>752</v>
      </c>
      <c r="C762" s="80" t="s">
        <v>309</v>
      </c>
      <c r="D762" s="81" t="s">
        <v>32</v>
      </c>
      <c r="E762" s="78">
        <v>1</v>
      </c>
      <c r="F762" s="65">
        <v>2263</v>
      </c>
      <c r="G762" s="65">
        <v>1700</v>
      </c>
      <c r="H762" s="65">
        <f t="shared" si="60"/>
        <v>3963</v>
      </c>
      <c r="I762" s="79">
        <f t="shared" si="57"/>
        <v>2263</v>
      </c>
      <c r="J762" s="79">
        <f t="shared" si="58"/>
        <v>1700</v>
      </c>
      <c r="K762" s="79">
        <f t="shared" si="59"/>
        <v>3963</v>
      </c>
      <c r="L762" s="121"/>
    </row>
    <row r="763" spans="2:12" ht="31" x14ac:dyDescent="0.35">
      <c r="B763" s="111">
        <f t="shared" si="56"/>
        <v>753</v>
      </c>
      <c r="C763" s="80" t="s">
        <v>310</v>
      </c>
      <c r="D763" s="81" t="s">
        <v>32</v>
      </c>
      <c r="E763" s="78">
        <v>1</v>
      </c>
      <c r="F763" s="65">
        <v>1303</v>
      </c>
      <c r="G763" s="65">
        <v>1700</v>
      </c>
      <c r="H763" s="65">
        <f t="shared" si="60"/>
        <v>3003</v>
      </c>
      <c r="I763" s="79">
        <f t="shared" si="57"/>
        <v>1303</v>
      </c>
      <c r="J763" s="79">
        <f t="shared" si="58"/>
        <v>1700</v>
      </c>
      <c r="K763" s="79">
        <f t="shared" si="59"/>
        <v>3003</v>
      </c>
      <c r="L763" s="121"/>
    </row>
    <row r="764" spans="2:12" ht="31" x14ac:dyDescent="0.35">
      <c r="B764" s="111">
        <f t="shared" si="56"/>
        <v>754</v>
      </c>
      <c r="C764" s="80" t="s">
        <v>63</v>
      </c>
      <c r="D764" s="81" t="s">
        <v>27</v>
      </c>
      <c r="E764" s="78">
        <f>0.38*1.1</f>
        <v>0.41800000000000004</v>
      </c>
      <c r="F764" s="65">
        <v>855</v>
      </c>
      <c r="G764" s="65">
        <v>1700</v>
      </c>
      <c r="H764" s="65">
        <f t="shared" si="60"/>
        <v>2555</v>
      </c>
      <c r="I764" s="79">
        <f t="shared" si="57"/>
        <v>357.39</v>
      </c>
      <c r="J764" s="79">
        <f t="shared" si="58"/>
        <v>710.6</v>
      </c>
      <c r="K764" s="79">
        <f t="shared" si="59"/>
        <v>1067.99</v>
      </c>
      <c r="L764" s="121"/>
    </row>
    <row r="765" spans="2:12" ht="33" x14ac:dyDescent="0.35">
      <c r="B765" s="111">
        <f t="shared" si="56"/>
        <v>755</v>
      </c>
      <c r="C765" s="64" t="s">
        <v>362</v>
      </c>
      <c r="D765" s="81" t="s">
        <v>26</v>
      </c>
      <c r="E765" s="78">
        <f>40.25-15.69</f>
        <v>24.560000000000002</v>
      </c>
      <c r="F765" s="65"/>
      <c r="G765" s="65">
        <v>439</v>
      </c>
      <c r="H765" s="65">
        <f t="shared" si="60"/>
        <v>439</v>
      </c>
      <c r="I765" s="79">
        <f t="shared" si="57"/>
        <v>0</v>
      </c>
      <c r="J765" s="79">
        <f t="shared" si="58"/>
        <v>10781.84</v>
      </c>
      <c r="K765" s="79">
        <f t="shared" si="59"/>
        <v>10781.84</v>
      </c>
      <c r="L765" s="121"/>
    </row>
    <row r="766" spans="2:12" ht="30" x14ac:dyDescent="0.35">
      <c r="B766" s="111">
        <f t="shared" si="56"/>
        <v>756</v>
      </c>
      <c r="C766" s="98" t="s">
        <v>227</v>
      </c>
      <c r="D766" s="99" t="s">
        <v>27</v>
      </c>
      <c r="E766" s="100" t="s">
        <v>228</v>
      </c>
      <c r="F766" s="101"/>
      <c r="G766" s="101"/>
      <c r="H766" s="101">
        <f t="shared" si="60"/>
        <v>0</v>
      </c>
      <c r="I766" s="101">
        <f t="shared" si="57"/>
        <v>0</v>
      </c>
      <c r="J766" s="101">
        <f t="shared" si="58"/>
        <v>0</v>
      </c>
      <c r="K766" s="101">
        <f t="shared" si="59"/>
        <v>0</v>
      </c>
      <c r="L766" s="102"/>
    </row>
    <row r="767" spans="2:12" ht="31" x14ac:dyDescent="0.35">
      <c r="B767" s="111">
        <f t="shared" si="56"/>
        <v>757</v>
      </c>
      <c r="C767" s="64" t="s">
        <v>348</v>
      </c>
      <c r="D767" s="77" t="s">
        <v>26</v>
      </c>
      <c r="E767" s="78">
        <f>0.97*86.67</f>
        <v>84.069900000000004</v>
      </c>
      <c r="F767" s="65"/>
      <c r="G767" s="65">
        <v>300</v>
      </c>
      <c r="H767" s="65">
        <f t="shared" si="60"/>
        <v>300</v>
      </c>
      <c r="I767" s="79">
        <f t="shared" si="57"/>
        <v>0</v>
      </c>
      <c r="J767" s="79">
        <f t="shared" si="58"/>
        <v>25220.97</v>
      </c>
      <c r="K767" s="79">
        <f t="shared" si="59"/>
        <v>25220.97</v>
      </c>
      <c r="L767" s="121"/>
    </row>
    <row r="768" spans="2:12" x14ac:dyDescent="0.35">
      <c r="B768" s="111">
        <f t="shared" si="56"/>
        <v>758</v>
      </c>
      <c r="C768" s="64" t="s">
        <v>19</v>
      </c>
      <c r="D768" s="77" t="s">
        <v>26</v>
      </c>
      <c r="E768" s="78">
        <f>E767/97*3</f>
        <v>2.6001000000000003</v>
      </c>
      <c r="F768" s="65"/>
      <c r="G768" s="65">
        <v>1500</v>
      </c>
      <c r="H768" s="65">
        <f t="shared" si="60"/>
        <v>1500</v>
      </c>
      <c r="I768" s="79">
        <f t="shared" si="57"/>
        <v>0</v>
      </c>
      <c r="J768" s="79">
        <f t="shared" si="58"/>
        <v>3900.15</v>
      </c>
      <c r="K768" s="79">
        <f t="shared" si="59"/>
        <v>3900.15</v>
      </c>
      <c r="L768" s="121"/>
    </row>
    <row r="769" spans="2:12" x14ac:dyDescent="0.35">
      <c r="B769" s="111">
        <f t="shared" si="56"/>
        <v>759</v>
      </c>
      <c r="C769" s="64" t="s">
        <v>184</v>
      </c>
      <c r="D769" s="77" t="s">
        <v>25</v>
      </c>
      <c r="E769" s="78">
        <f>E766*0.75</f>
        <v>9.6000000000000014</v>
      </c>
      <c r="F769" s="65"/>
      <c r="G769" s="65"/>
      <c r="H769" s="65">
        <f t="shared" si="60"/>
        <v>0</v>
      </c>
      <c r="I769" s="79">
        <f t="shared" si="57"/>
        <v>0</v>
      </c>
      <c r="J769" s="79">
        <f t="shared" si="58"/>
        <v>0</v>
      </c>
      <c r="K769" s="79">
        <f t="shared" si="59"/>
        <v>0</v>
      </c>
      <c r="L769" s="121"/>
    </row>
    <row r="770" spans="2:12" ht="31" x14ac:dyDescent="0.35">
      <c r="B770" s="111">
        <f t="shared" si="56"/>
        <v>760</v>
      </c>
      <c r="C770" s="64" t="s">
        <v>194</v>
      </c>
      <c r="D770" s="77" t="s">
        <v>25</v>
      </c>
      <c r="E770" s="78">
        <f>E766*0.48</f>
        <v>6.1440000000000001</v>
      </c>
      <c r="F770" s="65">
        <f>1973*0.15</f>
        <v>295.95</v>
      </c>
      <c r="G770" s="65">
        <f>1500*0.15</f>
        <v>225</v>
      </c>
      <c r="H770" s="65">
        <f t="shared" si="60"/>
        <v>520.95000000000005</v>
      </c>
      <c r="I770" s="79">
        <f t="shared" si="57"/>
        <v>1818.32</v>
      </c>
      <c r="J770" s="79">
        <f t="shared" si="58"/>
        <v>1382.4</v>
      </c>
      <c r="K770" s="79">
        <f t="shared" si="59"/>
        <v>3200.7200000000003</v>
      </c>
      <c r="L770" s="121"/>
    </row>
    <row r="771" spans="2:12" x14ac:dyDescent="0.35">
      <c r="B771" s="111">
        <f t="shared" si="56"/>
        <v>761</v>
      </c>
      <c r="C771" s="64" t="s">
        <v>20</v>
      </c>
      <c r="D771" s="77" t="s">
        <v>26</v>
      </c>
      <c r="E771" s="78">
        <f>0.34*E766*0.1</f>
        <v>0.43520000000000003</v>
      </c>
      <c r="F771" s="65"/>
      <c r="G771" s="65">
        <v>5860</v>
      </c>
      <c r="H771" s="65">
        <f t="shared" si="60"/>
        <v>5860</v>
      </c>
      <c r="I771" s="79">
        <f t="shared" si="57"/>
        <v>0</v>
      </c>
      <c r="J771" s="79">
        <f t="shared" si="58"/>
        <v>2550.27</v>
      </c>
      <c r="K771" s="79">
        <f t="shared" si="59"/>
        <v>2550.27</v>
      </c>
      <c r="L771" s="121"/>
    </row>
    <row r="772" spans="2:12" x14ac:dyDescent="0.35">
      <c r="B772" s="111">
        <f t="shared" si="56"/>
        <v>762</v>
      </c>
      <c r="C772" s="80" t="s">
        <v>159</v>
      </c>
      <c r="D772" s="77" t="s">
        <v>26</v>
      </c>
      <c r="E772" s="78">
        <f>E771*1.02</f>
        <v>0.44390400000000002</v>
      </c>
      <c r="F772" s="65">
        <v>6700</v>
      </c>
      <c r="G772" s="65"/>
      <c r="H772" s="65">
        <f t="shared" si="60"/>
        <v>6700</v>
      </c>
      <c r="I772" s="79">
        <f t="shared" si="57"/>
        <v>2974.16</v>
      </c>
      <c r="J772" s="79">
        <f t="shared" si="58"/>
        <v>0</v>
      </c>
      <c r="K772" s="79">
        <f t="shared" si="59"/>
        <v>2974.16</v>
      </c>
      <c r="L772" s="121"/>
    </row>
    <row r="773" spans="2:12" x14ac:dyDescent="0.35">
      <c r="B773" s="111">
        <f t="shared" si="56"/>
        <v>763</v>
      </c>
      <c r="C773" s="64" t="s">
        <v>28</v>
      </c>
      <c r="D773" s="77" t="s">
        <v>26</v>
      </c>
      <c r="E773" s="78">
        <f>0.8*E766*0.1</f>
        <v>1.0240000000000002</v>
      </c>
      <c r="F773" s="65"/>
      <c r="G773" s="65">
        <v>5860</v>
      </c>
      <c r="H773" s="65">
        <f t="shared" si="60"/>
        <v>5860</v>
      </c>
      <c r="I773" s="79">
        <f t="shared" si="57"/>
        <v>0</v>
      </c>
      <c r="J773" s="79">
        <f t="shared" si="58"/>
        <v>6000.64</v>
      </c>
      <c r="K773" s="79">
        <f t="shared" si="59"/>
        <v>6000.64</v>
      </c>
      <c r="L773" s="121"/>
    </row>
    <row r="774" spans="2:12" x14ac:dyDescent="0.35">
      <c r="B774" s="111">
        <f t="shared" si="56"/>
        <v>764</v>
      </c>
      <c r="C774" s="80" t="s">
        <v>29</v>
      </c>
      <c r="D774" s="77" t="s">
        <v>26</v>
      </c>
      <c r="E774" s="78">
        <f>E773*1.02</f>
        <v>1.0444800000000003</v>
      </c>
      <c r="F774" s="65">
        <v>7100</v>
      </c>
      <c r="G774" s="65"/>
      <c r="H774" s="65">
        <f t="shared" si="60"/>
        <v>7100</v>
      </c>
      <c r="I774" s="79">
        <f t="shared" si="57"/>
        <v>7415.81</v>
      </c>
      <c r="J774" s="79">
        <f t="shared" si="58"/>
        <v>0</v>
      </c>
      <c r="K774" s="79">
        <f t="shared" si="59"/>
        <v>7415.81</v>
      </c>
      <c r="L774" s="121"/>
    </row>
    <row r="775" spans="2:12" x14ac:dyDescent="0.35">
      <c r="B775" s="111">
        <f t="shared" si="56"/>
        <v>765</v>
      </c>
      <c r="C775" s="80" t="s">
        <v>30</v>
      </c>
      <c r="D775" s="77" t="s">
        <v>31</v>
      </c>
      <c r="E775" s="78">
        <f>31.39*E766*0.1</f>
        <v>40.179200000000009</v>
      </c>
      <c r="F775" s="65">
        <v>118.9</v>
      </c>
      <c r="G775" s="65"/>
      <c r="H775" s="65">
        <f t="shared" si="60"/>
        <v>118.9</v>
      </c>
      <c r="I775" s="79">
        <f t="shared" si="57"/>
        <v>4777.3100000000004</v>
      </c>
      <c r="J775" s="79">
        <f t="shared" si="58"/>
        <v>0</v>
      </c>
      <c r="K775" s="79">
        <f t="shared" si="59"/>
        <v>4777.3100000000004</v>
      </c>
      <c r="L775" s="121"/>
    </row>
    <row r="776" spans="2:12" x14ac:dyDescent="0.35">
      <c r="B776" s="111">
        <f t="shared" si="56"/>
        <v>766</v>
      </c>
      <c r="C776" s="64" t="s">
        <v>189</v>
      </c>
      <c r="D776" s="77" t="s">
        <v>27</v>
      </c>
      <c r="E776" s="78" t="str">
        <f>E766</f>
        <v>12,8</v>
      </c>
      <c r="F776" s="65"/>
      <c r="G776" s="65">
        <v>2928</v>
      </c>
      <c r="H776" s="65">
        <f t="shared" si="60"/>
        <v>2928</v>
      </c>
      <c r="I776" s="79">
        <f t="shared" si="57"/>
        <v>0</v>
      </c>
      <c r="J776" s="79">
        <f t="shared" si="58"/>
        <v>37478.400000000001</v>
      </c>
      <c r="K776" s="79">
        <f t="shared" si="59"/>
        <v>37478.400000000001</v>
      </c>
      <c r="L776" s="121"/>
    </row>
    <row r="777" spans="2:12" ht="31" x14ac:dyDescent="0.35">
      <c r="B777" s="111">
        <f t="shared" si="56"/>
        <v>767</v>
      </c>
      <c r="C777" s="80" t="s">
        <v>195</v>
      </c>
      <c r="D777" s="77" t="s">
        <v>27</v>
      </c>
      <c r="E777" s="78">
        <f>E776*1.1</f>
        <v>14.080000000000002</v>
      </c>
      <c r="F777" s="65">
        <v>855</v>
      </c>
      <c r="G777" s="65"/>
      <c r="H777" s="65">
        <f t="shared" si="60"/>
        <v>855</v>
      </c>
      <c r="I777" s="79">
        <f t="shared" si="57"/>
        <v>12038.4</v>
      </c>
      <c r="J777" s="79">
        <f t="shared" si="58"/>
        <v>0</v>
      </c>
      <c r="K777" s="79">
        <f t="shared" si="59"/>
        <v>12038.4</v>
      </c>
      <c r="L777" s="121"/>
    </row>
    <row r="778" spans="2:12" ht="33" x14ac:dyDescent="0.35">
      <c r="B778" s="111">
        <f t="shared" si="56"/>
        <v>768</v>
      </c>
      <c r="C778" s="64" t="s">
        <v>355</v>
      </c>
      <c r="D778" s="81" t="s">
        <v>26</v>
      </c>
      <c r="E778" s="78">
        <v>63.44</v>
      </c>
      <c r="F778" s="65"/>
      <c r="G778" s="65">
        <v>439</v>
      </c>
      <c r="H778" s="65">
        <f t="shared" si="60"/>
        <v>439</v>
      </c>
      <c r="I778" s="79">
        <f t="shared" si="57"/>
        <v>0</v>
      </c>
      <c r="J778" s="79">
        <f t="shared" si="58"/>
        <v>27850.16</v>
      </c>
      <c r="K778" s="79">
        <f t="shared" si="59"/>
        <v>27850.16</v>
      </c>
      <c r="L778" s="121"/>
    </row>
    <row r="779" spans="2:12" ht="26.4" customHeight="1" x14ac:dyDescent="0.35">
      <c r="B779" s="111">
        <f t="shared" si="56"/>
        <v>769</v>
      </c>
      <c r="C779" s="98" t="s">
        <v>105</v>
      </c>
      <c r="D779" s="103" t="s">
        <v>32</v>
      </c>
      <c r="E779" s="100">
        <v>1</v>
      </c>
      <c r="F779" s="101"/>
      <c r="G779" s="101"/>
      <c r="H779" s="101">
        <f t="shared" si="60"/>
        <v>0</v>
      </c>
      <c r="I779" s="101">
        <f t="shared" si="57"/>
        <v>0</v>
      </c>
      <c r="J779" s="101">
        <f t="shared" si="58"/>
        <v>0</v>
      </c>
      <c r="K779" s="101">
        <f t="shared" si="59"/>
        <v>0</v>
      </c>
      <c r="L779" s="102"/>
    </row>
    <row r="780" spans="2:12" ht="31" x14ac:dyDescent="0.35">
      <c r="B780" s="111">
        <f t="shared" si="56"/>
        <v>770</v>
      </c>
      <c r="C780" s="64" t="s">
        <v>348</v>
      </c>
      <c r="D780" s="81" t="s">
        <v>26</v>
      </c>
      <c r="E780" s="78">
        <f>46.12*0.97</f>
        <v>44.736399999999996</v>
      </c>
      <c r="F780" s="65"/>
      <c r="G780" s="65">
        <v>300</v>
      </c>
      <c r="H780" s="65">
        <f t="shared" si="60"/>
        <v>300</v>
      </c>
      <c r="I780" s="79">
        <f t="shared" si="57"/>
        <v>0</v>
      </c>
      <c r="J780" s="79">
        <f t="shared" si="58"/>
        <v>13420.92</v>
      </c>
      <c r="K780" s="79">
        <f t="shared" si="59"/>
        <v>13420.92</v>
      </c>
      <c r="L780" s="121"/>
    </row>
    <row r="781" spans="2:12" x14ac:dyDescent="0.35">
      <c r="B781" s="111">
        <f t="shared" ref="B781:B844" si="61">B780+1</f>
        <v>771</v>
      </c>
      <c r="C781" s="64" t="s">
        <v>19</v>
      </c>
      <c r="D781" s="81" t="s">
        <v>26</v>
      </c>
      <c r="E781" s="78">
        <f>E780/9</f>
        <v>4.9707111111111111</v>
      </c>
      <c r="F781" s="65"/>
      <c r="G781" s="65">
        <v>1500</v>
      </c>
      <c r="H781" s="65">
        <f t="shared" si="60"/>
        <v>1500</v>
      </c>
      <c r="I781" s="79">
        <f t="shared" ref="I781:I844" si="62">ROUND(F781*E781,2)</f>
        <v>0</v>
      </c>
      <c r="J781" s="79">
        <f t="shared" ref="J781:J844" si="63">ROUND(G781*E781,2)</f>
        <v>7456.07</v>
      </c>
      <c r="K781" s="79">
        <f t="shared" ref="K781:K844" si="64">I781+J781</f>
        <v>7456.07</v>
      </c>
      <c r="L781" s="121"/>
    </row>
    <row r="782" spans="2:12" x14ac:dyDescent="0.35">
      <c r="B782" s="111">
        <f t="shared" si="61"/>
        <v>772</v>
      </c>
      <c r="C782" s="64" t="s">
        <v>67</v>
      </c>
      <c r="D782" s="81" t="s">
        <v>25</v>
      </c>
      <c r="E782" s="78">
        <v>6.6</v>
      </c>
      <c r="F782" s="65"/>
      <c r="G782" s="65"/>
      <c r="H782" s="65">
        <f t="shared" si="60"/>
        <v>0</v>
      </c>
      <c r="I782" s="79">
        <f t="shared" si="62"/>
        <v>0</v>
      </c>
      <c r="J782" s="79">
        <f t="shared" si="63"/>
        <v>0</v>
      </c>
      <c r="K782" s="79">
        <f t="shared" si="64"/>
        <v>0</v>
      </c>
      <c r="L782" s="121"/>
    </row>
    <row r="783" spans="2:12" x14ac:dyDescent="0.35">
      <c r="B783" s="111">
        <f t="shared" si="61"/>
        <v>773</v>
      </c>
      <c r="C783" s="64" t="s">
        <v>68</v>
      </c>
      <c r="D783" s="81" t="s">
        <v>26</v>
      </c>
      <c r="E783" s="78">
        <v>0.66</v>
      </c>
      <c r="F783" s="65"/>
      <c r="G783" s="65">
        <v>5860</v>
      </c>
      <c r="H783" s="65">
        <f t="shared" ref="H783:H846" si="65">F783+G783</f>
        <v>5860</v>
      </c>
      <c r="I783" s="79">
        <f t="shared" si="62"/>
        <v>0</v>
      </c>
      <c r="J783" s="79">
        <f t="shared" si="63"/>
        <v>3867.6</v>
      </c>
      <c r="K783" s="79">
        <f t="shared" si="64"/>
        <v>3867.6</v>
      </c>
      <c r="L783" s="121"/>
    </row>
    <row r="784" spans="2:12" x14ac:dyDescent="0.35">
      <c r="B784" s="111">
        <f t="shared" si="61"/>
        <v>774</v>
      </c>
      <c r="C784" s="80" t="s">
        <v>159</v>
      </c>
      <c r="D784" s="81" t="s">
        <v>26</v>
      </c>
      <c r="E784" s="78">
        <v>0.67</v>
      </c>
      <c r="F784" s="65">
        <v>6700</v>
      </c>
      <c r="G784" s="65"/>
      <c r="H784" s="65">
        <f t="shared" si="65"/>
        <v>6700</v>
      </c>
      <c r="I784" s="79">
        <f t="shared" si="62"/>
        <v>4489</v>
      </c>
      <c r="J784" s="79">
        <f t="shared" si="63"/>
        <v>0</v>
      </c>
      <c r="K784" s="79">
        <f t="shared" si="64"/>
        <v>4489</v>
      </c>
      <c r="L784" s="121"/>
    </row>
    <row r="785" spans="2:12" x14ac:dyDescent="0.35">
      <c r="B785" s="111">
        <f t="shared" si="61"/>
        <v>775</v>
      </c>
      <c r="C785" s="64" t="s">
        <v>151</v>
      </c>
      <c r="D785" s="81" t="s">
        <v>25</v>
      </c>
      <c r="E785" s="78">
        <f>(3.14*2.5^2)/4</f>
        <v>4.90625</v>
      </c>
      <c r="F785" s="65">
        <v>68.5</v>
      </c>
      <c r="G785" s="65">
        <v>150</v>
      </c>
      <c r="H785" s="65">
        <f t="shared" si="65"/>
        <v>218.5</v>
      </c>
      <c r="I785" s="79">
        <f t="shared" si="62"/>
        <v>336.08</v>
      </c>
      <c r="J785" s="79">
        <f t="shared" si="63"/>
        <v>735.94</v>
      </c>
      <c r="K785" s="79">
        <f t="shared" si="64"/>
        <v>1072.02</v>
      </c>
      <c r="L785" s="121"/>
    </row>
    <row r="786" spans="2:12" ht="31" x14ac:dyDescent="0.35">
      <c r="B786" s="111">
        <f t="shared" si="61"/>
        <v>776</v>
      </c>
      <c r="C786" s="64" t="s">
        <v>152</v>
      </c>
      <c r="D786" s="81" t="s">
        <v>25</v>
      </c>
      <c r="E786" s="78">
        <f>(3.14*2.5^2)/4</f>
        <v>4.90625</v>
      </c>
      <c r="F786" s="65">
        <v>927</v>
      </c>
      <c r="G786" s="65">
        <v>400</v>
      </c>
      <c r="H786" s="65">
        <f t="shared" si="65"/>
        <v>1327</v>
      </c>
      <c r="I786" s="79">
        <f t="shared" si="62"/>
        <v>4548.09</v>
      </c>
      <c r="J786" s="79">
        <f t="shared" si="63"/>
        <v>1962.5</v>
      </c>
      <c r="K786" s="79">
        <f t="shared" si="64"/>
        <v>6510.59</v>
      </c>
      <c r="L786" s="121"/>
    </row>
    <row r="787" spans="2:12" ht="31" x14ac:dyDescent="0.35">
      <c r="B787" s="111">
        <f t="shared" si="61"/>
        <v>777</v>
      </c>
      <c r="C787" s="64" t="s">
        <v>69</v>
      </c>
      <c r="D787" s="81" t="s">
        <v>32</v>
      </c>
      <c r="E787" s="78">
        <v>1</v>
      </c>
      <c r="F787" s="65"/>
      <c r="G787" s="65">
        <v>5662</v>
      </c>
      <c r="H787" s="65">
        <f t="shared" si="65"/>
        <v>5662</v>
      </c>
      <c r="I787" s="79">
        <f t="shared" si="62"/>
        <v>0</v>
      </c>
      <c r="J787" s="79">
        <f t="shared" si="63"/>
        <v>5662</v>
      </c>
      <c r="K787" s="79">
        <f t="shared" si="64"/>
        <v>5662</v>
      </c>
      <c r="L787" s="121"/>
    </row>
    <row r="788" spans="2:12" x14ac:dyDescent="0.35">
      <c r="B788" s="111">
        <f t="shared" si="61"/>
        <v>778</v>
      </c>
      <c r="C788" s="82" t="s">
        <v>71</v>
      </c>
      <c r="D788" s="81" t="s">
        <v>32</v>
      </c>
      <c r="E788" s="78">
        <v>1</v>
      </c>
      <c r="F788" s="65">
        <f>7000*1.2</f>
        <v>8400</v>
      </c>
      <c r="G788" s="65"/>
      <c r="H788" s="65">
        <f t="shared" si="65"/>
        <v>8400</v>
      </c>
      <c r="I788" s="79">
        <f t="shared" si="62"/>
        <v>8400</v>
      </c>
      <c r="J788" s="79">
        <f t="shared" si="63"/>
        <v>0</v>
      </c>
      <c r="K788" s="79">
        <f t="shared" si="64"/>
        <v>8400</v>
      </c>
      <c r="L788" s="121"/>
    </row>
    <row r="789" spans="2:12" x14ac:dyDescent="0.35">
      <c r="B789" s="111">
        <f t="shared" si="61"/>
        <v>779</v>
      </c>
      <c r="C789" s="82" t="s">
        <v>101</v>
      </c>
      <c r="D789" s="81" t="s">
        <v>26</v>
      </c>
      <c r="E789" s="78">
        <v>0.06</v>
      </c>
      <c r="F789" s="65">
        <v>7300</v>
      </c>
      <c r="G789" s="65"/>
      <c r="H789" s="65">
        <f t="shared" si="65"/>
        <v>7300</v>
      </c>
      <c r="I789" s="79">
        <f t="shared" si="62"/>
        <v>438</v>
      </c>
      <c r="J789" s="79">
        <f t="shared" si="63"/>
        <v>0</v>
      </c>
      <c r="K789" s="79">
        <f t="shared" si="64"/>
        <v>438</v>
      </c>
      <c r="L789" s="121"/>
    </row>
    <row r="790" spans="2:12" ht="31" x14ac:dyDescent="0.35">
      <c r="B790" s="111">
        <f t="shared" si="61"/>
        <v>780</v>
      </c>
      <c r="C790" s="64" t="s">
        <v>179</v>
      </c>
      <c r="D790" s="81" t="s">
        <v>26</v>
      </c>
      <c r="E790" s="78">
        <v>1.2</v>
      </c>
      <c r="F790" s="65"/>
      <c r="G790" s="65">
        <v>5860</v>
      </c>
      <c r="H790" s="65">
        <f t="shared" si="65"/>
        <v>5860</v>
      </c>
      <c r="I790" s="79">
        <f t="shared" si="62"/>
        <v>0</v>
      </c>
      <c r="J790" s="79">
        <f t="shared" si="63"/>
        <v>7032</v>
      </c>
      <c r="K790" s="79">
        <f t="shared" si="64"/>
        <v>7032</v>
      </c>
      <c r="L790" s="121"/>
    </row>
    <row r="791" spans="2:12" x14ac:dyDescent="0.35">
      <c r="B791" s="111">
        <f t="shared" si="61"/>
        <v>781</v>
      </c>
      <c r="C791" s="82" t="s">
        <v>75</v>
      </c>
      <c r="D791" s="81" t="s">
        <v>26</v>
      </c>
      <c r="E791" s="78">
        <f>E790*1.02</f>
        <v>1.224</v>
      </c>
      <c r="F791" s="65">
        <v>7100</v>
      </c>
      <c r="G791" s="65"/>
      <c r="H791" s="65">
        <f t="shared" si="65"/>
        <v>7100</v>
      </c>
      <c r="I791" s="79">
        <f t="shared" si="62"/>
        <v>8690.4</v>
      </c>
      <c r="J791" s="79">
        <f t="shared" si="63"/>
        <v>0</v>
      </c>
      <c r="K791" s="79">
        <f t="shared" si="64"/>
        <v>8690.4</v>
      </c>
      <c r="L791" s="121"/>
    </row>
    <row r="792" spans="2:12" ht="31" x14ac:dyDescent="0.35">
      <c r="B792" s="111">
        <f t="shared" si="61"/>
        <v>782</v>
      </c>
      <c r="C792" s="64" t="s">
        <v>78</v>
      </c>
      <c r="D792" s="81" t="s">
        <v>32</v>
      </c>
      <c r="E792" s="78">
        <v>6</v>
      </c>
      <c r="F792" s="65"/>
      <c r="G792" s="65">
        <v>5662</v>
      </c>
      <c r="H792" s="65">
        <f t="shared" si="65"/>
        <v>5662</v>
      </c>
      <c r="I792" s="79">
        <f t="shared" si="62"/>
        <v>0</v>
      </c>
      <c r="J792" s="79">
        <f t="shared" si="63"/>
        <v>33972</v>
      </c>
      <c r="K792" s="79">
        <f t="shared" si="64"/>
        <v>33972</v>
      </c>
      <c r="L792" s="121"/>
    </row>
    <row r="793" spans="2:12" x14ac:dyDescent="0.35">
      <c r="B793" s="111">
        <f t="shared" si="61"/>
        <v>783</v>
      </c>
      <c r="C793" s="82" t="s">
        <v>76</v>
      </c>
      <c r="D793" s="81" t="s">
        <v>32</v>
      </c>
      <c r="E793" s="78">
        <v>3</v>
      </c>
      <c r="F793" s="65">
        <f>7000*1.2</f>
        <v>8400</v>
      </c>
      <c r="G793" s="65"/>
      <c r="H793" s="65">
        <f t="shared" si="65"/>
        <v>8400</v>
      </c>
      <c r="I793" s="79">
        <f t="shared" si="62"/>
        <v>25200</v>
      </c>
      <c r="J793" s="79">
        <f t="shared" si="63"/>
        <v>0</v>
      </c>
      <c r="K793" s="79">
        <f t="shared" si="64"/>
        <v>25200</v>
      </c>
      <c r="L793" s="121"/>
    </row>
    <row r="794" spans="2:12" x14ac:dyDescent="0.35">
      <c r="B794" s="111">
        <f t="shared" si="61"/>
        <v>784</v>
      </c>
      <c r="C794" s="82" t="s">
        <v>77</v>
      </c>
      <c r="D794" s="81" t="s">
        <v>32</v>
      </c>
      <c r="E794" s="78">
        <v>1</v>
      </c>
      <c r="F794" s="65">
        <f>5500*1.2</f>
        <v>6600</v>
      </c>
      <c r="G794" s="65"/>
      <c r="H794" s="65">
        <f t="shared" si="65"/>
        <v>6600</v>
      </c>
      <c r="I794" s="79">
        <f t="shared" si="62"/>
        <v>6600</v>
      </c>
      <c r="J794" s="79">
        <f t="shared" si="63"/>
        <v>0</v>
      </c>
      <c r="K794" s="79">
        <f t="shared" si="64"/>
        <v>6600</v>
      </c>
      <c r="L794" s="121"/>
    </row>
    <row r="795" spans="2:12" x14ac:dyDescent="0.35">
      <c r="B795" s="111">
        <f t="shared" si="61"/>
        <v>785</v>
      </c>
      <c r="C795" s="82" t="s">
        <v>81</v>
      </c>
      <c r="D795" s="81" t="s">
        <v>32</v>
      </c>
      <c r="E795" s="78">
        <v>1</v>
      </c>
      <c r="F795" s="65">
        <f>900*1.2</f>
        <v>1080</v>
      </c>
      <c r="G795" s="65"/>
      <c r="H795" s="65">
        <f t="shared" si="65"/>
        <v>1080</v>
      </c>
      <c r="I795" s="79">
        <f t="shared" si="62"/>
        <v>1080</v>
      </c>
      <c r="J795" s="79">
        <f t="shared" si="63"/>
        <v>0</v>
      </c>
      <c r="K795" s="79">
        <f t="shared" si="64"/>
        <v>1080</v>
      </c>
      <c r="L795" s="121"/>
    </row>
    <row r="796" spans="2:12" x14ac:dyDescent="0.35">
      <c r="B796" s="111">
        <f t="shared" si="61"/>
        <v>786</v>
      </c>
      <c r="C796" s="82" t="s">
        <v>98</v>
      </c>
      <c r="D796" s="81" t="s">
        <v>32</v>
      </c>
      <c r="E796" s="78">
        <v>1</v>
      </c>
      <c r="F796" s="65">
        <f>700*1.2</f>
        <v>840</v>
      </c>
      <c r="G796" s="65"/>
      <c r="H796" s="65">
        <f t="shared" si="65"/>
        <v>840</v>
      </c>
      <c r="I796" s="79">
        <f t="shared" si="62"/>
        <v>840</v>
      </c>
      <c r="J796" s="79">
        <f t="shared" si="63"/>
        <v>0</v>
      </c>
      <c r="K796" s="79">
        <f t="shared" si="64"/>
        <v>840</v>
      </c>
      <c r="L796" s="121"/>
    </row>
    <row r="797" spans="2:12" ht="31" x14ac:dyDescent="0.35">
      <c r="B797" s="111">
        <f t="shared" si="61"/>
        <v>787</v>
      </c>
      <c r="C797" s="64" t="s">
        <v>85</v>
      </c>
      <c r="D797" s="81" t="s">
        <v>32</v>
      </c>
      <c r="E797" s="78">
        <v>1</v>
      </c>
      <c r="F797" s="65"/>
      <c r="G797" s="65">
        <v>2500</v>
      </c>
      <c r="H797" s="65">
        <f t="shared" si="65"/>
        <v>2500</v>
      </c>
      <c r="I797" s="79">
        <f t="shared" si="62"/>
        <v>0</v>
      </c>
      <c r="J797" s="79">
        <f t="shared" si="63"/>
        <v>2500</v>
      </c>
      <c r="K797" s="79">
        <f t="shared" si="64"/>
        <v>2500</v>
      </c>
      <c r="L797" s="121"/>
    </row>
    <row r="798" spans="2:12" x14ac:dyDescent="0.35">
      <c r="B798" s="111">
        <f t="shared" si="61"/>
        <v>788</v>
      </c>
      <c r="C798" s="82" t="s">
        <v>79</v>
      </c>
      <c r="D798" s="81" t="s">
        <v>32</v>
      </c>
      <c r="E798" s="78">
        <v>1</v>
      </c>
      <c r="F798" s="65">
        <f>6500*1.2</f>
        <v>7800</v>
      </c>
      <c r="G798" s="65"/>
      <c r="H798" s="65">
        <f t="shared" si="65"/>
        <v>7800</v>
      </c>
      <c r="I798" s="79">
        <f t="shared" si="62"/>
        <v>7800</v>
      </c>
      <c r="J798" s="79">
        <f t="shared" si="63"/>
        <v>0</v>
      </c>
      <c r="K798" s="79">
        <f t="shared" si="64"/>
        <v>7800</v>
      </c>
      <c r="L798" s="121"/>
    </row>
    <row r="799" spans="2:12" ht="31" x14ac:dyDescent="0.35">
      <c r="B799" s="111">
        <f t="shared" si="61"/>
        <v>789</v>
      </c>
      <c r="C799" s="64" t="s">
        <v>316</v>
      </c>
      <c r="D799" s="81" t="s">
        <v>32</v>
      </c>
      <c r="E799" s="78">
        <v>1</v>
      </c>
      <c r="F799" s="65"/>
      <c r="G799" s="65"/>
      <c r="H799" s="65">
        <f t="shared" si="65"/>
        <v>0</v>
      </c>
      <c r="I799" s="79">
        <f t="shared" si="62"/>
        <v>0</v>
      </c>
      <c r="J799" s="79">
        <f t="shared" si="63"/>
        <v>0</v>
      </c>
      <c r="K799" s="79">
        <f t="shared" si="64"/>
        <v>0</v>
      </c>
      <c r="L799" s="121"/>
    </row>
    <row r="800" spans="2:12" x14ac:dyDescent="0.35">
      <c r="B800" s="111">
        <f t="shared" si="61"/>
        <v>790</v>
      </c>
      <c r="C800" s="82" t="s">
        <v>84</v>
      </c>
      <c r="D800" s="81" t="s">
        <v>32</v>
      </c>
      <c r="E800" s="78">
        <v>1</v>
      </c>
      <c r="F800" s="65">
        <v>1300</v>
      </c>
      <c r="G800" s="65">
        <v>990</v>
      </c>
      <c r="H800" s="65">
        <f t="shared" si="65"/>
        <v>2290</v>
      </c>
      <c r="I800" s="79">
        <f t="shared" si="62"/>
        <v>1300</v>
      </c>
      <c r="J800" s="79">
        <f t="shared" si="63"/>
        <v>990</v>
      </c>
      <c r="K800" s="79">
        <f t="shared" si="64"/>
        <v>2290</v>
      </c>
      <c r="L800" s="121"/>
    </row>
    <row r="801" spans="2:12" x14ac:dyDescent="0.35">
      <c r="B801" s="111">
        <f t="shared" si="61"/>
        <v>791</v>
      </c>
      <c r="C801" s="80" t="s">
        <v>301</v>
      </c>
      <c r="D801" s="81" t="s">
        <v>32</v>
      </c>
      <c r="E801" s="78">
        <v>1</v>
      </c>
      <c r="F801" s="65">
        <v>6000</v>
      </c>
      <c r="G801" s="65">
        <v>1464.09</v>
      </c>
      <c r="H801" s="65">
        <f t="shared" si="65"/>
        <v>7464.09</v>
      </c>
      <c r="I801" s="79">
        <f t="shared" si="62"/>
        <v>6000</v>
      </c>
      <c r="J801" s="79">
        <f t="shared" si="63"/>
        <v>1464.09</v>
      </c>
      <c r="K801" s="79">
        <f t="shared" si="64"/>
        <v>7464.09</v>
      </c>
      <c r="L801" s="121"/>
    </row>
    <row r="802" spans="2:12" ht="31" x14ac:dyDescent="0.35">
      <c r="B802" s="111">
        <f t="shared" si="61"/>
        <v>792</v>
      </c>
      <c r="C802" s="64" t="s">
        <v>156</v>
      </c>
      <c r="D802" s="81" t="s">
        <v>25</v>
      </c>
      <c r="E802" s="78">
        <f>28.88+3.8</f>
        <v>32.68</v>
      </c>
      <c r="F802" s="65">
        <v>68.5</v>
      </c>
      <c r="G802" s="65">
        <v>150</v>
      </c>
      <c r="H802" s="65">
        <f t="shared" si="65"/>
        <v>218.5</v>
      </c>
      <c r="I802" s="79">
        <f t="shared" si="62"/>
        <v>2238.58</v>
      </c>
      <c r="J802" s="79">
        <f t="shared" si="63"/>
        <v>4902</v>
      </c>
      <c r="K802" s="79">
        <f t="shared" si="64"/>
        <v>7140.58</v>
      </c>
      <c r="L802" s="121"/>
    </row>
    <row r="803" spans="2:12" ht="46.5" x14ac:dyDescent="0.35">
      <c r="B803" s="111">
        <f t="shared" si="61"/>
        <v>793</v>
      </c>
      <c r="C803" s="64" t="s">
        <v>157</v>
      </c>
      <c r="D803" s="81" t="s">
        <v>25</v>
      </c>
      <c r="E803" s="78">
        <f>28.88+3.8</f>
        <v>32.68</v>
      </c>
      <c r="F803" s="65">
        <v>927</v>
      </c>
      <c r="G803" s="65">
        <v>400</v>
      </c>
      <c r="H803" s="65">
        <f t="shared" si="65"/>
        <v>1327</v>
      </c>
      <c r="I803" s="79">
        <f t="shared" si="62"/>
        <v>30294.36</v>
      </c>
      <c r="J803" s="79">
        <f t="shared" si="63"/>
        <v>13072</v>
      </c>
      <c r="K803" s="79">
        <f t="shared" si="64"/>
        <v>43366.36</v>
      </c>
      <c r="L803" s="121"/>
    </row>
    <row r="804" spans="2:12" x14ac:dyDescent="0.35">
      <c r="B804" s="111">
        <f t="shared" si="61"/>
        <v>794</v>
      </c>
      <c r="C804" s="64" t="s">
        <v>102</v>
      </c>
      <c r="D804" s="81" t="s">
        <v>32</v>
      </c>
      <c r="E804" s="78">
        <v>1</v>
      </c>
      <c r="F804" s="65"/>
      <c r="G804" s="65"/>
      <c r="H804" s="65">
        <f t="shared" si="65"/>
        <v>0</v>
      </c>
      <c r="I804" s="79">
        <f t="shared" si="62"/>
        <v>0</v>
      </c>
      <c r="J804" s="79">
        <f t="shared" si="63"/>
        <v>0</v>
      </c>
      <c r="K804" s="79">
        <f t="shared" si="64"/>
        <v>0</v>
      </c>
      <c r="L804" s="121"/>
    </row>
    <row r="805" spans="2:12" x14ac:dyDescent="0.35">
      <c r="B805" s="111">
        <f t="shared" si="61"/>
        <v>795</v>
      </c>
      <c r="C805" s="82" t="s">
        <v>104</v>
      </c>
      <c r="D805" s="81" t="s">
        <v>31</v>
      </c>
      <c r="E805" s="78">
        <v>30</v>
      </c>
      <c r="F805" s="68">
        <v>71</v>
      </c>
      <c r="G805" s="65">
        <v>97.61</v>
      </c>
      <c r="H805" s="65">
        <f t="shared" si="65"/>
        <v>168.61</v>
      </c>
      <c r="I805" s="79">
        <f t="shared" si="62"/>
        <v>2130</v>
      </c>
      <c r="J805" s="79">
        <f t="shared" si="63"/>
        <v>2928.3</v>
      </c>
      <c r="K805" s="79">
        <f t="shared" si="64"/>
        <v>5058.3</v>
      </c>
      <c r="L805" s="121"/>
    </row>
    <row r="806" spans="2:12" x14ac:dyDescent="0.35">
      <c r="B806" s="111">
        <f t="shared" si="61"/>
        <v>796</v>
      </c>
      <c r="C806" s="64" t="s">
        <v>93</v>
      </c>
      <c r="D806" s="81" t="s">
        <v>32</v>
      </c>
      <c r="E806" s="83">
        <v>2</v>
      </c>
      <c r="F806" s="65"/>
      <c r="G806" s="65"/>
      <c r="H806" s="65">
        <f t="shared" si="65"/>
        <v>0</v>
      </c>
      <c r="I806" s="79">
        <f t="shared" si="62"/>
        <v>0</v>
      </c>
      <c r="J806" s="79">
        <f t="shared" si="63"/>
        <v>0</v>
      </c>
      <c r="K806" s="79">
        <f t="shared" si="64"/>
        <v>0</v>
      </c>
      <c r="L806" s="121"/>
    </row>
    <row r="807" spans="2:12" x14ac:dyDescent="0.35">
      <c r="B807" s="111">
        <f t="shared" si="61"/>
        <v>797</v>
      </c>
      <c r="C807" s="82" t="s">
        <v>94</v>
      </c>
      <c r="D807" s="81" t="s">
        <v>31</v>
      </c>
      <c r="E807" s="83">
        <f>0.82*E806</f>
        <v>1.64</v>
      </c>
      <c r="F807" s="68">
        <v>71</v>
      </c>
      <c r="G807" s="65">
        <v>97.61</v>
      </c>
      <c r="H807" s="65">
        <f t="shared" si="65"/>
        <v>168.61</v>
      </c>
      <c r="I807" s="79">
        <f t="shared" si="62"/>
        <v>116.44</v>
      </c>
      <c r="J807" s="79">
        <f t="shared" si="63"/>
        <v>160.08000000000001</v>
      </c>
      <c r="K807" s="79">
        <f t="shared" si="64"/>
        <v>276.52</v>
      </c>
      <c r="L807" s="121"/>
    </row>
    <row r="808" spans="2:12" ht="31" x14ac:dyDescent="0.35">
      <c r="B808" s="111">
        <f t="shared" si="61"/>
        <v>798</v>
      </c>
      <c r="C808" s="64" t="s">
        <v>153</v>
      </c>
      <c r="D808" s="81" t="s">
        <v>32</v>
      </c>
      <c r="E808" s="83">
        <v>3</v>
      </c>
      <c r="F808" s="65"/>
      <c r="G808" s="65">
        <v>1464</v>
      </c>
      <c r="H808" s="65">
        <f t="shared" si="65"/>
        <v>1464</v>
      </c>
      <c r="I808" s="79">
        <f t="shared" si="62"/>
        <v>0</v>
      </c>
      <c r="J808" s="79">
        <f t="shared" si="63"/>
        <v>4392</v>
      </c>
      <c r="K808" s="79">
        <f t="shared" si="64"/>
        <v>4392</v>
      </c>
      <c r="L808" s="121"/>
    </row>
    <row r="809" spans="2:12" x14ac:dyDescent="0.35">
      <c r="B809" s="111">
        <f t="shared" si="61"/>
        <v>799</v>
      </c>
      <c r="C809" s="64" t="s">
        <v>322</v>
      </c>
      <c r="D809" s="81"/>
      <c r="E809" s="78"/>
      <c r="F809" s="65"/>
      <c r="G809" s="65"/>
      <c r="H809" s="65">
        <f t="shared" si="65"/>
        <v>0</v>
      </c>
      <c r="I809" s="79">
        <f t="shared" si="62"/>
        <v>0</v>
      </c>
      <c r="J809" s="79">
        <f t="shared" si="63"/>
        <v>0</v>
      </c>
      <c r="K809" s="79">
        <f t="shared" si="64"/>
        <v>0</v>
      </c>
      <c r="L809" s="121">
        <v>1</v>
      </c>
    </row>
    <row r="810" spans="2:12" ht="31" x14ac:dyDescent="0.35">
      <c r="B810" s="111">
        <f t="shared" si="61"/>
        <v>800</v>
      </c>
      <c r="C810" s="80" t="s">
        <v>309</v>
      </c>
      <c r="D810" s="81" t="s">
        <v>32</v>
      </c>
      <c r="E810" s="78">
        <v>1</v>
      </c>
      <c r="F810" s="65">
        <v>2263</v>
      </c>
      <c r="G810" s="65">
        <v>1700</v>
      </c>
      <c r="H810" s="65">
        <f t="shared" si="65"/>
        <v>3963</v>
      </c>
      <c r="I810" s="79">
        <f t="shared" si="62"/>
        <v>2263</v>
      </c>
      <c r="J810" s="79">
        <f t="shared" si="63"/>
        <v>1700</v>
      </c>
      <c r="K810" s="79">
        <f t="shared" si="64"/>
        <v>3963</v>
      </c>
      <c r="L810" s="121"/>
    </row>
    <row r="811" spans="2:12" ht="31" x14ac:dyDescent="0.35">
      <c r="B811" s="111">
        <f t="shared" si="61"/>
        <v>801</v>
      </c>
      <c r="C811" s="80" t="s">
        <v>310</v>
      </c>
      <c r="D811" s="81" t="s">
        <v>32</v>
      </c>
      <c r="E811" s="78">
        <v>1</v>
      </c>
      <c r="F811" s="65">
        <v>1303</v>
      </c>
      <c r="G811" s="65">
        <v>1700</v>
      </c>
      <c r="H811" s="65">
        <f t="shared" si="65"/>
        <v>3003</v>
      </c>
      <c r="I811" s="79">
        <f t="shared" si="62"/>
        <v>1303</v>
      </c>
      <c r="J811" s="79">
        <f t="shared" si="63"/>
        <v>1700</v>
      </c>
      <c r="K811" s="79">
        <f t="shared" si="64"/>
        <v>3003</v>
      </c>
      <c r="L811" s="121"/>
    </row>
    <row r="812" spans="2:12" ht="31" x14ac:dyDescent="0.35">
      <c r="B812" s="111">
        <f t="shared" si="61"/>
        <v>802</v>
      </c>
      <c r="C812" s="80" t="s">
        <v>63</v>
      </c>
      <c r="D812" s="81" t="s">
        <v>27</v>
      </c>
      <c r="E812" s="78">
        <f>2.96*1.1</f>
        <v>3.2560000000000002</v>
      </c>
      <c r="F812" s="65">
        <v>855</v>
      </c>
      <c r="G812" s="65">
        <v>1700</v>
      </c>
      <c r="H812" s="65">
        <f t="shared" si="65"/>
        <v>2555</v>
      </c>
      <c r="I812" s="79">
        <f t="shared" si="62"/>
        <v>2783.88</v>
      </c>
      <c r="J812" s="79">
        <f t="shared" si="63"/>
        <v>5535.2</v>
      </c>
      <c r="K812" s="79">
        <f t="shared" si="64"/>
        <v>8319.08</v>
      </c>
      <c r="L812" s="121"/>
    </row>
    <row r="813" spans="2:12" ht="33" x14ac:dyDescent="0.35">
      <c r="B813" s="111">
        <f t="shared" si="61"/>
        <v>803</v>
      </c>
      <c r="C813" s="64" t="s">
        <v>362</v>
      </c>
      <c r="D813" s="81" t="s">
        <v>26</v>
      </c>
      <c r="E813" s="78">
        <f>33.33-15.88</f>
        <v>17.449999999999996</v>
      </c>
      <c r="F813" s="65"/>
      <c r="G813" s="65">
        <v>439</v>
      </c>
      <c r="H813" s="65">
        <f t="shared" si="65"/>
        <v>439</v>
      </c>
      <c r="I813" s="79">
        <f t="shared" si="62"/>
        <v>0</v>
      </c>
      <c r="J813" s="79">
        <f t="shared" si="63"/>
        <v>7660.55</v>
      </c>
      <c r="K813" s="79">
        <f t="shared" si="64"/>
        <v>7660.55</v>
      </c>
      <c r="L813" s="121"/>
    </row>
    <row r="814" spans="2:12" ht="30" x14ac:dyDescent="0.35">
      <c r="B814" s="111">
        <f t="shared" si="61"/>
        <v>804</v>
      </c>
      <c r="C814" s="98" t="s">
        <v>229</v>
      </c>
      <c r="D814" s="99" t="s">
        <v>27</v>
      </c>
      <c r="E814" s="105">
        <v>26.8</v>
      </c>
      <c r="F814" s="101"/>
      <c r="G814" s="101"/>
      <c r="H814" s="101">
        <f t="shared" si="65"/>
        <v>0</v>
      </c>
      <c r="I814" s="101">
        <f t="shared" si="62"/>
        <v>0</v>
      </c>
      <c r="J814" s="101">
        <f t="shared" si="63"/>
        <v>0</v>
      </c>
      <c r="K814" s="101">
        <f t="shared" si="64"/>
        <v>0</v>
      </c>
      <c r="L814" s="102"/>
    </row>
    <row r="815" spans="2:12" ht="31" x14ac:dyDescent="0.35">
      <c r="B815" s="111">
        <f t="shared" si="61"/>
        <v>805</v>
      </c>
      <c r="C815" s="64" t="s">
        <v>348</v>
      </c>
      <c r="D815" s="77" t="s">
        <v>26</v>
      </c>
      <c r="E815" s="84">
        <f>356.76*0.97</f>
        <v>346.05719999999997</v>
      </c>
      <c r="F815" s="65"/>
      <c r="G815" s="65">
        <v>300</v>
      </c>
      <c r="H815" s="65">
        <f t="shared" si="65"/>
        <v>300</v>
      </c>
      <c r="I815" s="79">
        <f t="shared" si="62"/>
        <v>0</v>
      </c>
      <c r="J815" s="79">
        <f t="shared" si="63"/>
        <v>103817.16</v>
      </c>
      <c r="K815" s="79">
        <f t="shared" si="64"/>
        <v>103817.16</v>
      </c>
      <c r="L815" s="121"/>
    </row>
    <row r="816" spans="2:12" x14ac:dyDescent="0.35">
      <c r="B816" s="111">
        <f t="shared" si="61"/>
        <v>806</v>
      </c>
      <c r="C816" s="64" t="s">
        <v>19</v>
      </c>
      <c r="D816" s="77" t="s">
        <v>26</v>
      </c>
      <c r="E816" s="78">
        <f>E815/97*3</f>
        <v>10.7028</v>
      </c>
      <c r="F816" s="65"/>
      <c r="G816" s="65">
        <v>1500</v>
      </c>
      <c r="H816" s="65">
        <f t="shared" si="65"/>
        <v>1500</v>
      </c>
      <c r="I816" s="79">
        <f t="shared" si="62"/>
        <v>0</v>
      </c>
      <c r="J816" s="79">
        <f t="shared" si="63"/>
        <v>16054.2</v>
      </c>
      <c r="K816" s="79">
        <f t="shared" si="64"/>
        <v>16054.2</v>
      </c>
      <c r="L816" s="121"/>
    </row>
    <row r="817" spans="2:12" x14ac:dyDescent="0.35">
      <c r="B817" s="111">
        <f t="shared" si="61"/>
        <v>807</v>
      </c>
      <c r="C817" s="64" t="s">
        <v>184</v>
      </c>
      <c r="D817" s="77" t="s">
        <v>25</v>
      </c>
      <c r="E817" s="78">
        <f>E814*0.75</f>
        <v>20.100000000000001</v>
      </c>
      <c r="F817" s="65"/>
      <c r="G817" s="65"/>
      <c r="H817" s="65">
        <f t="shared" si="65"/>
        <v>0</v>
      </c>
      <c r="I817" s="79">
        <f t="shared" si="62"/>
        <v>0</v>
      </c>
      <c r="J817" s="79">
        <f t="shared" si="63"/>
        <v>0</v>
      </c>
      <c r="K817" s="79">
        <f t="shared" si="64"/>
        <v>0</v>
      </c>
      <c r="L817" s="121"/>
    </row>
    <row r="818" spans="2:12" ht="31" x14ac:dyDescent="0.35">
      <c r="B818" s="111">
        <f t="shared" si="61"/>
        <v>808</v>
      </c>
      <c r="C818" s="64" t="s">
        <v>194</v>
      </c>
      <c r="D818" s="77" t="s">
        <v>25</v>
      </c>
      <c r="E818" s="78">
        <f>E814*0.48</f>
        <v>12.863999999999999</v>
      </c>
      <c r="F818" s="65">
        <f>1973*0.15</f>
        <v>295.95</v>
      </c>
      <c r="G818" s="65">
        <f>1500*0.15</f>
        <v>225</v>
      </c>
      <c r="H818" s="65">
        <f t="shared" si="65"/>
        <v>520.95000000000005</v>
      </c>
      <c r="I818" s="79">
        <f t="shared" si="62"/>
        <v>3807.1</v>
      </c>
      <c r="J818" s="79">
        <f t="shared" si="63"/>
        <v>2894.4</v>
      </c>
      <c r="K818" s="79">
        <f t="shared" si="64"/>
        <v>6701.5</v>
      </c>
      <c r="L818" s="121"/>
    </row>
    <row r="819" spans="2:12" x14ac:dyDescent="0.35">
      <c r="B819" s="111">
        <f t="shared" si="61"/>
        <v>809</v>
      </c>
      <c r="C819" s="64" t="s">
        <v>20</v>
      </c>
      <c r="D819" s="77" t="s">
        <v>26</v>
      </c>
      <c r="E819" s="78">
        <f>0.34*E814*0.1</f>
        <v>0.91120000000000001</v>
      </c>
      <c r="F819" s="65"/>
      <c r="G819" s="65">
        <v>5860</v>
      </c>
      <c r="H819" s="65">
        <f t="shared" si="65"/>
        <v>5860</v>
      </c>
      <c r="I819" s="79">
        <f t="shared" si="62"/>
        <v>0</v>
      </c>
      <c r="J819" s="79">
        <f t="shared" si="63"/>
        <v>5339.63</v>
      </c>
      <c r="K819" s="79">
        <f t="shared" si="64"/>
        <v>5339.63</v>
      </c>
      <c r="L819" s="121"/>
    </row>
    <row r="820" spans="2:12" x14ac:dyDescent="0.35">
      <c r="B820" s="111">
        <f t="shared" si="61"/>
        <v>810</v>
      </c>
      <c r="C820" s="80" t="s">
        <v>159</v>
      </c>
      <c r="D820" s="77" t="s">
        <v>26</v>
      </c>
      <c r="E820" s="78">
        <f>E819*1.02</f>
        <v>0.92942400000000003</v>
      </c>
      <c r="F820" s="65">
        <v>6700</v>
      </c>
      <c r="G820" s="65"/>
      <c r="H820" s="65">
        <f t="shared" si="65"/>
        <v>6700</v>
      </c>
      <c r="I820" s="79">
        <f t="shared" si="62"/>
        <v>6227.14</v>
      </c>
      <c r="J820" s="79">
        <f t="shared" si="63"/>
        <v>0</v>
      </c>
      <c r="K820" s="79">
        <f t="shared" si="64"/>
        <v>6227.14</v>
      </c>
      <c r="L820" s="121"/>
    </row>
    <row r="821" spans="2:12" x14ac:dyDescent="0.35">
      <c r="B821" s="111">
        <f t="shared" si="61"/>
        <v>811</v>
      </c>
      <c r="C821" s="64" t="s">
        <v>28</v>
      </c>
      <c r="D821" s="77" t="s">
        <v>26</v>
      </c>
      <c r="E821" s="78">
        <f>0.8*E814*0.1</f>
        <v>2.1440000000000001</v>
      </c>
      <c r="F821" s="65"/>
      <c r="G821" s="65">
        <v>5860</v>
      </c>
      <c r="H821" s="65">
        <f t="shared" si="65"/>
        <v>5860</v>
      </c>
      <c r="I821" s="79">
        <f t="shared" si="62"/>
        <v>0</v>
      </c>
      <c r="J821" s="79">
        <f t="shared" si="63"/>
        <v>12563.84</v>
      </c>
      <c r="K821" s="79">
        <f t="shared" si="64"/>
        <v>12563.84</v>
      </c>
      <c r="L821" s="121"/>
    </row>
    <row r="822" spans="2:12" x14ac:dyDescent="0.35">
      <c r="B822" s="111">
        <f t="shared" si="61"/>
        <v>812</v>
      </c>
      <c r="C822" s="80" t="s">
        <v>29</v>
      </c>
      <c r="D822" s="77" t="s">
        <v>26</v>
      </c>
      <c r="E822" s="78">
        <f>E821*1.02</f>
        <v>2.1868800000000004</v>
      </c>
      <c r="F822" s="65">
        <v>7100</v>
      </c>
      <c r="G822" s="65"/>
      <c r="H822" s="65">
        <f t="shared" si="65"/>
        <v>7100</v>
      </c>
      <c r="I822" s="79">
        <f t="shared" si="62"/>
        <v>15526.85</v>
      </c>
      <c r="J822" s="79">
        <f t="shared" si="63"/>
        <v>0</v>
      </c>
      <c r="K822" s="79">
        <f t="shared" si="64"/>
        <v>15526.85</v>
      </c>
      <c r="L822" s="121"/>
    </row>
    <row r="823" spans="2:12" x14ac:dyDescent="0.35">
      <c r="B823" s="111">
        <f t="shared" si="61"/>
        <v>813</v>
      </c>
      <c r="C823" s="80" t="s">
        <v>30</v>
      </c>
      <c r="D823" s="77" t="s">
        <v>31</v>
      </c>
      <c r="E823" s="78">
        <f>31.39*E814*0.1</f>
        <v>84.125200000000007</v>
      </c>
      <c r="F823" s="65">
        <v>118.9</v>
      </c>
      <c r="G823" s="65"/>
      <c r="H823" s="65">
        <f t="shared" si="65"/>
        <v>118.9</v>
      </c>
      <c r="I823" s="79">
        <f t="shared" si="62"/>
        <v>10002.49</v>
      </c>
      <c r="J823" s="79">
        <f t="shared" si="63"/>
        <v>0</v>
      </c>
      <c r="K823" s="79">
        <f t="shared" si="64"/>
        <v>10002.49</v>
      </c>
      <c r="L823" s="121"/>
    </row>
    <row r="824" spans="2:12" x14ac:dyDescent="0.35">
      <c r="B824" s="111">
        <f t="shared" si="61"/>
        <v>814</v>
      </c>
      <c r="C824" s="64" t="s">
        <v>189</v>
      </c>
      <c r="D824" s="77" t="s">
        <v>27</v>
      </c>
      <c r="E824" s="78">
        <f>E814</f>
        <v>26.8</v>
      </c>
      <c r="F824" s="65"/>
      <c r="G824" s="65">
        <v>2928</v>
      </c>
      <c r="H824" s="65">
        <f t="shared" si="65"/>
        <v>2928</v>
      </c>
      <c r="I824" s="79">
        <f t="shared" si="62"/>
        <v>0</v>
      </c>
      <c r="J824" s="79">
        <f t="shared" si="63"/>
        <v>78470.399999999994</v>
      </c>
      <c r="K824" s="79">
        <f t="shared" si="64"/>
        <v>78470.399999999994</v>
      </c>
      <c r="L824" s="121"/>
    </row>
    <row r="825" spans="2:12" ht="31" x14ac:dyDescent="0.35">
      <c r="B825" s="111">
        <f t="shared" si="61"/>
        <v>815</v>
      </c>
      <c r="C825" s="80" t="s">
        <v>195</v>
      </c>
      <c r="D825" s="77" t="s">
        <v>27</v>
      </c>
      <c r="E825" s="78">
        <f>E824*1.1</f>
        <v>29.480000000000004</v>
      </c>
      <c r="F825" s="65">
        <v>855</v>
      </c>
      <c r="G825" s="65"/>
      <c r="H825" s="65">
        <f t="shared" si="65"/>
        <v>855</v>
      </c>
      <c r="I825" s="79">
        <f t="shared" si="62"/>
        <v>25205.4</v>
      </c>
      <c r="J825" s="79">
        <f t="shared" si="63"/>
        <v>0</v>
      </c>
      <c r="K825" s="79">
        <f t="shared" si="64"/>
        <v>25205.4</v>
      </c>
      <c r="L825" s="121"/>
    </row>
    <row r="826" spans="2:12" x14ac:dyDescent="0.35">
      <c r="B826" s="111">
        <f t="shared" si="61"/>
        <v>816</v>
      </c>
      <c r="C826" s="64" t="s">
        <v>349</v>
      </c>
      <c r="D826" s="77" t="s">
        <v>32</v>
      </c>
      <c r="E826" s="78">
        <v>1</v>
      </c>
      <c r="F826" s="65">
        <v>2000</v>
      </c>
      <c r="G826" s="65">
        <v>5000</v>
      </c>
      <c r="H826" s="65">
        <f t="shared" si="65"/>
        <v>7000</v>
      </c>
      <c r="I826" s="79">
        <f t="shared" si="62"/>
        <v>2000</v>
      </c>
      <c r="J826" s="79">
        <f t="shared" si="63"/>
        <v>5000</v>
      </c>
      <c r="K826" s="79">
        <f t="shared" si="64"/>
        <v>7000</v>
      </c>
      <c r="L826" s="121"/>
    </row>
    <row r="827" spans="2:12" ht="33" x14ac:dyDescent="0.35">
      <c r="B827" s="111">
        <f t="shared" si="61"/>
        <v>817</v>
      </c>
      <c r="C827" s="64" t="s">
        <v>355</v>
      </c>
      <c r="D827" s="81" t="s">
        <v>26</v>
      </c>
      <c r="E827" s="78">
        <v>159.02000000000001</v>
      </c>
      <c r="F827" s="65"/>
      <c r="G827" s="65">
        <v>439</v>
      </c>
      <c r="H827" s="65">
        <f t="shared" si="65"/>
        <v>439</v>
      </c>
      <c r="I827" s="79">
        <f t="shared" si="62"/>
        <v>0</v>
      </c>
      <c r="J827" s="79">
        <f t="shared" si="63"/>
        <v>69809.78</v>
      </c>
      <c r="K827" s="79">
        <f t="shared" si="64"/>
        <v>69809.78</v>
      </c>
      <c r="L827" s="121"/>
    </row>
    <row r="828" spans="2:12" ht="45" x14ac:dyDescent="0.35">
      <c r="B828" s="111">
        <f t="shared" si="61"/>
        <v>818</v>
      </c>
      <c r="C828" s="98" t="s">
        <v>230</v>
      </c>
      <c r="D828" s="99" t="s">
        <v>27</v>
      </c>
      <c r="E828" s="100">
        <v>7.3</v>
      </c>
      <c r="F828" s="101"/>
      <c r="G828" s="101"/>
      <c r="H828" s="101">
        <f t="shared" si="65"/>
        <v>0</v>
      </c>
      <c r="I828" s="101">
        <f t="shared" si="62"/>
        <v>0</v>
      </c>
      <c r="J828" s="101">
        <f t="shared" si="63"/>
        <v>0</v>
      </c>
      <c r="K828" s="101">
        <f t="shared" si="64"/>
        <v>0</v>
      </c>
      <c r="L828" s="102"/>
    </row>
    <row r="829" spans="2:12" ht="31" x14ac:dyDescent="0.35">
      <c r="B829" s="111">
        <f t="shared" si="61"/>
        <v>819</v>
      </c>
      <c r="C829" s="64" t="s">
        <v>182</v>
      </c>
      <c r="D829" s="77" t="s">
        <v>26</v>
      </c>
      <c r="E829" s="78">
        <v>3.04</v>
      </c>
      <c r="F829" s="65">
        <v>1290</v>
      </c>
      <c r="G829" s="65">
        <v>300</v>
      </c>
      <c r="H829" s="65">
        <f t="shared" si="65"/>
        <v>1590</v>
      </c>
      <c r="I829" s="79">
        <f t="shared" si="62"/>
        <v>3921.6</v>
      </c>
      <c r="J829" s="79">
        <f t="shared" si="63"/>
        <v>912</v>
      </c>
      <c r="K829" s="79">
        <f t="shared" si="64"/>
        <v>4833.6000000000004</v>
      </c>
      <c r="L829" s="121"/>
    </row>
    <row r="830" spans="2:12" x14ac:dyDescent="0.35">
      <c r="B830" s="111">
        <f t="shared" si="61"/>
        <v>820</v>
      </c>
      <c r="C830" s="64" t="s">
        <v>19</v>
      </c>
      <c r="D830" s="77" t="s">
        <v>26</v>
      </c>
      <c r="E830" s="78">
        <f>E829/97*3</f>
        <v>9.4020618556701019E-2</v>
      </c>
      <c r="F830" s="65"/>
      <c r="G830" s="65">
        <v>1500</v>
      </c>
      <c r="H830" s="65">
        <f t="shared" si="65"/>
        <v>1500</v>
      </c>
      <c r="I830" s="79">
        <f t="shared" si="62"/>
        <v>0</v>
      </c>
      <c r="J830" s="79">
        <f t="shared" si="63"/>
        <v>141.03</v>
      </c>
      <c r="K830" s="79">
        <f t="shared" si="64"/>
        <v>141.03</v>
      </c>
      <c r="L830" s="121"/>
    </row>
    <row r="831" spans="2:12" x14ac:dyDescent="0.35">
      <c r="B831" s="111">
        <f t="shared" si="61"/>
        <v>821</v>
      </c>
      <c r="C831" s="64" t="s">
        <v>184</v>
      </c>
      <c r="D831" s="77" t="s">
        <v>25</v>
      </c>
      <c r="E831" s="78">
        <f>E828*0.7*2</f>
        <v>10.219999999999999</v>
      </c>
      <c r="F831" s="65"/>
      <c r="G831" s="65"/>
      <c r="H831" s="65">
        <f t="shared" si="65"/>
        <v>0</v>
      </c>
      <c r="I831" s="79">
        <f t="shared" si="62"/>
        <v>0</v>
      </c>
      <c r="J831" s="79">
        <f t="shared" si="63"/>
        <v>0</v>
      </c>
      <c r="K831" s="79">
        <f t="shared" si="64"/>
        <v>0</v>
      </c>
      <c r="L831" s="121"/>
    </row>
    <row r="832" spans="2:12" ht="31" x14ac:dyDescent="0.35">
      <c r="B832" s="111">
        <f t="shared" si="61"/>
        <v>822</v>
      </c>
      <c r="C832" s="64" t="s">
        <v>232</v>
      </c>
      <c r="D832" s="77" t="s">
        <v>25</v>
      </c>
      <c r="E832" s="78">
        <f>E828*0.45*2</f>
        <v>6.57</v>
      </c>
      <c r="F832" s="65">
        <f>1973*0.15</f>
        <v>295.95</v>
      </c>
      <c r="G832" s="65">
        <f>1500*0.15</f>
        <v>225</v>
      </c>
      <c r="H832" s="65">
        <f t="shared" si="65"/>
        <v>520.95000000000005</v>
      </c>
      <c r="I832" s="79">
        <f t="shared" si="62"/>
        <v>1944.39</v>
      </c>
      <c r="J832" s="79">
        <f t="shared" si="63"/>
        <v>1478.25</v>
      </c>
      <c r="K832" s="79">
        <f t="shared" si="64"/>
        <v>3422.6400000000003</v>
      </c>
      <c r="L832" s="121"/>
    </row>
    <row r="833" spans="2:12" x14ac:dyDescent="0.35">
      <c r="B833" s="111">
        <f t="shared" si="61"/>
        <v>823</v>
      </c>
      <c r="C833" s="64" t="s">
        <v>20</v>
      </c>
      <c r="D833" s="77" t="s">
        <v>26</v>
      </c>
      <c r="E833" s="78">
        <f>0.32*2*E828*0.1</f>
        <v>0.4672</v>
      </c>
      <c r="F833" s="65"/>
      <c r="G833" s="65">
        <v>5860</v>
      </c>
      <c r="H833" s="65">
        <f t="shared" si="65"/>
        <v>5860</v>
      </c>
      <c r="I833" s="79">
        <f t="shared" si="62"/>
        <v>0</v>
      </c>
      <c r="J833" s="79">
        <f t="shared" si="63"/>
        <v>2737.79</v>
      </c>
      <c r="K833" s="79">
        <f t="shared" si="64"/>
        <v>2737.79</v>
      </c>
      <c r="L833" s="121"/>
    </row>
    <row r="834" spans="2:12" x14ac:dyDescent="0.35">
      <c r="B834" s="111">
        <f t="shared" si="61"/>
        <v>824</v>
      </c>
      <c r="C834" s="80" t="s">
        <v>159</v>
      </c>
      <c r="D834" s="77" t="s">
        <v>26</v>
      </c>
      <c r="E834" s="78">
        <f>E833*1.02</f>
        <v>0.47654400000000002</v>
      </c>
      <c r="F834" s="65">
        <v>6700</v>
      </c>
      <c r="G834" s="65"/>
      <c r="H834" s="65">
        <f t="shared" si="65"/>
        <v>6700</v>
      </c>
      <c r="I834" s="79">
        <f t="shared" si="62"/>
        <v>3192.84</v>
      </c>
      <c r="J834" s="79">
        <f t="shared" si="63"/>
        <v>0</v>
      </c>
      <c r="K834" s="79">
        <f t="shared" si="64"/>
        <v>3192.84</v>
      </c>
      <c r="L834" s="121"/>
    </row>
    <row r="835" spans="2:12" x14ac:dyDescent="0.35">
      <c r="B835" s="111">
        <f t="shared" si="61"/>
        <v>825</v>
      </c>
      <c r="C835" s="64" t="s">
        <v>28</v>
      </c>
      <c r="D835" s="77" t="s">
        <v>26</v>
      </c>
      <c r="E835" s="78">
        <f>0.73*2*E828*0.1</f>
        <v>1.0658000000000001</v>
      </c>
      <c r="F835" s="65"/>
      <c r="G835" s="65">
        <v>5860</v>
      </c>
      <c r="H835" s="65">
        <f t="shared" si="65"/>
        <v>5860</v>
      </c>
      <c r="I835" s="79">
        <f t="shared" si="62"/>
        <v>0</v>
      </c>
      <c r="J835" s="79">
        <f t="shared" si="63"/>
        <v>6245.59</v>
      </c>
      <c r="K835" s="79">
        <f t="shared" si="64"/>
        <v>6245.59</v>
      </c>
      <c r="L835" s="121"/>
    </row>
    <row r="836" spans="2:12" x14ac:dyDescent="0.35">
      <c r="B836" s="111">
        <f t="shared" si="61"/>
        <v>826</v>
      </c>
      <c r="C836" s="80" t="s">
        <v>29</v>
      </c>
      <c r="D836" s="77" t="s">
        <v>26</v>
      </c>
      <c r="E836" s="78">
        <f>E835*1.02</f>
        <v>1.0871160000000002</v>
      </c>
      <c r="F836" s="65">
        <v>7100</v>
      </c>
      <c r="G836" s="65"/>
      <c r="H836" s="65">
        <f t="shared" si="65"/>
        <v>7100</v>
      </c>
      <c r="I836" s="79">
        <f t="shared" si="62"/>
        <v>7718.52</v>
      </c>
      <c r="J836" s="79">
        <f t="shared" si="63"/>
        <v>0</v>
      </c>
      <c r="K836" s="79">
        <f t="shared" si="64"/>
        <v>7718.52</v>
      </c>
      <c r="L836" s="121"/>
    </row>
    <row r="837" spans="2:12" x14ac:dyDescent="0.35">
      <c r="B837" s="111">
        <f t="shared" si="61"/>
        <v>827</v>
      </c>
      <c r="C837" s="80" t="s">
        <v>30</v>
      </c>
      <c r="D837" s="77" t="s">
        <v>31</v>
      </c>
      <c r="E837" s="78">
        <f>31.39*E828*0.1*2</f>
        <v>45.8294</v>
      </c>
      <c r="F837" s="65">
        <v>118.9</v>
      </c>
      <c r="G837" s="65"/>
      <c r="H837" s="65">
        <f t="shared" si="65"/>
        <v>118.9</v>
      </c>
      <c r="I837" s="79">
        <f t="shared" si="62"/>
        <v>5449.12</v>
      </c>
      <c r="J837" s="79">
        <f t="shared" si="63"/>
        <v>0</v>
      </c>
      <c r="K837" s="79">
        <f t="shared" si="64"/>
        <v>5449.12</v>
      </c>
      <c r="L837" s="121"/>
    </row>
    <row r="838" spans="2:12" x14ac:dyDescent="0.35">
      <c r="B838" s="111">
        <f t="shared" si="61"/>
        <v>828</v>
      </c>
      <c r="C838" s="64" t="s">
        <v>233</v>
      </c>
      <c r="D838" s="77" t="s">
        <v>27</v>
      </c>
      <c r="E838" s="78">
        <f>E828</f>
        <v>7.3</v>
      </c>
      <c r="F838" s="65"/>
      <c r="G838" s="65">
        <v>6000</v>
      </c>
      <c r="H838" s="65">
        <f t="shared" si="65"/>
        <v>6000</v>
      </c>
      <c r="I838" s="79">
        <f t="shared" si="62"/>
        <v>0</v>
      </c>
      <c r="J838" s="79">
        <f t="shared" si="63"/>
        <v>43800</v>
      </c>
      <c r="K838" s="79">
        <f t="shared" si="64"/>
        <v>43800</v>
      </c>
      <c r="L838" s="121"/>
    </row>
    <row r="839" spans="2:12" x14ac:dyDescent="0.35">
      <c r="B839" s="111">
        <f t="shared" si="61"/>
        <v>829</v>
      </c>
      <c r="C839" s="80" t="s">
        <v>352</v>
      </c>
      <c r="D839" s="77" t="s">
        <v>27</v>
      </c>
      <c r="E839" s="78">
        <f>E838*1.1</f>
        <v>8.0300000000000011</v>
      </c>
      <c r="F839" s="65">
        <v>1162</v>
      </c>
      <c r="G839" s="65"/>
      <c r="H839" s="65">
        <f t="shared" si="65"/>
        <v>1162</v>
      </c>
      <c r="I839" s="79">
        <f t="shared" si="62"/>
        <v>9330.86</v>
      </c>
      <c r="J839" s="79">
        <f t="shared" si="63"/>
        <v>0</v>
      </c>
      <c r="K839" s="79">
        <f t="shared" si="64"/>
        <v>9330.86</v>
      </c>
      <c r="L839" s="121"/>
    </row>
    <row r="840" spans="2:12" x14ac:dyDescent="0.35">
      <c r="B840" s="111">
        <f t="shared" si="61"/>
        <v>830</v>
      </c>
      <c r="C840" s="80" t="s">
        <v>353</v>
      </c>
      <c r="D840" s="77" t="s">
        <v>27</v>
      </c>
      <c r="E840" s="78">
        <f>E838*1.1</f>
        <v>8.0300000000000011</v>
      </c>
      <c r="F840" s="65">
        <v>800</v>
      </c>
      <c r="G840" s="65"/>
      <c r="H840" s="65">
        <f t="shared" si="65"/>
        <v>800</v>
      </c>
      <c r="I840" s="79">
        <f t="shared" si="62"/>
        <v>6424</v>
      </c>
      <c r="J840" s="79">
        <f t="shared" si="63"/>
        <v>0</v>
      </c>
      <c r="K840" s="79">
        <f t="shared" si="64"/>
        <v>6424</v>
      </c>
      <c r="L840" s="121"/>
    </row>
    <row r="841" spans="2:12" ht="33" x14ac:dyDescent="0.35">
      <c r="B841" s="111">
        <f t="shared" si="61"/>
        <v>831</v>
      </c>
      <c r="C841" s="64" t="s">
        <v>355</v>
      </c>
      <c r="D841" s="81" t="s">
        <v>26</v>
      </c>
      <c r="E841" s="78">
        <v>46</v>
      </c>
      <c r="F841" s="65"/>
      <c r="G841" s="65">
        <v>439</v>
      </c>
      <c r="H841" s="65">
        <f t="shared" si="65"/>
        <v>439</v>
      </c>
      <c r="I841" s="79">
        <f t="shared" si="62"/>
        <v>0</v>
      </c>
      <c r="J841" s="79">
        <f t="shared" si="63"/>
        <v>20194</v>
      </c>
      <c r="K841" s="79">
        <f t="shared" si="64"/>
        <v>20194</v>
      </c>
      <c r="L841" s="121"/>
    </row>
    <row r="842" spans="2:12" ht="29.4" customHeight="1" x14ac:dyDescent="0.35">
      <c r="B842" s="111">
        <f t="shared" si="61"/>
        <v>832</v>
      </c>
      <c r="C842" s="98" t="s">
        <v>231</v>
      </c>
      <c r="D842" s="103" t="s">
        <v>32</v>
      </c>
      <c r="E842" s="100">
        <v>1</v>
      </c>
      <c r="F842" s="101"/>
      <c r="G842" s="101"/>
      <c r="H842" s="101">
        <f t="shared" si="65"/>
        <v>0</v>
      </c>
      <c r="I842" s="101">
        <f t="shared" si="62"/>
        <v>0</v>
      </c>
      <c r="J842" s="101">
        <f t="shared" si="63"/>
        <v>0</v>
      </c>
      <c r="K842" s="101">
        <f t="shared" si="64"/>
        <v>0</v>
      </c>
      <c r="L842" s="102"/>
    </row>
    <row r="843" spans="2:12" x14ac:dyDescent="0.35">
      <c r="B843" s="111">
        <f t="shared" si="61"/>
        <v>833</v>
      </c>
      <c r="C843" s="64" t="s">
        <v>323</v>
      </c>
      <c r="D843" s="81" t="s">
        <v>26</v>
      </c>
      <c r="E843" s="78">
        <v>2.13</v>
      </c>
      <c r="F843" s="65">
        <v>1290</v>
      </c>
      <c r="G843" s="65">
        <v>300</v>
      </c>
      <c r="H843" s="65">
        <f t="shared" si="65"/>
        <v>1590</v>
      </c>
      <c r="I843" s="79">
        <f t="shared" si="62"/>
        <v>2747.7</v>
      </c>
      <c r="J843" s="79">
        <f t="shared" si="63"/>
        <v>639</v>
      </c>
      <c r="K843" s="79">
        <f t="shared" si="64"/>
        <v>3386.7</v>
      </c>
      <c r="L843" s="121"/>
    </row>
    <row r="844" spans="2:12" x14ac:dyDescent="0.35">
      <c r="B844" s="111">
        <f t="shared" si="61"/>
        <v>834</v>
      </c>
      <c r="C844" s="64" t="s">
        <v>19</v>
      </c>
      <c r="D844" s="81" t="s">
        <v>26</v>
      </c>
      <c r="E844" s="78">
        <f>E843/97*3</f>
        <v>6.5876288659793808E-2</v>
      </c>
      <c r="F844" s="65"/>
      <c r="G844" s="65">
        <v>1500</v>
      </c>
      <c r="H844" s="65">
        <f t="shared" si="65"/>
        <v>1500</v>
      </c>
      <c r="I844" s="79">
        <f t="shared" si="62"/>
        <v>0</v>
      </c>
      <c r="J844" s="79">
        <f t="shared" si="63"/>
        <v>98.81</v>
      </c>
      <c r="K844" s="79">
        <f t="shared" si="64"/>
        <v>98.81</v>
      </c>
      <c r="L844" s="121"/>
    </row>
    <row r="845" spans="2:12" x14ac:dyDescent="0.35">
      <c r="B845" s="111">
        <f t="shared" ref="B845:B908" si="66">B844+1</f>
        <v>835</v>
      </c>
      <c r="C845" s="64" t="s">
        <v>67</v>
      </c>
      <c r="D845" s="81" t="s">
        <v>25</v>
      </c>
      <c r="E845" s="85">
        <v>6.6</v>
      </c>
      <c r="F845" s="65"/>
      <c r="G845" s="65"/>
      <c r="H845" s="65">
        <f t="shared" si="65"/>
        <v>0</v>
      </c>
      <c r="I845" s="79">
        <f t="shared" ref="I845:I908" si="67">ROUND(F845*E845,2)</f>
        <v>0</v>
      </c>
      <c r="J845" s="79">
        <f t="shared" ref="J845:J908" si="68">ROUND(G845*E845,2)</f>
        <v>0</v>
      </c>
      <c r="K845" s="79">
        <f t="shared" ref="K845:K908" si="69">I845+J845</f>
        <v>0</v>
      </c>
      <c r="L845" s="121"/>
    </row>
    <row r="846" spans="2:12" x14ac:dyDescent="0.35">
      <c r="B846" s="111">
        <f t="shared" si="66"/>
        <v>836</v>
      </c>
      <c r="C846" s="64" t="s">
        <v>68</v>
      </c>
      <c r="D846" s="86" t="s">
        <v>26</v>
      </c>
      <c r="E846" s="87">
        <v>0.66</v>
      </c>
      <c r="F846" s="65"/>
      <c r="G846" s="65">
        <v>5860</v>
      </c>
      <c r="H846" s="65">
        <f t="shared" si="65"/>
        <v>5860</v>
      </c>
      <c r="I846" s="79">
        <f t="shared" si="67"/>
        <v>0</v>
      </c>
      <c r="J846" s="79">
        <f t="shared" si="68"/>
        <v>3867.6</v>
      </c>
      <c r="K846" s="79">
        <f t="shared" si="69"/>
        <v>3867.6</v>
      </c>
      <c r="L846" s="121"/>
    </row>
    <row r="847" spans="2:12" x14ac:dyDescent="0.35">
      <c r="B847" s="111">
        <f t="shared" si="66"/>
        <v>837</v>
      </c>
      <c r="C847" s="80" t="s">
        <v>159</v>
      </c>
      <c r="D847" s="86" t="s">
        <v>26</v>
      </c>
      <c r="E847" s="87">
        <v>0.67</v>
      </c>
      <c r="F847" s="65">
        <v>6700</v>
      </c>
      <c r="G847" s="65"/>
      <c r="H847" s="65">
        <f t="shared" ref="H847:H910" si="70">F847+G847</f>
        <v>6700</v>
      </c>
      <c r="I847" s="79">
        <f t="shared" si="67"/>
        <v>4489</v>
      </c>
      <c r="J847" s="79">
        <f t="shared" si="68"/>
        <v>0</v>
      </c>
      <c r="K847" s="79">
        <f t="shared" si="69"/>
        <v>4489</v>
      </c>
      <c r="L847" s="121"/>
    </row>
    <row r="848" spans="2:12" x14ac:dyDescent="0.35">
      <c r="B848" s="111">
        <f t="shared" si="66"/>
        <v>838</v>
      </c>
      <c r="C848" s="64" t="s">
        <v>151</v>
      </c>
      <c r="D848" s="86" t="s">
        <v>25</v>
      </c>
      <c r="E848" s="87">
        <v>4.91</v>
      </c>
      <c r="F848" s="65">
        <v>68.5</v>
      </c>
      <c r="G848" s="65">
        <v>150</v>
      </c>
      <c r="H848" s="65">
        <f t="shared" si="70"/>
        <v>218.5</v>
      </c>
      <c r="I848" s="79">
        <f t="shared" si="67"/>
        <v>336.34</v>
      </c>
      <c r="J848" s="79">
        <f t="shared" si="68"/>
        <v>736.5</v>
      </c>
      <c r="K848" s="79">
        <f t="shared" si="69"/>
        <v>1072.8399999999999</v>
      </c>
      <c r="L848" s="121"/>
    </row>
    <row r="849" spans="2:12" ht="31" x14ac:dyDescent="0.35">
      <c r="B849" s="111">
        <f t="shared" si="66"/>
        <v>839</v>
      </c>
      <c r="C849" s="64" t="s">
        <v>152</v>
      </c>
      <c r="D849" s="86" t="s">
        <v>25</v>
      </c>
      <c r="E849" s="87">
        <v>4.91</v>
      </c>
      <c r="F849" s="65">
        <v>927</v>
      </c>
      <c r="G849" s="65">
        <v>400</v>
      </c>
      <c r="H849" s="65">
        <f t="shared" si="70"/>
        <v>1327</v>
      </c>
      <c r="I849" s="79">
        <f t="shared" si="67"/>
        <v>4551.57</v>
      </c>
      <c r="J849" s="79">
        <f t="shared" si="68"/>
        <v>1964</v>
      </c>
      <c r="K849" s="79">
        <f t="shared" si="69"/>
        <v>6515.57</v>
      </c>
      <c r="L849" s="121"/>
    </row>
    <row r="850" spans="2:12" ht="31" x14ac:dyDescent="0.35">
      <c r="B850" s="111">
        <f t="shared" si="66"/>
        <v>840</v>
      </c>
      <c r="C850" s="64" t="s">
        <v>69</v>
      </c>
      <c r="D850" s="86" t="s">
        <v>32</v>
      </c>
      <c r="E850" s="87">
        <v>1</v>
      </c>
      <c r="F850" s="65"/>
      <c r="G850" s="65">
        <v>5662</v>
      </c>
      <c r="H850" s="65">
        <f t="shared" si="70"/>
        <v>5662</v>
      </c>
      <c r="I850" s="79">
        <f t="shared" si="67"/>
        <v>0</v>
      </c>
      <c r="J850" s="79">
        <f t="shared" si="68"/>
        <v>5662</v>
      </c>
      <c r="K850" s="79">
        <f t="shared" si="69"/>
        <v>5662</v>
      </c>
      <c r="L850" s="121"/>
    </row>
    <row r="851" spans="2:12" x14ac:dyDescent="0.35">
      <c r="B851" s="111">
        <f t="shared" si="66"/>
        <v>841</v>
      </c>
      <c r="C851" s="88" t="s">
        <v>71</v>
      </c>
      <c r="D851" s="89" t="s">
        <v>32</v>
      </c>
      <c r="E851" s="87">
        <v>1</v>
      </c>
      <c r="F851" s="65">
        <f>7000*1.2</f>
        <v>8400</v>
      </c>
      <c r="G851" s="65"/>
      <c r="H851" s="65">
        <f t="shared" si="70"/>
        <v>8400</v>
      </c>
      <c r="I851" s="79">
        <f t="shared" si="67"/>
        <v>8400</v>
      </c>
      <c r="J851" s="79">
        <f t="shared" si="68"/>
        <v>0</v>
      </c>
      <c r="K851" s="79">
        <f t="shared" si="69"/>
        <v>8400</v>
      </c>
      <c r="L851" s="121"/>
    </row>
    <row r="852" spans="2:12" x14ac:dyDescent="0.35">
      <c r="B852" s="111">
        <f t="shared" si="66"/>
        <v>842</v>
      </c>
      <c r="C852" s="88" t="s">
        <v>101</v>
      </c>
      <c r="D852" s="89" t="s">
        <v>26</v>
      </c>
      <c r="E852" s="87">
        <v>0.06</v>
      </c>
      <c r="F852" s="65">
        <v>7300</v>
      </c>
      <c r="G852" s="65"/>
      <c r="H852" s="65">
        <f t="shared" si="70"/>
        <v>7300</v>
      </c>
      <c r="I852" s="79">
        <f t="shared" si="67"/>
        <v>438</v>
      </c>
      <c r="J852" s="79">
        <f t="shared" si="68"/>
        <v>0</v>
      </c>
      <c r="K852" s="79">
        <f t="shared" si="69"/>
        <v>438</v>
      </c>
      <c r="L852" s="121"/>
    </row>
    <row r="853" spans="2:12" ht="31" x14ac:dyDescent="0.35">
      <c r="B853" s="111">
        <f t="shared" si="66"/>
        <v>843</v>
      </c>
      <c r="C853" s="64" t="s">
        <v>179</v>
      </c>
      <c r="D853" s="86" t="s">
        <v>26</v>
      </c>
      <c r="E853" s="87">
        <v>1.2</v>
      </c>
      <c r="F853" s="65"/>
      <c r="G853" s="65">
        <v>5860</v>
      </c>
      <c r="H853" s="65">
        <f t="shared" si="70"/>
        <v>5860</v>
      </c>
      <c r="I853" s="79">
        <f t="shared" si="67"/>
        <v>0</v>
      </c>
      <c r="J853" s="79">
        <f t="shared" si="68"/>
        <v>7032</v>
      </c>
      <c r="K853" s="79">
        <f t="shared" si="69"/>
        <v>7032</v>
      </c>
      <c r="L853" s="121"/>
    </row>
    <row r="854" spans="2:12" x14ac:dyDescent="0.35">
      <c r="B854" s="111">
        <f t="shared" si="66"/>
        <v>844</v>
      </c>
      <c r="C854" s="88" t="s">
        <v>75</v>
      </c>
      <c r="D854" s="89" t="s">
        <v>26</v>
      </c>
      <c r="E854" s="87">
        <v>1.22</v>
      </c>
      <c r="F854" s="65">
        <v>7100</v>
      </c>
      <c r="G854" s="65"/>
      <c r="H854" s="65">
        <f t="shared" si="70"/>
        <v>7100</v>
      </c>
      <c r="I854" s="79">
        <f t="shared" si="67"/>
        <v>8662</v>
      </c>
      <c r="J854" s="79">
        <f t="shared" si="68"/>
        <v>0</v>
      </c>
      <c r="K854" s="79">
        <f t="shared" si="69"/>
        <v>8662</v>
      </c>
      <c r="L854" s="121"/>
    </row>
    <row r="855" spans="2:12" ht="31" x14ac:dyDescent="0.35">
      <c r="B855" s="111">
        <f t="shared" si="66"/>
        <v>845</v>
      </c>
      <c r="C855" s="64" t="s">
        <v>78</v>
      </c>
      <c r="D855" s="86" t="s">
        <v>32</v>
      </c>
      <c r="E855" s="87">
        <v>4</v>
      </c>
      <c r="F855" s="65"/>
      <c r="G855" s="65">
        <v>5662</v>
      </c>
      <c r="H855" s="65">
        <f t="shared" si="70"/>
        <v>5662</v>
      </c>
      <c r="I855" s="79">
        <f t="shared" si="67"/>
        <v>0</v>
      </c>
      <c r="J855" s="79">
        <f t="shared" si="68"/>
        <v>22648</v>
      </c>
      <c r="K855" s="79">
        <f t="shared" si="69"/>
        <v>22648</v>
      </c>
      <c r="L855" s="121"/>
    </row>
    <row r="856" spans="2:12" x14ac:dyDescent="0.35">
      <c r="B856" s="111">
        <f t="shared" si="66"/>
        <v>846</v>
      </c>
      <c r="C856" s="88" t="s">
        <v>76</v>
      </c>
      <c r="D856" s="89" t="s">
        <v>32</v>
      </c>
      <c r="E856" s="87">
        <v>2</v>
      </c>
      <c r="F856" s="65">
        <f>7000*1.2</f>
        <v>8400</v>
      </c>
      <c r="G856" s="65"/>
      <c r="H856" s="65">
        <f t="shared" si="70"/>
        <v>8400</v>
      </c>
      <c r="I856" s="79">
        <f t="shared" si="67"/>
        <v>16800</v>
      </c>
      <c r="J856" s="79">
        <f t="shared" si="68"/>
        <v>0</v>
      </c>
      <c r="K856" s="79">
        <f t="shared" si="69"/>
        <v>16800</v>
      </c>
      <c r="L856" s="121"/>
    </row>
    <row r="857" spans="2:12" x14ac:dyDescent="0.35">
      <c r="B857" s="111">
        <f t="shared" si="66"/>
        <v>847</v>
      </c>
      <c r="C857" s="88" t="s">
        <v>77</v>
      </c>
      <c r="D857" s="89" t="s">
        <v>32</v>
      </c>
      <c r="E857" s="87">
        <v>1</v>
      </c>
      <c r="F857" s="65">
        <f>5500*1.2</f>
        <v>6600</v>
      </c>
      <c r="G857" s="65"/>
      <c r="H857" s="65">
        <f t="shared" si="70"/>
        <v>6600</v>
      </c>
      <c r="I857" s="79">
        <f t="shared" si="67"/>
        <v>6600</v>
      </c>
      <c r="J857" s="79">
        <f t="shared" si="68"/>
        <v>0</v>
      </c>
      <c r="K857" s="79">
        <f t="shared" si="69"/>
        <v>6600</v>
      </c>
      <c r="L857" s="121"/>
    </row>
    <row r="858" spans="2:12" x14ac:dyDescent="0.35">
      <c r="B858" s="111">
        <f t="shared" si="66"/>
        <v>848</v>
      </c>
      <c r="C858" s="88" t="s">
        <v>80</v>
      </c>
      <c r="D858" s="89" t="s">
        <v>32</v>
      </c>
      <c r="E858" s="87">
        <v>1</v>
      </c>
      <c r="F858" s="65">
        <f>1200*1.2</f>
        <v>1440</v>
      </c>
      <c r="G858" s="65"/>
      <c r="H858" s="65">
        <f t="shared" si="70"/>
        <v>1440</v>
      </c>
      <c r="I858" s="79">
        <f t="shared" si="67"/>
        <v>1440</v>
      </c>
      <c r="J858" s="79">
        <f t="shared" si="68"/>
        <v>0</v>
      </c>
      <c r="K858" s="79">
        <f t="shared" si="69"/>
        <v>1440</v>
      </c>
      <c r="L858" s="121"/>
    </row>
    <row r="859" spans="2:12" ht="31" x14ac:dyDescent="0.35">
      <c r="B859" s="111">
        <f t="shared" si="66"/>
        <v>849</v>
      </c>
      <c r="C859" s="64" t="s">
        <v>85</v>
      </c>
      <c r="D859" s="86" t="s">
        <v>32</v>
      </c>
      <c r="E859" s="87">
        <v>1</v>
      </c>
      <c r="F859" s="65"/>
      <c r="G859" s="65">
        <v>2500</v>
      </c>
      <c r="H859" s="65">
        <f t="shared" si="70"/>
        <v>2500</v>
      </c>
      <c r="I859" s="79">
        <f t="shared" si="67"/>
        <v>0</v>
      </c>
      <c r="J859" s="79">
        <f t="shared" si="68"/>
        <v>2500</v>
      </c>
      <c r="K859" s="79">
        <f t="shared" si="69"/>
        <v>2500</v>
      </c>
      <c r="L859" s="121"/>
    </row>
    <row r="860" spans="2:12" x14ac:dyDescent="0.35">
      <c r="B860" s="111">
        <f t="shared" si="66"/>
        <v>850</v>
      </c>
      <c r="C860" s="88" t="s">
        <v>79</v>
      </c>
      <c r="D860" s="89" t="s">
        <v>32</v>
      </c>
      <c r="E860" s="87">
        <v>1</v>
      </c>
      <c r="F860" s="65">
        <f>6500*1.2</f>
        <v>7800</v>
      </c>
      <c r="G860" s="65"/>
      <c r="H860" s="65">
        <f t="shared" si="70"/>
        <v>7800</v>
      </c>
      <c r="I860" s="79">
        <f t="shared" si="67"/>
        <v>7800</v>
      </c>
      <c r="J860" s="79">
        <f t="shared" si="68"/>
        <v>0</v>
      </c>
      <c r="K860" s="79">
        <f t="shared" si="69"/>
        <v>7800</v>
      </c>
      <c r="L860" s="121"/>
    </row>
    <row r="861" spans="2:12" ht="31" x14ac:dyDescent="0.35">
      <c r="B861" s="111">
        <f t="shared" si="66"/>
        <v>851</v>
      </c>
      <c r="C861" s="64" t="s">
        <v>316</v>
      </c>
      <c r="D861" s="86" t="s">
        <v>32</v>
      </c>
      <c r="E861" s="87">
        <v>1</v>
      </c>
      <c r="F861" s="65"/>
      <c r="G861" s="65"/>
      <c r="H861" s="65">
        <f t="shared" si="70"/>
        <v>0</v>
      </c>
      <c r="I861" s="79">
        <f t="shared" si="67"/>
        <v>0</v>
      </c>
      <c r="J861" s="79">
        <f t="shared" si="68"/>
        <v>0</v>
      </c>
      <c r="K861" s="79">
        <f t="shared" si="69"/>
        <v>0</v>
      </c>
      <c r="L861" s="121"/>
    </row>
    <row r="862" spans="2:12" x14ac:dyDescent="0.35">
      <c r="B862" s="111">
        <f t="shared" si="66"/>
        <v>852</v>
      </c>
      <c r="C862" s="88" t="s">
        <v>84</v>
      </c>
      <c r="D862" s="89" t="s">
        <v>32</v>
      </c>
      <c r="E862" s="87">
        <v>1</v>
      </c>
      <c r="F862" s="65">
        <v>1300</v>
      </c>
      <c r="G862" s="65">
        <v>990</v>
      </c>
      <c r="H862" s="65">
        <f t="shared" si="70"/>
        <v>2290</v>
      </c>
      <c r="I862" s="79">
        <f t="shared" si="67"/>
        <v>1300</v>
      </c>
      <c r="J862" s="79">
        <f t="shared" si="68"/>
        <v>990</v>
      </c>
      <c r="K862" s="79">
        <f t="shared" si="69"/>
        <v>2290</v>
      </c>
      <c r="L862" s="121"/>
    </row>
    <row r="863" spans="2:12" x14ac:dyDescent="0.35">
      <c r="B863" s="111">
        <f t="shared" si="66"/>
        <v>853</v>
      </c>
      <c r="C863" s="80" t="s">
        <v>301</v>
      </c>
      <c r="D863" s="86" t="s">
        <v>32</v>
      </c>
      <c r="E863" s="87">
        <v>1</v>
      </c>
      <c r="F863" s="65">
        <v>6000</v>
      </c>
      <c r="G863" s="65">
        <v>1464.09</v>
      </c>
      <c r="H863" s="65">
        <f t="shared" si="70"/>
        <v>7464.09</v>
      </c>
      <c r="I863" s="79">
        <f t="shared" si="67"/>
        <v>6000</v>
      </c>
      <c r="J863" s="79">
        <f t="shared" si="68"/>
        <v>1464.09</v>
      </c>
      <c r="K863" s="79">
        <f t="shared" si="69"/>
        <v>7464.09</v>
      </c>
      <c r="L863" s="121"/>
    </row>
    <row r="864" spans="2:12" ht="31" x14ac:dyDescent="0.35">
      <c r="B864" s="111">
        <f t="shared" si="66"/>
        <v>854</v>
      </c>
      <c r="C864" s="64" t="s">
        <v>156</v>
      </c>
      <c r="D864" s="86" t="s">
        <v>25</v>
      </c>
      <c r="E864" s="87">
        <f>22.79+3.8</f>
        <v>26.59</v>
      </c>
      <c r="F864" s="65">
        <v>68.5</v>
      </c>
      <c r="G864" s="65">
        <v>150</v>
      </c>
      <c r="H864" s="65">
        <f t="shared" si="70"/>
        <v>218.5</v>
      </c>
      <c r="I864" s="79">
        <f t="shared" si="67"/>
        <v>1821.42</v>
      </c>
      <c r="J864" s="79">
        <f t="shared" si="68"/>
        <v>3988.5</v>
      </c>
      <c r="K864" s="79">
        <f t="shared" si="69"/>
        <v>5809.92</v>
      </c>
      <c r="L864" s="121"/>
    </row>
    <row r="865" spans="2:12" ht="46.5" x14ac:dyDescent="0.35">
      <c r="B865" s="111">
        <f t="shared" si="66"/>
        <v>855</v>
      </c>
      <c r="C865" s="64" t="s">
        <v>157</v>
      </c>
      <c r="D865" s="86" t="s">
        <v>25</v>
      </c>
      <c r="E865" s="87">
        <f>22.79+3.8</f>
        <v>26.59</v>
      </c>
      <c r="F865" s="65">
        <v>927</v>
      </c>
      <c r="G865" s="65">
        <v>400</v>
      </c>
      <c r="H865" s="65">
        <f t="shared" si="70"/>
        <v>1327</v>
      </c>
      <c r="I865" s="79">
        <f t="shared" si="67"/>
        <v>24648.93</v>
      </c>
      <c r="J865" s="79">
        <f t="shared" si="68"/>
        <v>10636</v>
      </c>
      <c r="K865" s="79">
        <f t="shared" si="69"/>
        <v>35284.93</v>
      </c>
      <c r="L865" s="121"/>
    </row>
    <row r="866" spans="2:12" x14ac:dyDescent="0.35">
      <c r="B866" s="111">
        <f t="shared" si="66"/>
        <v>856</v>
      </c>
      <c r="C866" s="64" t="s">
        <v>324</v>
      </c>
      <c r="D866" s="86" t="s">
        <v>32</v>
      </c>
      <c r="E866" s="87">
        <v>1</v>
      </c>
      <c r="F866" s="65"/>
      <c r="G866" s="65"/>
      <c r="H866" s="65">
        <f t="shared" si="70"/>
        <v>0</v>
      </c>
      <c r="I866" s="79">
        <f t="shared" si="67"/>
        <v>0</v>
      </c>
      <c r="J866" s="79">
        <f t="shared" si="68"/>
        <v>0</v>
      </c>
      <c r="K866" s="79">
        <f t="shared" si="69"/>
        <v>0</v>
      </c>
      <c r="L866" s="121"/>
    </row>
    <row r="867" spans="2:12" x14ac:dyDescent="0.35">
      <c r="B867" s="111">
        <f t="shared" si="66"/>
        <v>857</v>
      </c>
      <c r="C867" s="88" t="s">
        <v>325</v>
      </c>
      <c r="D867" s="89" t="s">
        <v>31</v>
      </c>
      <c r="E867" s="87">
        <v>26.74</v>
      </c>
      <c r="F867" s="68">
        <v>71</v>
      </c>
      <c r="G867" s="65">
        <v>97.61</v>
      </c>
      <c r="H867" s="65">
        <f t="shared" si="70"/>
        <v>168.61</v>
      </c>
      <c r="I867" s="79">
        <f t="shared" si="67"/>
        <v>1898.54</v>
      </c>
      <c r="J867" s="79">
        <f t="shared" si="68"/>
        <v>2610.09</v>
      </c>
      <c r="K867" s="79">
        <f t="shared" si="69"/>
        <v>4508.63</v>
      </c>
      <c r="L867" s="121"/>
    </row>
    <row r="868" spans="2:12" x14ac:dyDescent="0.35">
      <c r="B868" s="111">
        <f t="shared" si="66"/>
        <v>858</v>
      </c>
      <c r="C868" s="64" t="s">
        <v>93</v>
      </c>
      <c r="D868" s="86" t="s">
        <v>32</v>
      </c>
      <c r="E868" s="87">
        <v>2</v>
      </c>
      <c r="F868" s="65"/>
      <c r="G868" s="65"/>
      <c r="H868" s="65">
        <f t="shared" si="70"/>
        <v>0</v>
      </c>
      <c r="I868" s="79">
        <f t="shared" si="67"/>
        <v>0</v>
      </c>
      <c r="J868" s="79">
        <f t="shared" si="68"/>
        <v>0</v>
      </c>
      <c r="K868" s="79">
        <f t="shared" si="69"/>
        <v>0</v>
      </c>
      <c r="L868" s="121"/>
    </row>
    <row r="869" spans="2:12" x14ac:dyDescent="0.35">
      <c r="B869" s="111">
        <f t="shared" si="66"/>
        <v>859</v>
      </c>
      <c r="C869" s="88" t="s">
        <v>94</v>
      </c>
      <c r="D869" s="89" t="s">
        <v>31</v>
      </c>
      <c r="E869" s="87">
        <v>1.64</v>
      </c>
      <c r="F869" s="68">
        <v>71</v>
      </c>
      <c r="G869" s="65">
        <v>97.61</v>
      </c>
      <c r="H869" s="65">
        <f t="shared" si="70"/>
        <v>168.61</v>
      </c>
      <c r="I869" s="79">
        <f t="shared" si="67"/>
        <v>116.44</v>
      </c>
      <c r="J869" s="79">
        <f t="shared" si="68"/>
        <v>160.08000000000001</v>
      </c>
      <c r="K869" s="79">
        <f t="shared" si="69"/>
        <v>276.52</v>
      </c>
      <c r="L869" s="121"/>
    </row>
    <row r="870" spans="2:12" ht="31" x14ac:dyDescent="0.35">
      <c r="B870" s="111">
        <f t="shared" si="66"/>
        <v>860</v>
      </c>
      <c r="C870" s="64" t="s">
        <v>153</v>
      </c>
      <c r="D870" s="86" t="s">
        <v>32</v>
      </c>
      <c r="E870" s="87">
        <v>3</v>
      </c>
      <c r="F870" s="65"/>
      <c r="G870" s="65">
        <v>1464</v>
      </c>
      <c r="H870" s="65">
        <f t="shared" si="70"/>
        <v>1464</v>
      </c>
      <c r="I870" s="79">
        <f t="shared" si="67"/>
        <v>0</v>
      </c>
      <c r="J870" s="79">
        <f t="shared" si="68"/>
        <v>4392</v>
      </c>
      <c r="K870" s="79">
        <f t="shared" si="69"/>
        <v>4392</v>
      </c>
      <c r="L870" s="121"/>
    </row>
    <row r="871" spans="2:12" x14ac:dyDescent="0.35">
      <c r="B871" s="111">
        <f t="shared" si="66"/>
        <v>861</v>
      </c>
      <c r="C871" s="64" t="s">
        <v>326</v>
      </c>
      <c r="D871" s="86"/>
      <c r="E871" s="87"/>
      <c r="F871" s="65"/>
      <c r="G871" s="65"/>
      <c r="H871" s="65">
        <f t="shared" si="70"/>
        <v>0</v>
      </c>
      <c r="I871" s="79">
        <f t="shared" si="67"/>
        <v>0</v>
      </c>
      <c r="J871" s="79">
        <f t="shared" si="68"/>
        <v>0</v>
      </c>
      <c r="K871" s="79">
        <f t="shared" si="69"/>
        <v>0</v>
      </c>
      <c r="L871" s="121">
        <v>1</v>
      </c>
    </row>
    <row r="872" spans="2:12" ht="31" x14ac:dyDescent="0.35">
      <c r="B872" s="111">
        <f t="shared" si="66"/>
        <v>862</v>
      </c>
      <c r="C872" s="80" t="s">
        <v>309</v>
      </c>
      <c r="D872" s="86" t="s">
        <v>32</v>
      </c>
      <c r="E872" s="87">
        <v>1</v>
      </c>
      <c r="F872" s="65">
        <v>2263</v>
      </c>
      <c r="G872" s="65">
        <v>1700</v>
      </c>
      <c r="H872" s="65">
        <f t="shared" si="70"/>
        <v>3963</v>
      </c>
      <c r="I872" s="79">
        <f t="shared" si="67"/>
        <v>2263</v>
      </c>
      <c r="J872" s="79">
        <f t="shared" si="68"/>
        <v>1700</v>
      </c>
      <c r="K872" s="79">
        <f t="shared" si="69"/>
        <v>3963</v>
      </c>
      <c r="L872" s="121"/>
    </row>
    <row r="873" spans="2:12" ht="31" x14ac:dyDescent="0.35">
      <c r="B873" s="111">
        <f t="shared" si="66"/>
        <v>863</v>
      </c>
      <c r="C873" s="80" t="s">
        <v>310</v>
      </c>
      <c r="D873" s="86" t="s">
        <v>32</v>
      </c>
      <c r="E873" s="87">
        <v>1</v>
      </c>
      <c r="F873" s="65">
        <v>1303</v>
      </c>
      <c r="G873" s="65">
        <v>1700</v>
      </c>
      <c r="H873" s="65">
        <f t="shared" si="70"/>
        <v>3003</v>
      </c>
      <c r="I873" s="79">
        <f t="shared" si="67"/>
        <v>1303</v>
      </c>
      <c r="J873" s="79">
        <f t="shared" si="68"/>
        <v>1700</v>
      </c>
      <c r="K873" s="79">
        <f t="shared" si="69"/>
        <v>3003</v>
      </c>
      <c r="L873" s="121"/>
    </row>
    <row r="874" spans="2:12" ht="31" x14ac:dyDescent="0.35">
      <c r="B874" s="111">
        <f t="shared" si="66"/>
        <v>864</v>
      </c>
      <c r="C874" s="80" t="s">
        <v>63</v>
      </c>
      <c r="D874" s="86" t="s">
        <v>27</v>
      </c>
      <c r="E874" s="87">
        <f>0.38*1.1</f>
        <v>0.41800000000000004</v>
      </c>
      <c r="F874" s="65">
        <v>855</v>
      </c>
      <c r="G874" s="65">
        <v>1700</v>
      </c>
      <c r="H874" s="65">
        <f t="shared" si="70"/>
        <v>2555</v>
      </c>
      <c r="I874" s="79">
        <f t="shared" si="67"/>
        <v>357.39</v>
      </c>
      <c r="J874" s="79">
        <f t="shared" si="68"/>
        <v>710.6</v>
      </c>
      <c r="K874" s="79">
        <f t="shared" si="69"/>
        <v>1067.99</v>
      </c>
      <c r="L874" s="121"/>
    </row>
    <row r="875" spans="2:12" ht="33" x14ac:dyDescent="0.35">
      <c r="B875" s="111">
        <f t="shared" si="66"/>
        <v>865</v>
      </c>
      <c r="C875" s="64" t="s">
        <v>362</v>
      </c>
      <c r="D875" s="86" t="s">
        <v>26</v>
      </c>
      <c r="E875" s="87">
        <f>26.98-12.54</f>
        <v>14.440000000000001</v>
      </c>
      <c r="F875" s="65"/>
      <c r="G875" s="65">
        <v>439</v>
      </c>
      <c r="H875" s="65">
        <f t="shared" si="70"/>
        <v>439</v>
      </c>
      <c r="I875" s="79">
        <f t="shared" si="67"/>
        <v>0</v>
      </c>
      <c r="J875" s="79">
        <f t="shared" si="68"/>
        <v>6339.16</v>
      </c>
      <c r="K875" s="79">
        <f t="shared" si="69"/>
        <v>6339.16</v>
      </c>
      <c r="L875" s="121"/>
    </row>
    <row r="876" spans="2:12" ht="30" x14ac:dyDescent="0.35">
      <c r="B876" s="111">
        <f t="shared" si="66"/>
        <v>866</v>
      </c>
      <c r="C876" s="98" t="s">
        <v>234</v>
      </c>
      <c r="D876" s="99" t="s">
        <v>27</v>
      </c>
      <c r="E876" s="100">
        <v>27.5</v>
      </c>
      <c r="F876" s="101"/>
      <c r="G876" s="101"/>
      <c r="H876" s="101">
        <f t="shared" si="70"/>
        <v>0</v>
      </c>
      <c r="I876" s="101">
        <f t="shared" si="67"/>
        <v>0</v>
      </c>
      <c r="J876" s="101">
        <f t="shared" si="68"/>
        <v>0</v>
      </c>
      <c r="K876" s="101">
        <f t="shared" si="69"/>
        <v>0</v>
      </c>
      <c r="L876" s="121"/>
    </row>
    <row r="877" spans="2:12" ht="31" x14ac:dyDescent="0.35">
      <c r="B877" s="111">
        <f t="shared" si="66"/>
        <v>867</v>
      </c>
      <c r="C877" s="64" t="s">
        <v>348</v>
      </c>
      <c r="D877" s="77" t="s">
        <v>26</v>
      </c>
      <c r="E877" s="78">
        <f>15.74*0.97</f>
        <v>15.267799999999999</v>
      </c>
      <c r="F877" s="65"/>
      <c r="G877" s="65">
        <v>300</v>
      </c>
      <c r="H877" s="65">
        <f t="shared" si="70"/>
        <v>300</v>
      </c>
      <c r="I877" s="79">
        <f t="shared" si="67"/>
        <v>0</v>
      </c>
      <c r="J877" s="79">
        <f t="shared" si="68"/>
        <v>4580.34</v>
      </c>
      <c r="K877" s="79">
        <f t="shared" si="69"/>
        <v>4580.34</v>
      </c>
      <c r="L877" s="121"/>
    </row>
    <row r="878" spans="2:12" x14ac:dyDescent="0.35">
      <c r="B878" s="111">
        <f t="shared" si="66"/>
        <v>868</v>
      </c>
      <c r="C878" s="64" t="s">
        <v>19</v>
      </c>
      <c r="D878" s="77" t="s">
        <v>26</v>
      </c>
      <c r="E878" s="78">
        <f>E877/97*3</f>
        <v>0.47219999999999995</v>
      </c>
      <c r="F878" s="65"/>
      <c r="G878" s="65">
        <v>1500</v>
      </c>
      <c r="H878" s="65">
        <f t="shared" si="70"/>
        <v>1500</v>
      </c>
      <c r="I878" s="79">
        <f t="shared" si="67"/>
        <v>0</v>
      </c>
      <c r="J878" s="79">
        <f t="shared" si="68"/>
        <v>708.3</v>
      </c>
      <c r="K878" s="79">
        <f t="shared" si="69"/>
        <v>708.3</v>
      </c>
      <c r="L878" s="121"/>
    </row>
    <row r="879" spans="2:12" ht="31" x14ac:dyDescent="0.35">
      <c r="B879" s="111">
        <f t="shared" si="66"/>
        <v>869</v>
      </c>
      <c r="C879" s="64" t="s">
        <v>182</v>
      </c>
      <c r="D879" s="77" t="s">
        <v>26</v>
      </c>
      <c r="E879" s="78">
        <v>0.5</v>
      </c>
      <c r="F879" s="65">
        <v>1290</v>
      </c>
      <c r="G879" s="65">
        <v>300</v>
      </c>
      <c r="H879" s="65">
        <f t="shared" si="70"/>
        <v>1590</v>
      </c>
      <c r="I879" s="79">
        <f t="shared" si="67"/>
        <v>645</v>
      </c>
      <c r="J879" s="79">
        <f t="shared" si="68"/>
        <v>150</v>
      </c>
      <c r="K879" s="79">
        <f t="shared" si="69"/>
        <v>795</v>
      </c>
      <c r="L879" s="121"/>
    </row>
    <row r="880" spans="2:12" x14ac:dyDescent="0.35">
      <c r="B880" s="111">
        <f t="shared" si="66"/>
        <v>870</v>
      </c>
      <c r="C880" s="64" t="s">
        <v>184</v>
      </c>
      <c r="D880" s="77" t="s">
        <v>25</v>
      </c>
      <c r="E880" s="78">
        <f>10.22*0.75</f>
        <v>7.6650000000000009</v>
      </c>
      <c r="F880" s="65"/>
      <c r="G880" s="65"/>
      <c r="H880" s="65">
        <f t="shared" si="70"/>
        <v>0</v>
      </c>
      <c r="I880" s="79">
        <f t="shared" si="67"/>
        <v>0</v>
      </c>
      <c r="J880" s="79">
        <f t="shared" si="68"/>
        <v>0</v>
      </c>
      <c r="K880" s="79">
        <f t="shared" si="69"/>
        <v>0</v>
      </c>
      <c r="L880" s="121"/>
    </row>
    <row r="881" spans="2:12" ht="31" x14ac:dyDescent="0.35">
      <c r="B881" s="111">
        <f t="shared" si="66"/>
        <v>871</v>
      </c>
      <c r="C881" s="64" t="s">
        <v>194</v>
      </c>
      <c r="D881" s="77" t="s">
        <v>25</v>
      </c>
      <c r="E881" s="78">
        <f>10.22*0.48</f>
        <v>4.9055999999999997</v>
      </c>
      <c r="F881" s="65">
        <f>1973*0.15</f>
        <v>295.95</v>
      </c>
      <c r="G881" s="65">
        <f>1500*0.15</f>
        <v>225</v>
      </c>
      <c r="H881" s="65">
        <f t="shared" si="70"/>
        <v>520.95000000000005</v>
      </c>
      <c r="I881" s="79">
        <f t="shared" si="67"/>
        <v>1451.81</v>
      </c>
      <c r="J881" s="79">
        <f t="shared" si="68"/>
        <v>1103.76</v>
      </c>
      <c r="K881" s="79">
        <f t="shared" si="69"/>
        <v>2555.5699999999997</v>
      </c>
      <c r="L881" s="121"/>
    </row>
    <row r="882" spans="2:12" x14ac:dyDescent="0.35">
      <c r="B882" s="111">
        <f t="shared" si="66"/>
        <v>872</v>
      </c>
      <c r="C882" s="64" t="s">
        <v>20</v>
      </c>
      <c r="D882" s="77" t="s">
        <v>26</v>
      </c>
      <c r="E882" s="78">
        <f>0.34*E876*0.1</f>
        <v>0.93500000000000016</v>
      </c>
      <c r="F882" s="65"/>
      <c r="G882" s="65">
        <v>5860</v>
      </c>
      <c r="H882" s="65">
        <f t="shared" si="70"/>
        <v>5860</v>
      </c>
      <c r="I882" s="79">
        <f t="shared" si="67"/>
        <v>0</v>
      </c>
      <c r="J882" s="79">
        <f t="shared" si="68"/>
        <v>5479.1</v>
      </c>
      <c r="K882" s="79">
        <f t="shared" si="69"/>
        <v>5479.1</v>
      </c>
      <c r="L882" s="121"/>
    </row>
    <row r="883" spans="2:12" x14ac:dyDescent="0.35">
      <c r="B883" s="111">
        <f t="shared" si="66"/>
        <v>873</v>
      </c>
      <c r="C883" s="80" t="s">
        <v>159</v>
      </c>
      <c r="D883" s="77" t="s">
        <v>26</v>
      </c>
      <c r="E883" s="78">
        <f>E882*1.02</f>
        <v>0.95370000000000021</v>
      </c>
      <c r="F883" s="65">
        <v>6700</v>
      </c>
      <c r="G883" s="65"/>
      <c r="H883" s="65">
        <f t="shared" si="70"/>
        <v>6700</v>
      </c>
      <c r="I883" s="79">
        <f t="shared" si="67"/>
        <v>6389.79</v>
      </c>
      <c r="J883" s="79">
        <f t="shared" si="68"/>
        <v>0</v>
      </c>
      <c r="K883" s="79">
        <f t="shared" si="69"/>
        <v>6389.79</v>
      </c>
      <c r="L883" s="121"/>
    </row>
    <row r="884" spans="2:12" x14ac:dyDescent="0.35">
      <c r="B884" s="111">
        <f t="shared" si="66"/>
        <v>874</v>
      </c>
      <c r="C884" s="64" t="s">
        <v>28</v>
      </c>
      <c r="D884" s="77" t="s">
        <v>26</v>
      </c>
      <c r="E884" s="78">
        <f>10.22*0.8/10</f>
        <v>0.81759999999999999</v>
      </c>
      <c r="F884" s="65"/>
      <c r="G884" s="65">
        <v>5860</v>
      </c>
      <c r="H884" s="65">
        <f t="shared" si="70"/>
        <v>5860</v>
      </c>
      <c r="I884" s="79">
        <f t="shared" si="67"/>
        <v>0</v>
      </c>
      <c r="J884" s="79">
        <f t="shared" si="68"/>
        <v>4791.1400000000003</v>
      </c>
      <c r="K884" s="79">
        <f t="shared" si="69"/>
        <v>4791.1400000000003</v>
      </c>
      <c r="L884" s="121"/>
    </row>
    <row r="885" spans="2:12" x14ac:dyDescent="0.35">
      <c r="B885" s="111">
        <f t="shared" si="66"/>
        <v>875</v>
      </c>
      <c r="C885" s="80" t="s">
        <v>29</v>
      </c>
      <c r="D885" s="77" t="s">
        <v>26</v>
      </c>
      <c r="E885" s="78">
        <f>E884*1.02</f>
        <v>0.83395200000000003</v>
      </c>
      <c r="F885" s="65">
        <v>7100</v>
      </c>
      <c r="G885" s="65"/>
      <c r="H885" s="65">
        <f t="shared" si="70"/>
        <v>7100</v>
      </c>
      <c r="I885" s="79">
        <f t="shared" si="67"/>
        <v>5921.06</v>
      </c>
      <c r="J885" s="79">
        <f t="shared" si="68"/>
        <v>0</v>
      </c>
      <c r="K885" s="79">
        <f t="shared" si="69"/>
        <v>5921.06</v>
      </c>
      <c r="L885" s="121"/>
    </row>
    <row r="886" spans="2:12" x14ac:dyDescent="0.35">
      <c r="B886" s="111">
        <f t="shared" si="66"/>
        <v>876</v>
      </c>
      <c r="C886" s="80" t="s">
        <v>30</v>
      </c>
      <c r="D886" s="77" t="s">
        <v>31</v>
      </c>
      <c r="E886" s="78">
        <f>31.39*1.22</f>
        <v>38.2958</v>
      </c>
      <c r="F886" s="65">
        <v>118.9</v>
      </c>
      <c r="G886" s="65"/>
      <c r="H886" s="65">
        <f t="shared" si="70"/>
        <v>118.9</v>
      </c>
      <c r="I886" s="79">
        <f t="shared" si="67"/>
        <v>4553.37</v>
      </c>
      <c r="J886" s="79">
        <f t="shared" si="68"/>
        <v>0</v>
      </c>
      <c r="K886" s="79">
        <f t="shared" si="69"/>
        <v>4553.37</v>
      </c>
      <c r="L886" s="121"/>
    </row>
    <row r="887" spans="2:12" x14ac:dyDescent="0.35">
      <c r="B887" s="111">
        <f t="shared" si="66"/>
        <v>877</v>
      </c>
      <c r="C887" s="64" t="s">
        <v>189</v>
      </c>
      <c r="D887" s="77" t="s">
        <v>27</v>
      </c>
      <c r="E887" s="78">
        <v>12.2</v>
      </c>
      <c r="F887" s="65"/>
      <c r="G887" s="65">
        <v>2928</v>
      </c>
      <c r="H887" s="65">
        <f t="shared" si="70"/>
        <v>2928</v>
      </c>
      <c r="I887" s="79">
        <f t="shared" si="67"/>
        <v>0</v>
      </c>
      <c r="J887" s="79">
        <f t="shared" si="68"/>
        <v>35721.599999999999</v>
      </c>
      <c r="K887" s="79">
        <f t="shared" si="69"/>
        <v>35721.599999999999</v>
      </c>
      <c r="L887" s="121"/>
    </row>
    <row r="888" spans="2:12" ht="31" x14ac:dyDescent="0.35">
      <c r="B888" s="111">
        <f t="shared" si="66"/>
        <v>878</v>
      </c>
      <c r="C888" s="80" t="s">
        <v>195</v>
      </c>
      <c r="D888" s="77" t="s">
        <v>27</v>
      </c>
      <c r="E888" s="78">
        <f>E887*1.1</f>
        <v>13.42</v>
      </c>
      <c r="F888" s="65">
        <v>855</v>
      </c>
      <c r="G888" s="65"/>
      <c r="H888" s="65">
        <f t="shared" si="70"/>
        <v>855</v>
      </c>
      <c r="I888" s="79">
        <f t="shared" si="67"/>
        <v>11474.1</v>
      </c>
      <c r="J888" s="79">
        <f t="shared" si="68"/>
        <v>0</v>
      </c>
      <c r="K888" s="79">
        <f t="shared" si="69"/>
        <v>11474.1</v>
      </c>
      <c r="L888" s="121"/>
    </row>
    <row r="889" spans="2:12" ht="33" x14ac:dyDescent="0.35">
      <c r="B889" s="111">
        <f t="shared" si="66"/>
        <v>879</v>
      </c>
      <c r="C889" s="64" t="s">
        <v>355</v>
      </c>
      <c r="D889" s="81" t="s">
        <v>26</v>
      </c>
      <c r="E889" s="78">
        <v>109.37</v>
      </c>
      <c r="F889" s="65"/>
      <c r="G889" s="65">
        <v>439</v>
      </c>
      <c r="H889" s="65">
        <f t="shared" si="70"/>
        <v>439</v>
      </c>
      <c r="I889" s="79">
        <f t="shared" si="67"/>
        <v>0</v>
      </c>
      <c r="J889" s="79">
        <f t="shared" si="68"/>
        <v>48013.43</v>
      </c>
      <c r="K889" s="79">
        <f t="shared" si="69"/>
        <v>48013.43</v>
      </c>
      <c r="L889" s="121"/>
    </row>
    <row r="890" spans="2:12" ht="45" x14ac:dyDescent="0.35">
      <c r="B890" s="111">
        <f t="shared" si="66"/>
        <v>880</v>
      </c>
      <c r="C890" s="98" t="s">
        <v>235</v>
      </c>
      <c r="D890" s="99" t="s">
        <v>27</v>
      </c>
      <c r="E890" s="100">
        <v>7.9</v>
      </c>
      <c r="F890" s="101"/>
      <c r="G890" s="101"/>
      <c r="H890" s="101">
        <f t="shared" si="70"/>
        <v>0</v>
      </c>
      <c r="I890" s="101">
        <f t="shared" si="67"/>
        <v>0</v>
      </c>
      <c r="J890" s="101">
        <f t="shared" si="68"/>
        <v>0</v>
      </c>
      <c r="K890" s="101">
        <f t="shared" si="69"/>
        <v>0</v>
      </c>
      <c r="L890" s="121"/>
    </row>
    <row r="891" spans="2:12" ht="31" x14ac:dyDescent="0.35">
      <c r="B891" s="111">
        <f t="shared" si="66"/>
        <v>881</v>
      </c>
      <c r="C891" s="64" t="s">
        <v>348</v>
      </c>
      <c r="D891" s="77" t="s">
        <v>26</v>
      </c>
      <c r="E891" s="78">
        <f>16.21*0.97</f>
        <v>15.723700000000001</v>
      </c>
      <c r="F891" s="65"/>
      <c r="G891" s="65">
        <v>300</v>
      </c>
      <c r="H891" s="65">
        <f t="shared" si="70"/>
        <v>300</v>
      </c>
      <c r="I891" s="79">
        <f t="shared" si="67"/>
        <v>0</v>
      </c>
      <c r="J891" s="79">
        <f t="shared" si="68"/>
        <v>4717.1099999999997</v>
      </c>
      <c r="K891" s="79">
        <f t="shared" si="69"/>
        <v>4717.1099999999997</v>
      </c>
      <c r="L891" s="121"/>
    </row>
    <row r="892" spans="2:12" x14ac:dyDescent="0.35">
      <c r="B892" s="111">
        <f t="shared" si="66"/>
        <v>882</v>
      </c>
      <c r="C892" s="64" t="s">
        <v>19</v>
      </c>
      <c r="D892" s="77" t="s">
        <v>26</v>
      </c>
      <c r="E892" s="78">
        <f>E891/97*3</f>
        <v>0.48630000000000007</v>
      </c>
      <c r="F892" s="65"/>
      <c r="G892" s="65">
        <v>1500</v>
      </c>
      <c r="H892" s="65">
        <f t="shared" si="70"/>
        <v>1500</v>
      </c>
      <c r="I892" s="79">
        <f t="shared" si="67"/>
        <v>0</v>
      </c>
      <c r="J892" s="79">
        <f t="shared" si="68"/>
        <v>729.45</v>
      </c>
      <c r="K892" s="79">
        <f t="shared" si="69"/>
        <v>729.45</v>
      </c>
      <c r="L892" s="121"/>
    </row>
    <row r="893" spans="2:12" x14ac:dyDescent="0.35">
      <c r="B893" s="111">
        <f t="shared" si="66"/>
        <v>883</v>
      </c>
      <c r="C893" s="64" t="s">
        <v>184</v>
      </c>
      <c r="D893" s="77" t="s">
        <v>25</v>
      </c>
      <c r="E893" s="78">
        <f>E890*0.7*2</f>
        <v>11.06</v>
      </c>
      <c r="F893" s="65"/>
      <c r="G893" s="65"/>
      <c r="H893" s="65">
        <f t="shared" si="70"/>
        <v>0</v>
      </c>
      <c r="I893" s="79">
        <f t="shared" si="67"/>
        <v>0</v>
      </c>
      <c r="J893" s="79">
        <f t="shared" si="68"/>
        <v>0</v>
      </c>
      <c r="K893" s="79">
        <f t="shared" si="69"/>
        <v>0</v>
      </c>
      <c r="L893" s="121"/>
    </row>
    <row r="894" spans="2:12" ht="31" x14ac:dyDescent="0.35">
      <c r="B894" s="111">
        <f t="shared" si="66"/>
        <v>884</v>
      </c>
      <c r="C894" s="64" t="s">
        <v>232</v>
      </c>
      <c r="D894" s="77" t="s">
        <v>25</v>
      </c>
      <c r="E894" s="78">
        <f>E890*0.45*2</f>
        <v>7.11</v>
      </c>
      <c r="F894" s="65">
        <f>1973*0.15</f>
        <v>295.95</v>
      </c>
      <c r="G894" s="65">
        <f>1500*0.15</f>
        <v>225</v>
      </c>
      <c r="H894" s="65">
        <f t="shared" si="70"/>
        <v>520.95000000000005</v>
      </c>
      <c r="I894" s="79">
        <f t="shared" si="67"/>
        <v>2104.1999999999998</v>
      </c>
      <c r="J894" s="79">
        <f t="shared" si="68"/>
        <v>1599.75</v>
      </c>
      <c r="K894" s="79">
        <f t="shared" si="69"/>
        <v>3703.95</v>
      </c>
      <c r="L894" s="121"/>
    </row>
    <row r="895" spans="2:12" x14ac:dyDescent="0.35">
      <c r="B895" s="111">
        <f t="shared" si="66"/>
        <v>885</v>
      </c>
      <c r="C895" s="64" t="s">
        <v>20</v>
      </c>
      <c r="D895" s="77" t="s">
        <v>26</v>
      </c>
      <c r="E895" s="78">
        <f>0.32*2*E890*0.1</f>
        <v>0.50560000000000005</v>
      </c>
      <c r="F895" s="65"/>
      <c r="G895" s="65">
        <v>5860</v>
      </c>
      <c r="H895" s="65">
        <f t="shared" si="70"/>
        <v>5860</v>
      </c>
      <c r="I895" s="79">
        <f t="shared" si="67"/>
        <v>0</v>
      </c>
      <c r="J895" s="79">
        <f t="shared" si="68"/>
        <v>2962.82</v>
      </c>
      <c r="K895" s="79">
        <f t="shared" si="69"/>
        <v>2962.82</v>
      </c>
      <c r="L895" s="121"/>
    </row>
    <row r="896" spans="2:12" x14ac:dyDescent="0.35">
      <c r="B896" s="111">
        <f t="shared" si="66"/>
        <v>886</v>
      </c>
      <c r="C896" s="80" t="s">
        <v>159</v>
      </c>
      <c r="D896" s="77" t="s">
        <v>26</v>
      </c>
      <c r="E896" s="78">
        <f>E895*1.02</f>
        <v>0.51571200000000006</v>
      </c>
      <c r="F896" s="65">
        <v>6700</v>
      </c>
      <c r="G896" s="65"/>
      <c r="H896" s="65">
        <f t="shared" si="70"/>
        <v>6700</v>
      </c>
      <c r="I896" s="79">
        <f t="shared" si="67"/>
        <v>3455.27</v>
      </c>
      <c r="J896" s="79">
        <f t="shared" si="68"/>
        <v>0</v>
      </c>
      <c r="K896" s="79">
        <f t="shared" si="69"/>
        <v>3455.27</v>
      </c>
      <c r="L896" s="121"/>
    </row>
    <row r="897" spans="2:12" x14ac:dyDescent="0.35">
      <c r="B897" s="111">
        <f t="shared" si="66"/>
        <v>887</v>
      </c>
      <c r="C897" s="64" t="s">
        <v>28</v>
      </c>
      <c r="D897" s="77" t="s">
        <v>26</v>
      </c>
      <c r="E897" s="78">
        <f>0.73*2*E890*0.1</f>
        <v>1.1534000000000002</v>
      </c>
      <c r="F897" s="65"/>
      <c r="G897" s="65">
        <v>5860</v>
      </c>
      <c r="H897" s="65">
        <f t="shared" si="70"/>
        <v>5860</v>
      </c>
      <c r="I897" s="79">
        <f t="shared" si="67"/>
        <v>0</v>
      </c>
      <c r="J897" s="79">
        <f t="shared" si="68"/>
        <v>6758.92</v>
      </c>
      <c r="K897" s="79">
        <f t="shared" si="69"/>
        <v>6758.92</v>
      </c>
      <c r="L897" s="121"/>
    </row>
    <row r="898" spans="2:12" x14ac:dyDescent="0.35">
      <c r="B898" s="111">
        <f t="shared" si="66"/>
        <v>888</v>
      </c>
      <c r="C898" s="80" t="s">
        <v>29</v>
      </c>
      <c r="D898" s="77" t="s">
        <v>26</v>
      </c>
      <c r="E898" s="78">
        <f>E897*1.02</f>
        <v>1.1764680000000003</v>
      </c>
      <c r="F898" s="65">
        <v>7100</v>
      </c>
      <c r="G898" s="65"/>
      <c r="H898" s="65">
        <f t="shared" si="70"/>
        <v>7100</v>
      </c>
      <c r="I898" s="79">
        <f t="shared" si="67"/>
        <v>8352.92</v>
      </c>
      <c r="J898" s="79">
        <f t="shared" si="68"/>
        <v>0</v>
      </c>
      <c r="K898" s="79">
        <f t="shared" si="69"/>
        <v>8352.92</v>
      </c>
      <c r="L898" s="121"/>
    </row>
    <row r="899" spans="2:12" x14ac:dyDescent="0.35">
      <c r="B899" s="111">
        <f t="shared" si="66"/>
        <v>889</v>
      </c>
      <c r="C899" s="80" t="s">
        <v>30</v>
      </c>
      <c r="D899" s="77" t="s">
        <v>31</v>
      </c>
      <c r="E899" s="78">
        <f>31.39*E890*0.1*2</f>
        <v>49.59620000000001</v>
      </c>
      <c r="F899" s="65">
        <v>118.9</v>
      </c>
      <c r="G899" s="65"/>
      <c r="H899" s="65">
        <f t="shared" si="70"/>
        <v>118.9</v>
      </c>
      <c r="I899" s="79">
        <f t="shared" si="67"/>
        <v>5896.99</v>
      </c>
      <c r="J899" s="79">
        <f t="shared" si="68"/>
        <v>0</v>
      </c>
      <c r="K899" s="79">
        <f t="shared" si="69"/>
        <v>5896.99</v>
      </c>
      <c r="L899" s="121"/>
    </row>
    <row r="900" spans="2:12" x14ac:dyDescent="0.35">
      <c r="B900" s="111">
        <f t="shared" si="66"/>
        <v>890</v>
      </c>
      <c r="C900" s="64" t="s">
        <v>233</v>
      </c>
      <c r="D900" s="77" t="s">
        <v>27</v>
      </c>
      <c r="E900" s="78">
        <f>E890</f>
        <v>7.9</v>
      </c>
      <c r="F900" s="65"/>
      <c r="G900" s="65">
        <v>6000</v>
      </c>
      <c r="H900" s="65">
        <f t="shared" si="70"/>
        <v>6000</v>
      </c>
      <c r="I900" s="79">
        <f t="shared" si="67"/>
        <v>0</v>
      </c>
      <c r="J900" s="79">
        <f t="shared" si="68"/>
        <v>47400</v>
      </c>
      <c r="K900" s="79">
        <f t="shared" si="69"/>
        <v>47400</v>
      </c>
      <c r="L900" s="121"/>
    </row>
    <row r="901" spans="2:12" x14ac:dyDescent="0.35">
      <c r="B901" s="111">
        <f t="shared" si="66"/>
        <v>891</v>
      </c>
      <c r="C901" s="80" t="s">
        <v>353</v>
      </c>
      <c r="D901" s="77" t="s">
        <v>27</v>
      </c>
      <c r="E901" s="78">
        <f>E900*1.1*2</f>
        <v>17.380000000000003</v>
      </c>
      <c r="F901" s="65">
        <v>800</v>
      </c>
      <c r="G901" s="65"/>
      <c r="H901" s="65">
        <f t="shared" si="70"/>
        <v>800</v>
      </c>
      <c r="I901" s="79">
        <f t="shared" si="67"/>
        <v>13904</v>
      </c>
      <c r="J901" s="79">
        <f t="shared" si="68"/>
        <v>0</v>
      </c>
      <c r="K901" s="79">
        <f t="shared" si="69"/>
        <v>13904</v>
      </c>
      <c r="L901" s="121"/>
    </row>
    <row r="902" spans="2:12" ht="33" x14ac:dyDescent="0.35">
      <c r="B902" s="111">
        <f t="shared" si="66"/>
        <v>892</v>
      </c>
      <c r="C902" s="64" t="s">
        <v>355</v>
      </c>
      <c r="D902" s="81" t="s">
        <v>26</v>
      </c>
      <c r="E902" s="78">
        <v>9.86</v>
      </c>
      <c r="F902" s="65"/>
      <c r="G902" s="65">
        <v>439</v>
      </c>
      <c r="H902" s="65">
        <f t="shared" si="70"/>
        <v>439</v>
      </c>
      <c r="I902" s="79">
        <f t="shared" si="67"/>
        <v>0</v>
      </c>
      <c r="J902" s="79">
        <f t="shared" si="68"/>
        <v>4328.54</v>
      </c>
      <c r="K902" s="79">
        <f t="shared" si="69"/>
        <v>4328.54</v>
      </c>
      <c r="L902" s="121"/>
    </row>
    <row r="903" spans="2:12" ht="24" customHeight="1" x14ac:dyDescent="0.35">
      <c r="B903" s="111">
        <f t="shared" si="66"/>
        <v>893</v>
      </c>
      <c r="C903" s="98" t="s">
        <v>236</v>
      </c>
      <c r="D903" s="103" t="s">
        <v>32</v>
      </c>
      <c r="E903" s="100">
        <v>1</v>
      </c>
      <c r="F903" s="101"/>
      <c r="G903" s="101"/>
      <c r="H903" s="101">
        <f t="shared" si="70"/>
        <v>0</v>
      </c>
      <c r="I903" s="101">
        <f t="shared" si="67"/>
        <v>0</v>
      </c>
      <c r="J903" s="101">
        <f t="shared" si="68"/>
        <v>0</v>
      </c>
      <c r="K903" s="101">
        <f t="shared" si="69"/>
        <v>0</v>
      </c>
      <c r="L903" s="121"/>
    </row>
    <row r="904" spans="2:12" ht="31" x14ac:dyDescent="0.35">
      <c r="B904" s="111">
        <f t="shared" si="66"/>
        <v>894</v>
      </c>
      <c r="C904" s="64" t="s">
        <v>348</v>
      </c>
      <c r="D904" s="81" t="s">
        <v>26</v>
      </c>
      <c r="E904" s="78">
        <f>7.29*0.97</f>
        <v>7.0712999999999999</v>
      </c>
      <c r="F904" s="65"/>
      <c r="G904" s="65">
        <v>300</v>
      </c>
      <c r="H904" s="65">
        <f t="shared" si="70"/>
        <v>300</v>
      </c>
      <c r="I904" s="79">
        <f t="shared" si="67"/>
        <v>0</v>
      </c>
      <c r="J904" s="79">
        <f t="shared" si="68"/>
        <v>2121.39</v>
      </c>
      <c r="K904" s="79">
        <f t="shared" si="69"/>
        <v>2121.39</v>
      </c>
      <c r="L904" s="121"/>
    </row>
    <row r="905" spans="2:12" x14ac:dyDescent="0.35">
      <c r="B905" s="111">
        <f t="shared" si="66"/>
        <v>895</v>
      </c>
      <c r="C905" s="64" t="s">
        <v>19</v>
      </c>
      <c r="D905" s="81" t="s">
        <v>26</v>
      </c>
      <c r="E905" s="78">
        <f>E904/9</f>
        <v>0.78569999999999995</v>
      </c>
      <c r="F905" s="65"/>
      <c r="G905" s="65">
        <v>1500</v>
      </c>
      <c r="H905" s="65">
        <f t="shared" si="70"/>
        <v>1500</v>
      </c>
      <c r="I905" s="79">
        <f t="shared" si="67"/>
        <v>0</v>
      </c>
      <c r="J905" s="79">
        <f t="shared" si="68"/>
        <v>1178.55</v>
      </c>
      <c r="K905" s="79">
        <f t="shared" si="69"/>
        <v>1178.55</v>
      </c>
      <c r="L905" s="121"/>
    </row>
    <row r="906" spans="2:12" x14ac:dyDescent="0.35">
      <c r="B906" s="111">
        <f t="shared" si="66"/>
        <v>896</v>
      </c>
      <c r="C906" s="64" t="s">
        <v>67</v>
      </c>
      <c r="D906" s="81" t="s">
        <v>25</v>
      </c>
      <c r="E906" s="78">
        <f>(3.14*2.4^2)/4</f>
        <v>4.5216000000000003</v>
      </c>
      <c r="F906" s="65"/>
      <c r="G906" s="65"/>
      <c r="H906" s="65">
        <f t="shared" si="70"/>
        <v>0</v>
      </c>
      <c r="I906" s="79">
        <f t="shared" si="67"/>
        <v>0</v>
      </c>
      <c r="J906" s="79">
        <f t="shared" si="68"/>
        <v>0</v>
      </c>
      <c r="K906" s="79">
        <f t="shared" si="69"/>
        <v>0</v>
      </c>
      <c r="L906" s="121"/>
    </row>
    <row r="907" spans="2:12" x14ac:dyDescent="0.35">
      <c r="B907" s="111">
        <f t="shared" si="66"/>
        <v>897</v>
      </c>
      <c r="C907" s="64" t="s">
        <v>68</v>
      </c>
      <c r="D907" s="81" t="s">
        <v>26</v>
      </c>
      <c r="E907" s="78">
        <f>(3.14*2^2)/4*0.1</f>
        <v>0.31400000000000006</v>
      </c>
      <c r="F907" s="65"/>
      <c r="G907" s="65">
        <v>5860</v>
      </c>
      <c r="H907" s="65">
        <f t="shared" si="70"/>
        <v>5860</v>
      </c>
      <c r="I907" s="79">
        <f t="shared" si="67"/>
        <v>0</v>
      </c>
      <c r="J907" s="79">
        <f t="shared" si="68"/>
        <v>1840.04</v>
      </c>
      <c r="K907" s="79">
        <f t="shared" si="69"/>
        <v>1840.04</v>
      </c>
      <c r="L907" s="121"/>
    </row>
    <row r="908" spans="2:12" x14ac:dyDescent="0.35">
      <c r="B908" s="111">
        <f t="shared" si="66"/>
        <v>898</v>
      </c>
      <c r="C908" s="80" t="s">
        <v>159</v>
      </c>
      <c r="D908" s="81" t="s">
        <v>26</v>
      </c>
      <c r="E908" s="78">
        <f>E907*1.02</f>
        <v>0.32028000000000006</v>
      </c>
      <c r="F908" s="65">
        <v>6700</v>
      </c>
      <c r="G908" s="65"/>
      <c r="H908" s="65">
        <f t="shared" si="70"/>
        <v>6700</v>
      </c>
      <c r="I908" s="79">
        <f t="shared" si="67"/>
        <v>2145.88</v>
      </c>
      <c r="J908" s="79">
        <f t="shared" si="68"/>
        <v>0</v>
      </c>
      <c r="K908" s="79">
        <f t="shared" si="69"/>
        <v>2145.88</v>
      </c>
      <c r="L908" s="121"/>
    </row>
    <row r="909" spans="2:12" x14ac:dyDescent="0.35">
      <c r="B909" s="111">
        <f t="shared" ref="B909:B972" si="71">B908+1</f>
        <v>899</v>
      </c>
      <c r="C909" s="64" t="s">
        <v>151</v>
      </c>
      <c r="D909" s="81" t="s">
        <v>25</v>
      </c>
      <c r="E909" s="78">
        <f>(3.14*2^2)/4</f>
        <v>3.14</v>
      </c>
      <c r="F909" s="65">
        <v>68.5</v>
      </c>
      <c r="G909" s="65">
        <v>150</v>
      </c>
      <c r="H909" s="65">
        <f t="shared" si="70"/>
        <v>218.5</v>
      </c>
      <c r="I909" s="79">
        <f t="shared" ref="I909:I972" si="72">ROUND(F909*E909,2)</f>
        <v>215.09</v>
      </c>
      <c r="J909" s="79">
        <f t="shared" ref="J909:J972" si="73">ROUND(G909*E909,2)</f>
        <v>471</v>
      </c>
      <c r="K909" s="79">
        <f t="shared" ref="K909:K972" si="74">I909+J909</f>
        <v>686.09</v>
      </c>
      <c r="L909" s="121"/>
    </row>
    <row r="910" spans="2:12" ht="31" x14ac:dyDescent="0.35">
      <c r="B910" s="111">
        <f t="shared" si="71"/>
        <v>900</v>
      </c>
      <c r="C910" s="64" t="s">
        <v>152</v>
      </c>
      <c r="D910" s="81" t="s">
        <v>25</v>
      </c>
      <c r="E910" s="78">
        <f>E909</f>
        <v>3.14</v>
      </c>
      <c r="F910" s="65">
        <v>927</v>
      </c>
      <c r="G910" s="65">
        <v>400</v>
      </c>
      <c r="H910" s="65">
        <f t="shared" si="70"/>
        <v>1327</v>
      </c>
      <c r="I910" s="79">
        <f t="shared" si="72"/>
        <v>2910.78</v>
      </c>
      <c r="J910" s="79">
        <f t="shared" si="73"/>
        <v>1256</v>
      </c>
      <c r="K910" s="79">
        <f t="shared" si="74"/>
        <v>4166.7800000000007</v>
      </c>
      <c r="L910" s="121"/>
    </row>
    <row r="911" spans="2:12" ht="31" x14ac:dyDescent="0.35">
      <c r="B911" s="111">
        <f t="shared" si="71"/>
        <v>901</v>
      </c>
      <c r="C911" s="64" t="s">
        <v>107</v>
      </c>
      <c r="D911" s="81" t="s">
        <v>32</v>
      </c>
      <c r="E911" s="78">
        <v>1</v>
      </c>
      <c r="F911" s="65"/>
      <c r="G911" s="65">
        <v>5662</v>
      </c>
      <c r="H911" s="65">
        <f t="shared" ref="H911:H974" si="75">F911+G911</f>
        <v>5662</v>
      </c>
      <c r="I911" s="79">
        <f t="shared" si="72"/>
        <v>0</v>
      </c>
      <c r="J911" s="79">
        <f t="shared" si="73"/>
        <v>5662</v>
      </c>
      <c r="K911" s="79">
        <f t="shared" si="74"/>
        <v>5662</v>
      </c>
      <c r="L911" s="121"/>
    </row>
    <row r="912" spans="2:12" x14ac:dyDescent="0.35">
      <c r="B912" s="111">
        <f t="shared" si="71"/>
        <v>902</v>
      </c>
      <c r="C912" s="82" t="s">
        <v>108</v>
      </c>
      <c r="D912" s="81" t="s">
        <v>32</v>
      </c>
      <c r="E912" s="78">
        <v>1</v>
      </c>
      <c r="F912" s="65">
        <f>6000*1.2</f>
        <v>7200</v>
      </c>
      <c r="G912" s="65"/>
      <c r="H912" s="65">
        <f t="shared" si="75"/>
        <v>7200</v>
      </c>
      <c r="I912" s="79">
        <f t="shared" si="72"/>
        <v>7200</v>
      </c>
      <c r="J912" s="79">
        <f t="shared" si="73"/>
        <v>0</v>
      </c>
      <c r="K912" s="79">
        <f t="shared" si="74"/>
        <v>7200</v>
      </c>
      <c r="L912" s="121"/>
    </row>
    <row r="913" spans="2:12" x14ac:dyDescent="0.35">
      <c r="B913" s="111">
        <f t="shared" si="71"/>
        <v>903</v>
      </c>
      <c r="C913" s="82" t="s">
        <v>101</v>
      </c>
      <c r="D913" s="81" t="s">
        <v>26</v>
      </c>
      <c r="E913" s="78">
        <f>((3.14*2^2)/4*0.02)*1.02</f>
        <v>6.4056000000000016E-2</v>
      </c>
      <c r="F913" s="65">
        <v>7300</v>
      </c>
      <c r="G913" s="65"/>
      <c r="H913" s="65">
        <f t="shared" si="75"/>
        <v>7300</v>
      </c>
      <c r="I913" s="79">
        <f t="shared" si="72"/>
        <v>467.61</v>
      </c>
      <c r="J913" s="79">
        <f t="shared" si="73"/>
        <v>0</v>
      </c>
      <c r="K913" s="79">
        <f t="shared" si="74"/>
        <v>467.61</v>
      </c>
      <c r="L913" s="121"/>
    </row>
    <row r="914" spans="2:12" ht="31" x14ac:dyDescent="0.35">
      <c r="B914" s="111">
        <f t="shared" si="71"/>
        <v>904</v>
      </c>
      <c r="C914" s="64" t="s">
        <v>179</v>
      </c>
      <c r="D914" s="81" t="s">
        <v>26</v>
      </c>
      <c r="E914" s="78">
        <v>1.2</v>
      </c>
      <c r="F914" s="65"/>
      <c r="G914" s="65">
        <v>5860</v>
      </c>
      <c r="H914" s="65">
        <f t="shared" si="75"/>
        <v>5860</v>
      </c>
      <c r="I914" s="79">
        <f t="shared" si="72"/>
        <v>0</v>
      </c>
      <c r="J914" s="79">
        <f t="shared" si="73"/>
        <v>7032</v>
      </c>
      <c r="K914" s="79">
        <f t="shared" si="74"/>
        <v>7032</v>
      </c>
      <c r="L914" s="121"/>
    </row>
    <row r="915" spans="2:12" x14ac:dyDescent="0.35">
      <c r="B915" s="111">
        <f t="shared" si="71"/>
        <v>905</v>
      </c>
      <c r="C915" s="82" t="s">
        <v>75</v>
      </c>
      <c r="D915" s="81" t="s">
        <v>26</v>
      </c>
      <c r="E915" s="78">
        <f>E914*1.02</f>
        <v>1.224</v>
      </c>
      <c r="F915" s="65">
        <v>7100</v>
      </c>
      <c r="G915" s="65"/>
      <c r="H915" s="65">
        <f t="shared" si="75"/>
        <v>7100</v>
      </c>
      <c r="I915" s="79">
        <f t="shared" si="72"/>
        <v>8690.4</v>
      </c>
      <c r="J915" s="79">
        <f t="shared" si="73"/>
        <v>0</v>
      </c>
      <c r="K915" s="79">
        <f t="shared" si="74"/>
        <v>8690.4</v>
      </c>
      <c r="L915" s="121"/>
    </row>
    <row r="916" spans="2:12" ht="31" x14ac:dyDescent="0.35">
      <c r="B916" s="111">
        <f t="shared" si="71"/>
        <v>906</v>
      </c>
      <c r="C916" s="64" t="s">
        <v>78</v>
      </c>
      <c r="D916" s="81" t="s">
        <v>32</v>
      </c>
      <c r="E916" s="78">
        <v>4</v>
      </c>
      <c r="F916" s="65"/>
      <c r="G916" s="65">
        <v>5662</v>
      </c>
      <c r="H916" s="65">
        <f t="shared" si="75"/>
        <v>5662</v>
      </c>
      <c r="I916" s="79">
        <f t="shared" si="72"/>
        <v>0</v>
      </c>
      <c r="J916" s="79">
        <f t="shared" si="73"/>
        <v>22648</v>
      </c>
      <c r="K916" s="79">
        <f t="shared" si="74"/>
        <v>22648</v>
      </c>
      <c r="L916" s="121"/>
    </row>
    <row r="917" spans="2:12" x14ac:dyDescent="0.35">
      <c r="B917" s="111">
        <f t="shared" si="71"/>
        <v>907</v>
      </c>
      <c r="C917" s="82" t="s">
        <v>110</v>
      </c>
      <c r="D917" s="81" t="s">
        <v>32</v>
      </c>
      <c r="E917" s="78">
        <v>2</v>
      </c>
      <c r="F917" s="65">
        <f>4500*1.2</f>
        <v>5400</v>
      </c>
      <c r="G917" s="65"/>
      <c r="H917" s="65">
        <f t="shared" si="75"/>
        <v>5400</v>
      </c>
      <c r="I917" s="79">
        <f t="shared" si="72"/>
        <v>10800</v>
      </c>
      <c r="J917" s="79">
        <f t="shared" si="73"/>
        <v>0</v>
      </c>
      <c r="K917" s="79">
        <f t="shared" si="74"/>
        <v>10800</v>
      </c>
      <c r="L917" s="121"/>
    </row>
    <row r="918" spans="2:12" ht="31" x14ac:dyDescent="0.35">
      <c r="B918" s="111">
        <f t="shared" si="71"/>
        <v>908</v>
      </c>
      <c r="C918" s="64" t="s">
        <v>85</v>
      </c>
      <c r="D918" s="81" t="s">
        <v>32</v>
      </c>
      <c r="E918" s="78">
        <v>1</v>
      </c>
      <c r="F918" s="65"/>
      <c r="G918" s="65">
        <v>2500</v>
      </c>
      <c r="H918" s="65">
        <f t="shared" si="75"/>
        <v>2500</v>
      </c>
      <c r="I918" s="79">
        <f t="shared" si="72"/>
        <v>0</v>
      </c>
      <c r="J918" s="79">
        <f t="shared" si="73"/>
        <v>2500</v>
      </c>
      <c r="K918" s="79">
        <f t="shared" si="74"/>
        <v>2500</v>
      </c>
      <c r="L918" s="121"/>
    </row>
    <row r="919" spans="2:12" x14ac:dyDescent="0.35">
      <c r="B919" s="111">
        <f t="shared" si="71"/>
        <v>909</v>
      </c>
      <c r="C919" s="82" t="s">
        <v>154</v>
      </c>
      <c r="D919" s="81" t="s">
        <v>32</v>
      </c>
      <c r="E919" s="78">
        <v>1</v>
      </c>
      <c r="F919" s="65">
        <f>5500*1.2</f>
        <v>6600</v>
      </c>
      <c r="G919" s="65"/>
      <c r="H919" s="65">
        <f t="shared" si="75"/>
        <v>6600</v>
      </c>
      <c r="I919" s="79">
        <f t="shared" si="72"/>
        <v>6600</v>
      </c>
      <c r="J919" s="79">
        <f t="shared" si="73"/>
        <v>0</v>
      </c>
      <c r="K919" s="79">
        <f t="shared" si="74"/>
        <v>6600</v>
      </c>
      <c r="L919" s="121"/>
    </row>
    <row r="920" spans="2:12" x14ac:dyDescent="0.35">
      <c r="B920" s="111">
        <f t="shared" si="71"/>
        <v>910</v>
      </c>
      <c r="C920" s="80" t="s">
        <v>301</v>
      </c>
      <c r="D920" s="81" t="s">
        <v>32</v>
      </c>
      <c r="E920" s="78">
        <v>1</v>
      </c>
      <c r="F920" s="65">
        <v>6000</v>
      </c>
      <c r="G920" s="65">
        <v>1464.09</v>
      </c>
      <c r="H920" s="65">
        <f t="shared" si="75"/>
        <v>7464.09</v>
      </c>
      <c r="I920" s="79">
        <f t="shared" si="72"/>
        <v>6000</v>
      </c>
      <c r="J920" s="79">
        <f t="shared" si="73"/>
        <v>1464.09</v>
      </c>
      <c r="K920" s="79">
        <f t="shared" si="74"/>
        <v>7464.09</v>
      </c>
      <c r="L920" s="121"/>
    </row>
    <row r="921" spans="2:12" ht="31" x14ac:dyDescent="0.35">
      <c r="B921" s="111">
        <f t="shared" si="71"/>
        <v>911</v>
      </c>
      <c r="C921" s="64" t="s">
        <v>156</v>
      </c>
      <c r="D921" s="81" t="s">
        <v>25</v>
      </c>
      <c r="E921" s="78">
        <f>(3.14*1.68)*1.74+2.22</f>
        <v>11.398848000000001</v>
      </c>
      <c r="F921" s="65">
        <v>68.5</v>
      </c>
      <c r="G921" s="65">
        <v>150</v>
      </c>
      <c r="H921" s="65">
        <f t="shared" si="75"/>
        <v>218.5</v>
      </c>
      <c r="I921" s="79">
        <f t="shared" si="72"/>
        <v>780.82</v>
      </c>
      <c r="J921" s="79">
        <f t="shared" si="73"/>
        <v>1709.83</v>
      </c>
      <c r="K921" s="79">
        <f t="shared" si="74"/>
        <v>2490.65</v>
      </c>
      <c r="L921" s="121"/>
    </row>
    <row r="922" spans="2:12" ht="46.5" x14ac:dyDescent="0.35">
      <c r="B922" s="111">
        <f t="shared" si="71"/>
        <v>912</v>
      </c>
      <c r="C922" s="64" t="s">
        <v>157</v>
      </c>
      <c r="D922" s="81" t="s">
        <v>25</v>
      </c>
      <c r="E922" s="78">
        <f>(3.14*1.68)*1.74+2.22</f>
        <v>11.398848000000001</v>
      </c>
      <c r="F922" s="65">
        <v>927</v>
      </c>
      <c r="G922" s="65">
        <v>400</v>
      </c>
      <c r="H922" s="65">
        <f t="shared" si="75"/>
        <v>1327</v>
      </c>
      <c r="I922" s="79">
        <f t="shared" si="72"/>
        <v>10566.73</v>
      </c>
      <c r="J922" s="79">
        <f t="shared" si="73"/>
        <v>4559.54</v>
      </c>
      <c r="K922" s="79">
        <f t="shared" si="74"/>
        <v>15126.27</v>
      </c>
      <c r="L922" s="121"/>
    </row>
    <row r="923" spans="2:12" x14ac:dyDescent="0.35">
      <c r="B923" s="111">
        <f t="shared" si="71"/>
        <v>913</v>
      </c>
      <c r="C923" s="64" t="s">
        <v>302</v>
      </c>
      <c r="D923" s="81" t="s">
        <v>32</v>
      </c>
      <c r="E923" s="78">
        <v>1</v>
      </c>
      <c r="F923" s="65"/>
      <c r="G923" s="65"/>
      <c r="H923" s="65">
        <f t="shared" si="75"/>
        <v>0</v>
      </c>
      <c r="I923" s="79">
        <f t="shared" si="72"/>
        <v>0</v>
      </c>
      <c r="J923" s="79">
        <f t="shared" si="73"/>
        <v>0</v>
      </c>
      <c r="K923" s="79">
        <f t="shared" si="74"/>
        <v>0</v>
      </c>
      <c r="L923" s="121"/>
    </row>
    <row r="924" spans="2:12" x14ac:dyDescent="0.35">
      <c r="B924" s="111">
        <f t="shared" si="71"/>
        <v>914</v>
      </c>
      <c r="C924" s="82" t="s">
        <v>303</v>
      </c>
      <c r="D924" s="81" t="s">
        <v>31</v>
      </c>
      <c r="E924" s="78">
        <v>13.84</v>
      </c>
      <c r="F924" s="68">
        <v>71</v>
      </c>
      <c r="G924" s="65">
        <v>97.61</v>
      </c>
      <c r="H924" s="65">
        <f t="shared" si="75"/>
        <v>168.61</v>
      </c>
      <c r="I924" s="79">
        <f t="shared" si="72"/>
        <v>982.64</v>
      </c>
      <c r="J924" s="79">
        <f t="shared" si="73"/>
        <v>1350.92</v>
      </c>
      <c r="K924" s="79">
        <f t="shared" si="74"/>
        <v>2333.56</v>
      </c>
      <c r="L924" s="121"/>
    </row>
    <row r="925" spans="2:12" x14ac:dyDescent="0.35">
      <c r="B925" s="111">
        <f t="shared" si="71"/>
        <v>915</v>
      </c>
      <c r="C925" s="64" t="s">
        <v>93</v>
      </c>
      <c r="D925" s="81" t="s">
        <v>32</v>
      </c>
      <c r="E925" s="78">
        <v>1</v>
      </c>
      <c r="F925" s="65"/>
      <c r="G925" s="65"/>
      <c r="H925" s="65">
        <f t="shared" si="75"/>
        <v>0</v>
      </c>
      <c r="I925" s="79">
        <f t="shared" si="72"/>
        <v>0</v>
      </c>
      <c r="J925" s="79">
        <f t="shared" si="73"/>
        <v>0</v>
      </c>
      <c r="K925" s="79">
        <f t="shared" si="74"/>
        <v>0</v>
      </c>
      <c r="L925" s="121"/>
    </row>
    <row r="926" spans="2:12" x14ac:dyDescent="0.35">
      <c r="B926" s="111">
        <f t="shared" si="71"/>
        <v>916</v>
      </c>
      <c r="C926" s="82" t="s">
        <v>94</v>
      </c>
      <c r="D926" s="81" t="s">
        <v>31</v>
      </c>
      <c r="E926" s="78">
        <v>0.82</v>
      </c>
      <c r="F926" s="68">
        <v>71</v>
      </c>
      <c r="G926" s="65">
        <v>97.61</v>
      </c>
      <c r="H926" s="65">
        <f t="shared" si="75"/>
        <v>168.61</v>
      </c>
      <c r="I926" s="79">
        <f t="shared" si="72"/>
        <v>58.22</v>
      </c>
      <c r="J926" s="79">
        <f t="shared" si="73"/>
        <v>80.040000000000006</v>
      </c>
      <c r="K926" s="79">
        <f t="shared" si="74"/>
        <v>138.26</v>
      </c>
      <c r="L926" s="121"/>
    </row>
    <row r="927" spans="2:12" ht="31" x14ac:dyDescent="0.35">
      <c r="B927" s="111">
        <f t="shared" si="71"/>
        <v>917</v>
      </c>
      <c r="C927" s="64" t="s">
        <v>153</v>
      </c>
      <c r="D927" s="81" t="s">
        <v>32</v>
      </c>
      <c r="E927" s="78">
        <v>3</v>
      </c>
      <c r="F927" s="65"/>
      <c r="G927" s="65">
        <v>1464</v>
      </c>
      <c r="H927" s="65">
        <f t="shared" si="75"/>
        <v>1464</v>
      </c>
      <c r="I927" s="79">
        <f t="shared" si="72"/>
        <v>0</v>
      </c>
      <c r="J927" s="79">
        <f t="shared" si="73"/>
        <v>4392</v>
      </c>
      <c r="K927" s="79">
        <f t="shared" si="74"/>
        <v>4392</v>
      </c>
      <c r="L927" s="121"/>
    </row>
    <row r="928" spans="2:12" x14ac:dyDescent="0.35">
      <c r="B928" s="111">
        <f t="shared" si="71"/>
        <v>918</v>
      </c>
      <c r="C928" s="64" t="s">
        <v>327</v>
      </c>
      <c r="D928" s="81"/>
      <c r="E928" s="78"/>
      <c r="F928" s="65"/>
      <c r="G928" s="65"/>
      <c r="H928" s="65">
        <f t="shared" si="75"/>
        <v>0</v>
      </c>
      <c r="I928" s="79">
        <f t="shared" si="72"/>
        <v>0</v>
      </c>
      <c r="J928" s="79">
        <f t="shared" si="73"/>
        <v>0</v>
      </c>
      <c r="K928" s="79">
        <f t="shared" si="74"/>
        <v>0</v>
      </c>
      <c r="L928" s="121">
        <v>1</v>
      </c>
    </row>
    <row r="929" spans="2:12" ht="31" x14ac:dyDescent="0.35">
      <c r="B929" s="111">
        <f t="shared" si="71"/>
        <v>919</v>
      </c>
      <c r="C929" s="80" t="s">
        <v>309</v>
      </c>
      <c r="D929" s="81" t="s">
        <v>32</v>
      </c>
      <c r="E929" s="78">
        <v>1</v>
      </c>
      <c r="F929" s="65">
        <v>2263</v>
      </c>
      <c r="G929" s="65">
        <v>1700</v>
      </c>
      <c r="H929" s="65">
        <f t="shared" si="75"/>
        <v>3963</v>
      </c>
      <c r="I929" s="79">
        <f t="shared" si="72"/>
        <v>2263</v>
      </c>
      <c r="J929" s="79">
        <f t="shared" si="73"/>
        <v>1700</v>
      </c>
      <c r="K929" s="79">
        <f t="shared" si="74"/>
        <v>3963</v>
      </c>
      <c r="L929" s="121"/>
    </row>
    <row r="930" spans="2:12" ht="31" x14ac:dyDescent="0.35">
      <c r="B930" s="111">
        <f t="shared" si="71"/>
        <v>920</v>
      </c>
      <c r="C930" s="80" t="s">
        <v>310</v>
      </c>
      <c r="D930" s="81" t="s">
        <v>32</v>
      </c>
      <c r="E930" s="78">
        <v>1</v>
      </c>
      <c r="F930" s="65">
        <v>1303</v>
      </c>
      <c r="G930" s="65">
        <v>1700</v>
      </c>
      <c r="H930" s="65">
        <f t="shared" si="75"/>
        <v>3003</v>
      </c>
      <c r="I930" s="79">
        <f t="shared" si="72"/>
        <v>1303</v>
      </c>
      <c r="J930" s="79">
        <f t="shared" si="73"/>
        <v>1700</v>
      </c>
      <c r="K930" s="79">
        <f t="shared" si="74"/>
        <v>3003</v>
      </c>
      <c r="L930" s="121"/>
    </row>
    <row r="931" spans="2:12" ht="31" x14ac:dyDescent="0.35">
      <c r="B931" s="111">
        <f t="shared" si="71"/>
        <v>921</v>
      </c>
      <c r="C931" s="80" t="s">
        <v>63</v>
      </c>
      <c r="D931" s="81" t="s">
        <v>27</v>
      </c>
      <c r="E931" s="78">
        <f>0.32*1.1</f>
        <v>0.35200000000000004</v>
      </c>
      <c r="F931" s="65">
        <v>855</v>
      </c>
      <c r="G931" s="65">
        <v>1700</v>
      </c>
      <c r="H931" s="65">
        <f t="shared" si="75"/>
        <v>2555</v>
      </c>
      <c r="I931" s="79">
        <f t="shared" si="72"/>
        <v>300.95999999999998</v>
      </c>
      <c r="J931" s="79">
        <f t="shared" si="73"/>
        <v>598.4</v>
      </c>
      <c r="K931" s="79">
        <f t="shared" si="74"/>
        <v>899.3599999999999</v>
      </c>
      <c r="L931" s="121"/>
    </row>
    <row r="932" spans="2:12" ht="33" x14ac:dyDescent="0.35">
      <c r="B932" s="111">
        <f t="shared" si="71"/>
        <v>922</v>
      </c>
      <c r="C932" s="64" t="s">
        <v>362</v>
      </c>
      <c r="D932" s="81" t="s">
        <v>26</v>
      </c>
      <c r="E932" s="78">
        <f>6.33-3.86</f>
        <v>2.4700000000000002</v>
      </c>
      <c r="F932" s="65"/>
      <c r="G932" s="65">
        <v>439</v>
      </c>
      <c r="H932" s="65">
        <f t="shared" si="75"/>
        <v>439</v>
      </c>
      <c r="I932" s="79">
        <f t="shared" si="72"/>
        <v>0</v>
      </c>
      <c r="J932" s="79">
        <f t="shared" si="73"/>
        <v>1084.33</v>
      </c>
      <c r="K932" s="79">
        <f t="shared" si="74"/>
        <v>1084.33</v>
      </c>
      <c r="L932" s="121"/>
    </row>
    <row r="933" spans="2:12" ht="30" x14ac:dyDescent="0.35">
      <c r="B933" s="111">
        <f t="shared" si="71"/>
        <v>923</v>
      </c>
      <c r="C933" s="98" t="s">
        <v>237</v>
      </c>
      <c r="D933" s="99" t="s">
        <v>27</v>
      </c>
      <c r="E933" s="100">
        <v>6.6</v>
      </c>
      <c r="F933" s="101"/>
      <c r="G933" s="101"/>
      <c r="H933" s="101">
        <f t="shared" si="75"/>
        <v>0</v>
      </c>
      <c r="I933" s="101">
        <f t="shared" si="72"/>
        <v>0</v>
      </c>
      <c r="J933" s="101">
        <f t="shared" si="73"/>
        <v>0</v>
      </c>
      <c r="K933" s="101">
        <f t="shared" si="74"/>
        <v>0</v>
      </c>
      <c r="L933" s="121"/>
    </row>
    <row r="934" spans="2:12" ht="31" x14ac:dyDescent="0.35">
      <c r="B934" s="111">
        <f t="shared" si="71"/>
        <v>924</v>
      </c>
      <c r="C934" s="64" t="s">
        <v>348</v>
      </c>
      <c r="D934" s="77" t="s">
        <v>26</v>
      </c>
      <c r="E934" s="78">
        <f>0.97*11.17</f>
        <v>10.834899999999999</v>
      </c>
      <c r="F934" s="65"/>
      <c r="G934" s="65">
        <v>300</v>
      </c>
      <c r="H934" s="65">
        <f t="shared" si="75"/>
        <v>300</v>
      </c>
      <c r="I934" s="79">
        <f t="shared" si="72"/>
        <v>0</v>
      </c>
      <c r="J934" s="79">
        <f t="shared" si="73"/>
        <v>3250.47</v>
      </c>
      <c r="K934" s="79">
        <f t="shared" si="74"/>
        <v>3250.47</v>
      </c>
      <c r="L934" s="121"/>
    </row>
    <row r="935" spans="2:12" x14ac:dyDescent="0.35">
      <c r="B935" s="111">
        <f t="shared" si="71"/>
        <v>925</v>
      </c>
      <c r="C935" s="64" t="s">
        <v>19</v>
      </c>
      <c r="D935" s="77" t="s">
        <v>26</v>
      </c>
      <c r="E935" s="78">
        <f>E934/97*3</f>
        <v>0.33509999999999995</v>
      </c>
      <c r="F935" s="65"/>
      <c r="G935" s="65">
        <v>1500</v>
      </c>
      <c r="H935" s="65">
        <f t="shared" si="75"/>
        <v>1500</v>
      </c>
      <c r="I935" s="79">
        <f t="shared" si="72"/>
        <v>0</v>
      </c>
      <c r="J935" s="79">
        <f t="shared" si="73"/>
        <v>502.65</v>
      </c>
      <c r="K935" s="79">
        <f t="shared" si="74"/>
        <v>502.65</v>
      </c>
      <c r="L935" s="121"/>
    </row>
    <row r="936" spans="2:12" x14ac:dyDescent="0.35">
      <c r="B936" s="111">
        <f t="shared" si="71"/>
        <v>926</v>
      </c>
      <c r="C936" s="64" t="s">
        <v>184</v>
      </c>
      <c r="D936" s="77" t="s">
        <v>25</v>
      </c>
      <c r="E936" s="78">
        <f>10.22*0.75</f>
        <v>7.6650000000000009</v>
      </c>
      <c r="F936" s="65"/>
      <c r="G936" s="65"/>
      <c r="H936" s="65">
        <f t="shared" si="75"/>
        <v>0</v>
      </c>
      <c r="I936" s="79">
        <f t="shared" si="72"/>
        <v>0</v>
      </c>
      <c r="J936" s="79">
        <f t="shared" si="73"/>
        <v>0</v>
      </c>
      <c r="K936" s="79">
        <f t="shared" si="74"/>
        <v>0</v>
      </c>
      <c r="L936" s="121"/>
    </row>
    <row r="937" spans="2:12" ht="31" x14ac:dyDescent="0.35">
      <c r="B937" s="111">
        <f t="shared" si="71"/>
        <v>927</v>
      </c>
      <c r="C937" s="64" t="s">
        <v>194</v>
      </c>
      <c r="D937" s="77" t="s">
        <v>25</v>
      </c>
      <c r="E937" s="78">
        <f>10.22*0.48</f>
        <v>4.9055999999999997</v>
      </c>
      <c r="F937" s="65">
        <f>1973*0.15</f>
        <v>295.95</v>
      </c>
      <c r="G937" s="65">
        <f>1500*0.15</f>
        <v>225</v>
      </c>
      <c r="H937" s="65">
        <f t="shared" si="75"/>
        <v>520.95000000000005</v>
      </c>
      <c r="I937" s="79">
        <f t="shared" si="72"/>
        <v>1451.81</v>
      </c>
      <c r="J937" s="79">
        <f t="shared" si="73"/>
        <v>1103.76</v>
      </c>
      <c r="K937" s="79">
        <f t="shared" si="74"/>
        <v>2555.5699999999997</v>
      </c>
      <c r="L937" s="121"/>
    </row>
    <row r="938" spans="2:12" x14ac:dyDescent="0.35">
      <c r="B938" s="111">
        <f t="shared" si="71"/>
        <v>928</v>
      </c>
      <c r="C938" s="64" t="s">
        <v>20</v>
      </c>
      <c r="D938" s="77" t="s">
        <v>26</v>
      </c>
      <c r="E938" s="78">
        <f>0.34*E933*0.1</f>
        <v>0.22440000000000004</v>
      </c>
      <c r="F938" s="65"/>
      <c r="G938" s="65">
        <v>5860</v>
      </c>
      <c r="H938" s="65">
        <f t="shared" si="75"/>
        <v>5860</v>
      </c>
      <c r="I938" s="79">
        <f t="shared" si="72"/>
        <v>0</v>
      </c>
      <c r="J938" s="79">
        <f t="shared" si="73"/>
        <v>1314.98</v>
      </c>
      <c r="K938" s="79">
        <f t="shared" si="74"/>
        <v>1314.98</v>
      </c>
      <c r="L938" s="121"/>
    </row>
    <row r="939" spans="2:12" x14ac:dyDescent="0.35">
      <c r="B939" s="111">
        <f t="shared" si="71"/>
        <v>929</v>
      </c>
      <c r="C939" s="80" t="s">
        <v>159</v>
      </c>
      <c r="D939" s="77" t="s">
        <v>26</v>
      </c>
      <c r="E939" s="78">
        <f>E938*1.02</f>
        <v>0.22888800000000004</v>
      </c>
      <c r="F939" s="65">
        <v>6700</v>
      </c>
      <c r="G939" s="65"/>
      <c r="H939" s="65">
        <f t="shared" si="75"/>
        <v>6700</v>
      </c>
      <c r="I939" s="79">
        <f t="shared" si="72"/>
        <v>1533.55</v>
      </c>
      <c r="J939" s="79">
        <f t="shared" si="73"/>
        <v>0</v>
      </c>
      <c r="K939" s="79">
        <f t="shared" si="74"/>
        <v>1533.55</v>
      </c>
      <c r="L939" s="121"/>
    </row>
    <row r="940" spans="2:12" x14ac:dyDescent="0.35">
      <c r="B940" s="111">
        <f t="shared" si="71"/>
        <v>930</v>
      </c>
      <c r="C940" s="64" t="s">
        <v>28</v>
      </c>
      <c r="D940" s="77" t="s">
        <v>26</v>
      </c>
      <c r="E940" s="78">
        <f>10.22*0.8/10</f>
        <v>0.81759999999999999</v>
      </c>
      <c r="F940" s="65"/>
      <c r="G940" s="65">
        <v>5860</v>
      </c>
      <c r="H940" s="65">
        <f t="shared" si="75"/>
        <v>5860</v>
      </c>
      <c r="I940" s="79">
        <f t="shared" si="72"/>
        <v>0</v>
      </c>
      <c r="J940" s="79">
        <f t="shared" si="73"/>
        <v>4791.1400000000003</v>
      </c>
      <c r="K940" s="79">
        <f t="shared" si="74"/>
        <v>4791.1400000000003</v>
      </c>
      <c r="L940" s="121"/>
    </row>
    <row r="941" spans="2:12" x14ac:dyDescent="0.35">
      <c r="B941" s="111">
        <f t="shared" si="71"/>
        <v>931</v>
      </c>
      <c r="C941" s="80" t="s">
        <v>29</v>
      </c>
      <c r="D941" s="77" t="s">
        <v>26</v>
      </c>
      <c r="E941" s="78">
        <f>E940*1.02</f>
        <v>0.83395200000000003</v>
      </c>
      <c r="F941" s="65">
        <v>7100</v>
      </c>
      <c r="G941" s="65"/>
      <c r="H941" s="65">
        <f t="shared" si="75"/>
        <v>7100</v>
      </c>
      <c r="I941" s="79">
        <f t="shared" si="72"/>
        <v>5921.06</v>
      </c>
      <c r="J941" s="79">
        <f t="shared" si="73"/>
        <v>0</v>
      </c>
      <c r="K941" s="79">
        <f t="shared" si="74"/>
        <v>5921.06</v>
      </c>
      <c r="L941" s="121"/>
    </row>
    <row r="942" spans="2:12" x14ac:dyDescent="0.35">
      <c r="B942" s="111">
        <f t="shared" si="71"/>
        <v>932</v>
      </c>
      <c r="C942" s="80" t="s">
        <v>30</v>
      </c>
      <c r="D942" s="77" t="s">
        <v>31</v>
      </c>
      <c r="E942" s="78">
        <f>31.39*1.22</f>
        <v>38.2958</v>
      </c>
      <c r="F942" s="65">
        <v>118.9</v>
      </c>
      <c r="G942" s="65"/>
      <c r="H942" s="65">
        <f t="shared" si="75"/>
        <v>118.9</v>
      </c>
      <c r="I942" s="79">
        <f t="shared" si="72"/>
        <v>4553.37</v>
      </c>
      <c r="J942" s="79">
        <f t="shared" si="73"/>
        <v>0</v>
      </c>
      <c r="K942" s="79">
        <f t="shared" si="74"/>
        <v>4553.37</v>
      </c>
      <c r="L942" s="121"/>
    </row>
    <row r="943" spans="2:12" x14ac:dyDescent="0.35">
      <c r="B943" s="111">
        <f t="shared" si="71"/>
        <v>933</v>
      </c>
      <c r="C943" s="64" t="s">
        <v>189</v>
      </c>
      <c r="D943" s="77" t="s">
        <v>27</v>
      </c>
      <c r="E943" s="78">
        <v>12.2</v>
      </c>
      <c r="F943" s="65"/>
      <c r="G943" s="65">
        <v>2928</v>
      </c>
      <c r="H943" s="65">
        <f t="shared" si="75"/>
        <v>2928</v>
      </c>
      <c r="I943" s="79">
        <f t="shared" si="72"/>
        <v>0</v>
      </c>
      <c r="J943" s="79">
        <f t="shared" si="73"/>
        <v>35721.599999999999</v>
      </c>
      <c r="K943" s="79">
        <f t="shared" si="74"/>
        <v>35721.599999999999</v>
      </c>
      <c r="L943" s="121"/>
    </row>
    <row r="944" spans="2:12" ht="31" x14ac:dyDescent="0.35">
      <c r="B944" s="111">
        <f t="shared" si="71"/>
        <v>934</v>
      </c>
      <c r="C944" s="80" t="s">
        <v>195</v>
      </c>
      <c r="D944" s="77" t="s">
        <v>27</v>
      </c>
      <c r="E944" s="78">
        <f>E943*1.1</f>
        <v>13.42</v>
      </c>
      <c r="F944" s="65">
        <v>855</v>
      </c>
      <c r="G944" s="65"/>
      <c r="H944" s="65">
        <f t="shared" si="75"/>
        <v>855</v>
      </c>
      <c r="I944" s="79">
        <f t="shared" si="72"/>
        <v>11474.1</v>
      </c>
      <c r="J944" s="79">
        <f t="shared" si="73"/>
        <v>0</v>
      </c>
      <c r="K944" s="79">
        <f t="shared" si="74"/>
        <v>11474.1</v>
      </c>
      <c r="L944" s="121"/>
    </row>
    <row r="945" spans="2:12" ht="33" x14ac:dyDescent="0.35">
      <c r="B945" s="111">
        <f t="shared" si="71"/>
        <v>935</v>
      </c>
      <c r="C945" s="64" t="s">
        <v>355</v>
      </c>
      <c r="D945" s="81" t="s">
        <v>26</v>
      </c>
      <c r="E945" s="78">
        <v>10.83</v>
      </c>
      <c r="F945" s="65"/>
      <c r="G945" s="65">
        <v>439</v>
      </c>
      <c r="H945" s="65">
        <f t="shared" si="75"/>
        <v>439</v>
      </c>
      <c r="I945" s="79">
        <f t="shared" si="72"/>
        <v>0</v>
      </c>
      <c r="J945" s="79">
        <f t="shared" si="73"/>
        <v>4754.37</v>
      </c>
      <c r="K945" s="79">
        <f t="shared" si="74"/>
        <v>4754.37</v>
      </c>
      <c r="L945" s="121"/>
    </row>
    <row r="946" spans="2:12" ht="54.65" customHeight="1" x14ac:dyDescent="0.35">
      <c r="B946" s="111">
        <f t="shared" si="71"/>
        <v>936</v>
      </c>
      <c r="C946" s="98" t="s">
        <v>238</v>
      </c>
      <c r="D946" s="99" t="s">
        <v>27</v>
      </c>
      <c r="E946" s="100">
        <v>3.7</v>
      </c>
      <c r="F946" s="101"/>
      <c r="G946" s="101"/>
      <c r="H946" s="101">
        <f t="shared" si="75"/>
        <v>0</v>
      </c>
      <c r="I946" s="101">
        <f t="shared" si="72"/>
        <v>0</v>
      </c>
      <c r="J946" s="101">
        <f t="shared" si="73"/>
        <v>0</v>
      </c>
      <c r="K946" s="101">
        <f t="shared" si="74"/>
        <v>0</v>
      </c>
      <c r="L946" s="121"/>
    </row>
    <row r="947" spans="2:12" ht="31" x14ac:dyDescent="0.35">
      <c r="B947" s="111">
        <f t="shared" si="71"/>
        <v>937</v>
      </c>
      <c r="C947" s="64" t="s">
        <v>348</v>
      </c>
      <c r="D947" s="77" t="s">
        <v>26</v>
      </c>
      <c r="E947" s="78">
        <f>0.97*2.14</f>
        <v>2.0758000000000001</v>
      </c>
      <c r="F947" s="65"/>
      <c r="G947" s="65">
        <v>300</v>
      </c>
      <c r="H947" s="65">
        <f t="shared" si="75"/>
        <v>300</v>
      </c>
      <c r="I947" s="79">
        <f t="shared" si="72"/>
        <v>0</v>
      </c>
      <c r="J947" s="79">
        <f t="shared" si="73"/>
        <v>622.74</v>
      </c>
      <c r="K947" s="79">
        <f t="shared" si="74"/>
        <v>622.74</v>
      </c>
      <c r="L947" s="121"/>
    </row>
    <row r="948" spans="2:12" x14ac:dyDescent="0.35">
      <c r="B948" s="111">
        <f t="shared" si="71"/>
        <v>938</v>
      </c>
      <c r="C948" s="64" t="s">
        <v>19</v>
      </c>
      <c r="D948" s="77" t="s">
        <v>26</v>
      </c>
      <c r="E948" s="78">
        <f>E947/97*3</f>
        <v>6.4200000000000007E-2</v>
      </c>
      <c r="F948" s="65"/>
      <c r="G948" s="65">
        <v>1500</v>
      </c>
      <c r="H948" s="65">
        <f t="shared" si="75"/>
        <v>1500</v>
      </c>
      <c r="I948" s="79">
        <f t="shared" si="72"/>
        <v>0</v>
      </c>
      <c r="J948" s="79">
        <f t="shared" si="73"/>
        <v>96.3</v>
      </c>
      <c r="K948" s="79">
        <f t="shared" si="74"/>
        <v>96.3</v>
      </c>
      <c r="L948" s="121"/>
    </row>
    <row r="949" spans="2:12" x14ac:dyDescent="0.35">
      <c r="B949" s="111">
        <f t="shared" si="71"/>
        <v>939</v>
      </c>
      <c r="C949" s="64" t="s">
        <v>184</v>
      </c>
      <c r="D949" s="77" t="s">
        <v>25</v>
      </c>
      <c r="E949" s="78">
        <f>E946*0.7*2</f>
        <v>5.18</v>
      </c>
      <c r="F949" s="65"/>
      <c r="G949" s="65"/>
      <c r="H949" s="65">
        <f t="shared" si="75"/>
        <v>0</v>
      </c>
      <c r="I949" s="79">
        <f t="shared" si="72"/>
        <v>0</v>
      </c>
      <c r="J949" s="79">
        <f t="shared" si="73"/>
        <v>0</v>
      </c>
      <c r="K949" s="79">
        <f t="shared" si="74"/>
        <v>0</v>
      </c>
      <c r="L949" s="121"/>
    </row>
    <row r="950" spans="2:12" ht="31" x14ac:dyDescent="0.35">
      <c r="B950" s="111">
        <f t="shared" si="71"/>
        <v>940</v>
      </c>
      <c r="C950" s="64" t="s">
        <v>232</v>
      </c>
      <c r="D950" s="77" t="s">
        <v>25</v>
      </c>
      <c r="E950" s="78">
        <f>E946*0.45*2</f>
        <v>3.33</v>
      </c>
      <c r="F950" s="65">
        <f>1973*0.15</f>
        <v>295.95</v>
      </c>
      <c r="G950" s="65">
        <f>1500*0.15</f>
        <v>225</v>
      </c>
      <c r="H950" s="65">
        <f t="shared" si="75"/>
        <v>520.95000000000005</v>
      </c>
      <c r="I950" s="79">
        <f t="shared" si="72"/>
        <v>985.51</v>
      </c>
      <c r="J950" s="79">
        <f t="shared" si="73"/>
        <v>749.25</v>
      </c>
      <c r="K950" s="79">
        <f t="shared" si="74"/>
        <v>1734.76</v>
      </c>
      <c r="L950" s="121"/>
    </row>
    <row r="951" spans="2:12" x14ac:dyDescent="0.35">
      <c r="B951" s="111">
        <f t="shared" si="71"/>
        <v>941</v>
      </c>
      <c r="C951" s="64" t="s">
        <v>20</v>
      </c>
      <c r="D951" s="77" t="s">
        <v>26</v>
      </c>
      <c r="E951" s="78">
        <f>0.32*2*E946*0.1</f>
        <v>0.23680000000000004</v>
      </c>
      <c r="F951" s="65"/>
      <c r="G951" s="65">
        <v>5860</v>
      </c>
      <c r="H951" s="65">
        <f t="shared" si="75"/>
        <v>5860</v>
      </c>
      <c r="I951" s="79">
        <f t="shared" si="72"/>
        <v>0</v>
      </c>
      <c r="J951" s="79">
        <f t="shared" si="73"/>
        <v>1387.65</v>
      </c>
      <c r="K951" s="79">
        <f t="shared" si="74"/>
        <v>1387.65</v>
      </c>
      <c r="L951" s="121"/>
    </row>
    <row r="952" spans="2:12" x14ac:dyDescent="0.35">
      <c r="B952" s="111">
        <f t="shared" si="71"/>
        <v>942</v>
      </c>
      <c r="C952" s="80" t="s">
        <v>159</v>
      </c>
      <c r="D952" s="77" t="s">
        <v>26</v>
      </c>
      <c r="E952" s="78">
        <f>E951*1.02</f>
        <v>0.24153600000000006</v>
      </c>
      <c r="F952" s="65">
        <v>6700</v>
      </c>
      <c r="G952" s="65"/>
      <c r="H952" s="65">
        <f t="shared" si="75"/>
        <v>6700</v>
      </c>
      <c r="I952" s="79">
        <f t="shared" si="72"/>
        <v>1618.29</v>
      </c>
      <c r="J952" s="79">
        <f t="shared" si="73"/>
        <v>0</v>
      </c>
      <c r="K952" s="79">
        <f t="shared" si="74"/>
        <v>1618.29</v>
      </c>
      <c r="L952" s="121"/>
    </row>
    <row r="953" spans="2:12" x14ac:dyDescent="0.35">
      <c r="B953" s="111">
        <f t="shared" si="71"/>
        <v>943</v>
      </c>
      <c r="C953" s="64" t="s">
        <v>28</v>
      </c>
      <c r="D953" s="77" t="s">
        <v>26</v>
      </c>
      <c r="E953" s="78">
        <f>0.73*2*E946*0.1</f>
        <v>0.54020000000000001</v>
      </c>
      <c r="F953" s="65"/>
      <c r="G953" s="65">
        <v>5860</v>
      </c>
      <c r="H953" s="65">
        <f t="shared" si="75"/>
        <v>5860</v>
      </c>
      <c r="I953" s="79">
        <f t="shared" si="72"/>
        <v>0</v>
      </c>
      <c r="J953" s="79">
        <f t="shared" si="73"/>
        <v>3165.57</v>
      </c>
      <c r="K953" s="79">
        <f t="shared" si="74"/>
        <v>3165.57</v>
      </c>
      <c r="L953" s="121"/>
    </row>
    <row r="954" spans="2:12" x14ac:dyDescent="0.35">
      <c r="B954" s="111">
        <f t="shared" si="71"/>
        <v>944</v>
      </c>
      <c r="C954" s="80" t="s">
        <v>29</v>
      </c>
      <c r="D954" s="77" t="s">
        <v>26</v>
      </c>
      <c r="E954" s="78">
        <f>E953*1.02</f>
        <v>0.55100400000000005</v>
      </c>
      <c r="F954" s="65">
        <v>7100</v>
      </c>
      <c r="G954" s="65"/>
      <c r="H954" s="65">
        <f t="shared" si="75"/>
        <v>7100</v>
      </c>
      <c r="I954" s="79">
        <f t="shared" si="72"/>
        <v>3912.13</v>
      </c>
      <c r="J954" s="79">
        <f t="shared" si="73"/>
        <v>0</v>
      </c>
      <c r="K954" s="79">
        <f t="shared" si="74"/>
        <v>3912.13</v>
      </c>
      <c r="L954" s="121"/>
    </row>
    <row r="955" spans="2:12" x14ac:dyDescent="0.35">
      <c r="B955" s="111">
        <f t="shared" si="71"/>
        <v>945</v>
      </c>
      <c r="C955" s="80" t="s">
        <v>30</v>
      </c>
      <c r="D955" s="77" t="s">
        <v>31</v>
      </c>
      <c r="E955" s="78">
        <f>31.39*E946*0.1*2</f>
        <v>23.2286</v>
      </c>
      <c r="F955" s="65">
        <v>118.9</v>
      </c>
      <c r="G955" s="65"/>
      <c r="H955" s="65">
        <f t="shared" si="75"/>
        <v>118.9</v>
      </c>
      <c r="I955" s="79">
        <f t="shared" si="72"/>
        <v>2761.88</v>
      </c>
      <c r="J955" s="79">
        <f t="shared" si="73"/>
        <v>0</v>
      </c>
      <c r="K955" s="79">
        <f t="shared" si="74"/>
        <v>2761.88</v>
      </c>
      <c r="L955" s="121"/>
    </row>
    <row r="956" spans="2:12" x14ac:dyDescent="0.35">
      <c r="B956" s="111">
        <f t="shared" si="71"/>
        <v>946</v>
      </c>
      <c r="C956" s="64" t="s">
        <v>233</v>
      </c>
      <c r="D956" s="77" t="s">
        <v>27</v>
      </c>
      <c r="E956" s="78">
        <f>E946</f>
        <v>3.7</v>
      </c>
      <c r="F956" s="65"/>
      <c r="G956" s="65">
        <v>6000</v>
      </c>
      <c r="H956" s="65">
        <f t="shared" si="75"/>
        <v>6000</v>
      </c>
      <c r="I956" s="79">
        <f t="shared" si="72"/>
        <v>0</v>
      </c>
      <c r="J956" s="79">
        <f t="shared" si="73"/>
        <v>22200</v>
      </c>
      <c r="K956" s="79">
        <f t="shared" si="74"/>
        <v>22200</v>
      </c>
      <c r="L956" s="121"/>
    </row>
    <row r="957" spans="2:12" x14ac:dyDescent="0.35">
      <c r="B957" s="111">
        <f t="shared" si="71"/>
        <v>947</v>
      </c>
      <c r="C957" s="80" t="s">
        <v>353</v>
      </c>
      <c r="D957" s="77" t="s">
        <v>27</v>
      </c>
      <c r="E957" s="78">
        <f>E956*1.1*2</f>
        <v>8.14</v>
      </c>
      <c r="F957" s="65">
        <v>800</v>
      </c>
      <c r="G957" s="65"/>
      <c r="H957" s="65">
        <f t="shared" si="75"/>
        <v>800</v>
      </c>
      <c r="I957" s="79">
        <f t="shared" si="72"/>
        <v>6512</v>
      </c>
      <c r="J957" s="79">
        <f t="shared" si="73"/>
        <v>0</v>
      </c>
      <c r="K957" s="79">
        <f t="shared" si="74"/>
        <v>6512</v>
      </c>
      <c r="L957" s="121"/>
    </row>
    <row r="958" spans="2:12" ht="33" x14ac:dyDescent="0.35">
      <c r="B958" s="111">
        <f t="shared" si="71"/>
        <v>948</v>
      </c>
      <c r="C958" s="64" t="s">
        <v>355</v>
      </c>
      <c r="D958" s="81" t="s">
        <v>26</v>
      </c>
      <c r="E958" s="78">
        <v>4.5</v>
      </c>
      <c r="F958" s="65"/>
      <c r="G958" s="65">
        <v>439</v>
      </c>
      <c r="H958" s="65">
        <f t="shared" si="75"/>
        <v>439</v>
      </c>
      <c r="I958" s="79">
        <f t="shared" si="72"/>
        <v>0</v>
      </c>
      <c r="J958" s="79">
        <f t="shared" si="73"/>
        <v>1975.5</v>
      </c>
      <c r="K958" s="79">
        <f t="shared" si="74"/>
        <v>1975.5</v>
      </c>
      <c r="L958" s="121"/>
    </row>
    <row r="959" spans="2:12" ht="27" customHeight="1" x14ac:dyDescent="0.35">
      <c r="B959" s="111">
        <f t="shared" si="71"/>
        <v>949</v>
      </c>
      <c r="C959" s="98" t="s">
        <v>239</v>
      </c>
      <c r="D959" s="103" t="s">
        <v>32</v>
      </c>
      <c r="E959" s="100">
        <v>1</v>
      </c>
      <c r="F959" s="101"/>
      <c r="G959" s="101"/>
      <c r="H959" s="101">
        <f t="shared" si="75"/>
        <v>0</v>
      </c>
      <c r="I959" s="101">
        <f t="shared" si="72"/>
        <v>0</v>
      </c>
      <c r="J959" s="101">
        <f t="shared" si="73"/>
        <v>0</v>
      </c>
      <c r="K959" s="101">
        <f t="shared" si="74"/>
        <v>0</v>
      </c>
      <c r="L959" s="121"/>
    </row>
    <row r="960" spans="2:12" ht="31" x14ac:dyDescent="0.35">
      <c r="B960" s="111">
        <f t="shared" si="71"/>
        <v>950</v>
      </c>
      <c r="C960" s="64" t="s">
        <v>348</v>
      </c>
      <c r="D960" s="81" t="s">
        <v>26</v>
      </c>
      <c r="E960" s="78">
        <f>3.74*0.97</f>
        <v>3.6278000000000001</v>
      </c>
      <c r="F960" s="65"/>
      <c r="G960" s="65">
        <v>300</v>
      </c>
      <c r="H960" s="65">
        <f t="shared" si="75"/>
        <v>300</v>
      </c>
      <c r="I960" s="79">
        <f t="shared" si="72"/>
        <v>0</v>
      </c>
      <c r="J960" s="79">
        <f t="shared" si="73"/>
        <v>1088.3399999999999</v>
      </c>
      <c r="K960" s="79">
        <f t="shared" si="74"/>
        <v>1088.3399999999999</v>
      </c>
      <c r="L960" s="121"/>
    </row>
    <row r="961" spans="2:12" x14ac:dyDescent="0.35">
      <c r="B961" s="111">
        <f t="shared" si="71"/>
        <v>951</v>
      </c>
      <c r="C961" s="64" t="s">
        <v>19</v>
      </c>
      <c r="D961" s="81" t="s">
        <v>26</v>
      </c>
      <c r="E961" s="78">
        <f>E960/9</f>
        <v>0.40308888888888889</v>
      </c>
      <c r="F961" s="65"/>
      <c r="G961" s="65">
        <v>1500</v>
      </c>
      <c r="H961" s="65">
        <f t="shared" si="75"/>
        <v>1500</v>
      </c>
      <c r="I961" s="79">
        <f t="shared" si="72"/>
        <v>0</v>
      </c>
      <c r="J961" s="79">
        <f t="shared" si="73"/>
        <v>604.63</v>
      </c>
      <c r="K961" s="79">
        <f t="shared" si="74"/>
        <v>604.63</v>
      </c>
      <c r="L961" s="121"/>
    </row>
    <row r="962" spans="2:12" x14ac:dyDescent="0.35">
      <c r="B962" s="111">
        <f t="shared" si="71"/>
        <v>952</v>
      </c>
      <c r="C962" s="64" t="s">
        <v>67</v>
      </c>
      <c r="D962" s="81" t="s">
        <v>25</v>
      </c>
      <c r="E962" s="78">
        <f>(3.14*2.4^2)/4</f>
        <v>4.5216000000000003</v>
      </c>
      <c r="F962" s="65"/>
      <c r="G962" s="65"/>
      <c r="H962" s="65">
        <f t="shared" si="75"/>
        <v>0</v>
      </c>
      <c r="I962" s="79">
        <f t="shared" si="72"/>
        <v>0</v>
      </c>
      <c r="J962" s="79">
        <f t="shared" si="73"/>
        <v>0</v>
      </c>
      <c r="K962" s="79">
        <f t="shared" si="74"/>
        <v>0</v>
      </c>
      <c r="L962" s="121"/>
    </row>
    <row r="963" spans="2:12" x14ac:dyDescent="0.35">
      <c r="B963" s="111">
        <f t="shared" si="71"/>
        <v>953</v>
      </c>
      <c r="C963" s="64" t="s">
        <v>68</v>
      </c>
      <c r="D963" s="81" t="s">
        <v>26</v>
      </c>
      <c r="E963" s="78">
        <f>(3.14*2^2)/4*0.1</f>
        <v>0.31400000000000006</v>
      </c>
      <c r="F963" s="65"/>
      <c r="G963" s="65">
        <v>5860</v>
      </c>
      <c r="H963" s="65">
        <f t="shared" si="75"/>
        <v>5860</v>
      </c>
      <c r="I963" s="79">
        <f t="shared" si="72"/>
        <v>0</v>
      </c>
      <c r="J963" s="79">
        <f t="shared" si="73"/>
        <v>1840.04</v>
      </c>
      <c r="K963" s="79">
        <f t="shared" si="74"/>
        <v>1840.04</v>
      </c>
      <c r="L963" s="121"/>
    </row>
    <row r="964" spans="2:12" x14ac:dyDescent="0.35">
      <c r="B964" s="111">
        <f t="shared" si="71"/>
        <v>954</v>
      </c>
      <c r="C964" s="80" t="s">
        <v>159</v>
      </c>
      <c r="D964" s="81" t="s">
        <v>26</v>
      </c>
      <c r="E964" s="78">
        <f>E963*1.02</f>
        <v>0.32028000000000006</v>
      </c>
      <c r="F964" s="65">
        <v>6700</v>
      </c>
      <c r="G964" s="65"/>
      <c r="H964" s="65">
        <f t="shared" si="75"/>
        <v>6700</v>
      </c>
      <c r="I964" s="79">
        <f t="shared" si="72"/>
        <v>2145.88</v>
      </c>
      <c r="J964" s="79">
        <f t="shared" si="73"/>
        <v>0</v>
      </c>
      <c r="K964" s="79">
        <f t="shared" si="74"/>
        <v>2145.88</v>
      </c>
      <c r="L964" s="121"/>
    </row>
    <row r="965" spans="2:12" x14ac:dyDescent="0.35">
      <c r="B965" s="111">
        <f t="shared" si="71"/>
        <v>955</v>
      </c>
      <c r="C965" s="64" t="s">
        <v>151</v>
      </c>
      <c r="D965" s="81" t="s">
        <v>25</v>
      </c>
      <c r="E965" s="78">
        <f>(3.14*2^2)/4</f>
        <v>3.14</v>
      </c>
      <c r="F965" s="65">
        <v>68.5</v>
      </c>
      <c r="G965" s="65">
        <v>150</v>
      </c>
      <c r="H965" s="65">
        <f t="shared" si="75"/>
        <v>218.5</v>
      </c>
      <c r="I965" s="79">
        <f t="shared" si="72"/>
        <v>215.09</v>
      </c>
      <c r="J965" s="79">
        <f t="shared" si="73"/>
        <v>471</v>
      </c>
      <c r="K965" s="79">
        <f t="shared" si="74"/>
        <v>686.09</v>
      </c>
      <c r="L965" s="121"/>
    </row>
    <row r="966" spans="2:12" ht="31" x14ac:dyDescent="0.35">
      <c r="B966" s="111">
        <f t="shared" si="71"/>
        <v>956</v>
      </c>
      <c r="C966" s="64" t="s">
        <v>152</v>
      </c>
      <c r="D966" s="81" t="s">
        <v>25</v>
      </c>
      <c r="E966" s="78">
        <f>E965</f>
        <v>3.14</v>
      </c>
      <c r="F966" s="65">
        <v>927</v>
      </c>
      <c r="G966" s="65">
        <v>400</v>
      </c>
      <c r="H966" s="65">
        <f t="shared" si="75"/>
        <v>1327</v>
      </c>
      <c r="I966" s="79">
        <f t="shared" si="72"/>
        <v>2910.78</v>
      </c>
      <c r="J966" s="79">
        <f t="shared" si="73"/>
        <v>1256</v>
      </c>
      <c r="K966" s="79">
        <f t="shared" si="74"/>
        <v>4166.7800000000007</v>
      </c>
      <c r="L966" s="121"/>
    </row>
    <row r="967" spans="2:12" ht="31" x14ac:dyDescent="0.35">
      <c r="B967" s="111">
        <f t="shared" si="71"/>
        <v>957</v>
      </c>
      <c r="C967" s="64" t="s">
        <v>107</v>
      </c>
      <c r="D967" s="81" t="s">
        <v>32</v>
      </c>
      <c r="E967" s="78">
        <v>1</v>
      </c>
      <c r="F967" s="65"/>
      <c r="G967" s="65">
        <v>5662</v>
      </c>
      <c r="H967" s="65">
        <f t="shared" si="75"/>
        <v>5662</v>
      </c>
      <c r="I967" s="79">
        <f t="shared" si="72"/>
        <v>0</v>
      </c>
      <c r="J967" s="79">
        <f t="shared" si="73"/>
        <v>5662</v>
      </c>
      <c r="K967" s="79">
        <f t="shared" si="74"/>
        <v>5662</v>
      </c>
      <c r="L967" s="121"/>
    </row>
    <row r="968" spans="2:12" x14ac:dyDescent="0.35">
      <c r="B968" s="111">
        <f t="shared" si="71"/>
        <v>958</v>
      </c>
      <c r="C968" s="82" t="s">
        <v>108</v>
      </c>
      <c r="D968" s="81" t="s">
        <v>32</v>
      </c>
      <c r="E968" s="78">
        <v>1</v>
      </c>
      <c r="F968" s="65">
        <f>6000*1.2</f>
        <v>7200</v>
      </c>
      <c r="G968" s="65"/>
      <c r="H968" s="65">
        <f t="shared" si="75"/>
        <v>7200</v>
      </c>
      <c r="I968" s="79">
        <f t="shared" si="72"/>
        <v>7200</v>
      </c>
      <c r="J968" s="79">
        <f t="shared" si="73"/>
        <v>0</v>
      </c>
      <c r="K968" s="79">
        <f t="shared" si="74"/>
        <v>7200</v>
      </c>
      <c r="L968" s="121"/>
    </row>
    <row r="969" spans="2:12" x14ac:dyDescent="0.35">
      <c r="B969" s="111">
        <f t="shared" si="71"/>
        <v>959</v>
      </c>
      <c r="C969" s="82" t="s">
        <v>101</v>
      </c>
      <c r="D969" s="81" t="s">
        <v>26</v>
      </c>
      <c r="E969" s="78">
        <f>((3.14*2^2)/4*0.02)*1.02</f>
        <v>6.4056000000000016E-2</v>
      </c>
      <c r="F969" s="65">
        <v>7300</v>
      </c>
      <c r="G969" s="65"/>
      <c r="H969" s="65">
        <f t="shared" si="75"/>
        <v>7300</v>
      </c>
      <c r="I969" s="79">
        <f t="shared" si="72"/>
        <v>467.61</v>
      </c>
      <c r="J969" s="79">
        <f t="shared" si="73"/>
        <v>0</v>
      </c>
      <c r="K969" s="79">
        <f t="shared" si="74"/>
        <v>467.61</v>
      </c>
      <c r="L969" s="121"/>
    </row>
    <row r="970" spans="2:12" ht="31" x14ac:dyDescent="0.35">
      <c r="B970" s="111">
        <f t="shared" si="71"/>
        <v>960</v>
      </c>
      <c r="C970" s="64" t="s">
        <v>179</v>
      </c>
      <c r="D970" s="81" t="s">
        <v>26</v>
      </c>
      <c r="E970" s="78">
        <v>1.2</v>
      </c>
      <c r="F970" s="65"/>
      <c r="G970" s="65">
        <v>5860</v>
      </c>
      <c r="H970" s="65">
        <f t="shared" si="75"/>
        <v>5860</v>
      </c>
      <c r="I970" s="79">
        <f t="shared" si="72"/>
        <v>0</v>
      </c>
      <c r="J970" s="79">
        <f t="shared" si="73"/>
        <v>7032</v>
      </c>
      <c r="K970" s="79">
        <f t="shared" si="74"/>
        <v>7032</v>
      </c>
      <c r="L970" s="121"/>
    </row>
    <row r="971" spans="2:12" x14ac:dyDescent="0.35">
      <c r="B971" s="111">
        <f t="shared" si="71"/>
        <v>961</v>
      </c>
      <c r="C971" s="82" t="s">
        <v>75</v>
      </c>
      <c r="D971" s="81" t="s">
        <v>26</v>
      </c>
      <c r="E971" s="78">
        <f>E970*1.02</f>
        <v>1.224</v>
      </c>
      <c r="F971" s="65">
        <v>7100</v>
      </c>
      <c r="G971" s="65"/>
      <c r="H971" s="65">
        <f t="shared" si="75"/>
        <v>7100</v>
      </c>
      <c r="I971" s="79">
        <f t="shared" si="72"/>
        <v>8690.4</v>
      </c>
      <c r="J971" s="79">
        <f t="shared" si="73"/>
        <v>0</v>
      </c>
      <c r="K971" s="79">
        <f t="shared" si="74"/>
        <v>8690.4</v>
      </c>
      <c r="L971" s="121"/>
    </row>
    <row r="972" spans="2:12" ht="31" x14ac:dyDescent="0.35">
      <c r="B972" s="111">
        <f t="shared" si="71"/>
        <v>962</v>
      </c>
      <c r="C972" s="64" t="s">
        <v>78</v>
      </c>
      <c r="D972" s="81" t="s">
        <v>32</v>
      </c>
      <c r="E972" s="78">
        <v>3</v>
      </c>
      <c r="F972" s="65"/>
      <c r="G972" s="65">
        <v>5662</v>
      </c>
      <c r="H972" s="65">
        <f t="shared" si="75"/>
        <v>5662</v>
      </c>
      <c r="I972" s="79">
        <f t="shared" si="72"/>
        <v>0</v>
      </c>
      <c r="J972" s="79">
        <f t="shared" si="73"/>
        <v>16986</v>
      </c>
      <c r="K972" s="79">
        <f t="shared" si="74"/>
        <v>16986</v>
      </c>
      <c r="L972" s="121"/>
    </row>
    <row r="973" spans="2:12" x14ac:dyDescent="0.35">
      <c r="B973" s="111">
        <f t="shared" ref="B973:B1036" si="76">B972+1</f>
        <v>963</v>
      </c>
      <c r="C973" s="82" t="s">
        <v>110</v>
      </c>
      <c r="D973" s="81" t="s">
        <v>32</v>
      </c>
      <c r="E973" s="78">
        <v>1</v>
      </c>
      <c r="F973" s="65">
        <f>4500*1.2</f>
        <v>5400</v>
      </c>
      <c r="G973" s="65"/>
      <c r="H973" s="65">
        <f t="shared" si="75"/>
        <v>5400</v>
      </c>
      <c r="I973" s="79">
        <f t="shared" ref="I973:I1036" si="77">ROUND(F973*E973,2)</f>
        <v>5400</v>
      </c>
      <c r="J973" s="79">
        <f t="shared" ref="J973:J1036" si="78">ROUND(G973*E973,2)</f>
        <v>0</v>
      </c>
      <c r="K973" s="79">
        <f t="shared" ref="K973:K1036" si="79">I973+J973</f>
        <v>5400</v>
      </c>
      <c r="L973" s="121"/>
    </row>
    <row r="974" spans="2:12" x14ac:dyDescent="0.35">
      <c r="B974" s="111">
        <f t="shared" si="76"/>
        <v>964</v>
      </c>
      <c r="C974" s="82" t="s">
        <v>98</v>
      </c>
      <c r="D974" s="81" t="s">
        <v>32</v>
      </c>
      <c r="E974" s="78">
        <v>2</v>
      </c>
      <c r="F974" s="65">
        <f>700*1.2</f>
        <v>840</v>
      </c>
      <c r="G974" s="65"/>
      <c r="H974" s="65">
        <f t="shared" si="75"/>
        <v>840</v>
      </c>
      <c r="I974" s="79">
        <f t="shared" si="77"/>
        <v>1680</v>
      </c>
      <c r="J974" s="79">
        <f t="shared" si="78"/>
        <v>0</v>
      </c>
      <c r="K974" s="79">
        <f t="shared" si="79"/>
        <v>1680</v>
      </c>
      <c r="L974" s="121"/>
    </row>
    <row r="975" spans="2:12" ht="31" x14ac:dyDescent="0.35">
      <c r="B975" s="111">
        <f t="shared" si="76"/>
        <v>965</v>
      </c>
      <c r="C975" s="64" t="s">
        <v>85</v>
      </c>
      <c r="D975" s="81" t="s">
        <v>32</v>
      </c>
      <c r="E975" s="78">
        <v>1</v>
      </c>
      <c r="F975" s="65"/>
      <c r="G975" s="65">
        <v>2500</v>
      </c>
      <c r="H975" s="65">
        <f t="shared" ref="H975:H1038" si="80">F975+G975</f>
        <v>2500</v>
      </c>
      <c r="I975" s="79">
        <f t="shared" si="77"/>
        <v>0</v>
      </c>
      <c r="J975" s="79">
        <f t="shared" si="78"/>
        <v>2500</v>
      </c>
      <c r="K975" s="79">
        <f t="shared" si="79"/>
        <v>2500</v>
      </c>
      <c r="L975" s="121"/>
    </row>
    <row r="976" spans="2:12" x14ac:dyDescent="0.35">
      <c r="B976" s="111">
        <f t="shared" si="76"/>
        <v>966</v>
      </c>
      <c r="C976" s="82" t="s">
        <v>154</v>
      </c>
      <c r="D976" s="81" t="s">
        <v>32</v>
      </c>
      <c r="E976" s="78">
        <v>1</v>
      </c>
      <c r="F976" s="65">
        <f>5500*1.2</f>
        <v>6600</v>
      </c>
      <c r="G976" s="65"/>
      <c r="H976" s="65">
        <f t="shared" si="80"/>
        <v>6600</v>
      </c>
      <c r="I976" s="79">
        <f t="shared" si="77"/>
        <v>6600</v>
      </c>
      <c r="J976" s="79">
        <f t="shared" si="78"/>
        <v>0</v>
      </c>
      <c r="K976" s="79">
        <f t="shared" si="79"/>
        <v>6600</v>
      </c>
      <c r="L976" s="121"/>
    </row>
    <row r="977" spans="2:12" ht="34.25" customHeight="1" x14ac:dyDescent="0.35">
      <c r="B977" s="111">
        <f t="shared" si="76"/>
        <v>967</v>
      </c>
      <c r="C977" s="64" t="s">
        <v>85</v>
      </c>
      <c r="D977" s="81" t="s">
        <v>32</v>
      </c>
      <c r="E977" s="78">
        <v>1</v>
      </c>
      <c r="F977" s="65"/>
      <c r="G977" s="65"/>
      <c r="H977" s="65">
        <f t="shared" si="80"/>
        <v>0</v>
      </c>
      <c r="I977" s="79">
        <f t="shared" si="77"/>
        <v>0</v>
      </c>
      <c r="J977" s="79">
        <f t="shared" si="78"/>
        <v>0</v>
      </c>
      <c r="K977" s="79">
        <f t="shared" si="79"/>
        <v>0</v>
      </c>
      <c r="L977" s="121"/>
    </row>
    <row r="978" spans="2:12" x14ac:dyDescent="0.35">
      <c r="B978" s="111">
        <f t="shared" si="76"/>
        <v>968</v>
      </c>
      <c r="C978" s="82" t="s">
        <v>84</v>
      </c>
      <c r="D978" s="81" t="s">
        <v>32</v>
      </c>
      <c r="E978" s="78">
        <v>1</v>
      </c>
      <c r="F978" s="65">
        <v>1300</v>
      </c>
      <c r="G978" s="65">
        <v>990</v>
      </c>
      <c r="H978" s="65">
        <f t="shared" si="80"/>
        <v>2290</v>
      </c>
      <c r="I978" s="79">
        <f t="shared" si="77"/>
        <v>1300</v>
      </c>
      <c r="J978" s="79">
        <f t="shared" si="78"/>
        <v>990</v>
      </c>
      <c r="K978" s="79">
        <f t="shared" si="79"/>
        <v>2290</v>
      </c>
      <c r="L978" s="121"/>
    </row>
    <row r="979" spans="2:12" x14ac:dyDescent="0.35">
      <c r="B979" s="111">
        <f t="shared" si="76"/>
        <v>969</v>
      </c>
      <c r="C979" s="80" t="s">
        <v>301</v>
      </c>
      <c r="D979" s="81" t="s">
        <v>32</v>
      </c>
      <c r="E979" s="78">
        <v>1</v>
      </c>
      <c r="F979" s="65">
        <v>6000</v>
      </c>
      <c r="G979" s="65">
        <v>1464.09</v>
      </c>
      <c r="H979" s="65">
        <f t="shared" si="80"/>
        <v>7464.09</v>
      </c>
      <c r="I979" s="79">
        <f t="shared" si="77"/>
        <v>6000</v>
      </c>
      <c r="J979" s="79">
        <f t="shared" si="78"/>
        <v>1464.09</v>
      </c>
      <c r="K979" s="79">
        <f t="shared" si="79"/>
        <v>7464.09</v>
      </c>
      <c r="L979" s="121"/>
    </row>
    <row r="980" spans="2:12" ht="31" x14ac:dyDescent="0.35">
      <c r="B980" s="111">
        <f t="shared" si="76"/>
        <v>970</v>
      </c>
      <c r="C980" s="64" t="s">
        <v>156</v>
      </c>
      <c r="D980" s="81" t="s">
        <v>25</v>
      </c>
      <c r="E980" s="78">
        <f>(3.14*1.68)*1.42+2.22</f>
        <v>9.7107840000000003</v>
      </c>
      <c r="F980" s="65">
        <v>68.5</v>
      </c>
      <c r="G980" s="65">
        <v>150</v>
      </c>
      <c r="H980" s="65">
        <f t="shared" si="80"/>
        <v>218.5</v>
      </c>
      <c r="I980" s="79">
        <f t="shared" si="77"/>
        <v>665.19</v>
      </c>
      <c r="J980" s="79">
        <f t="shared" si="78"/>
        <v>1456.62</v>
      </c>
      <c r="K980" s="79">
        <f t="shared" si="79"/>
        <v>2121.81</v>
      </c>
      <c r="L980" s="121"/>
    </row>
    <row r="981" spans="2:12" ht="46.5" x14ac:dyDescent="0.35">
      <c r="B981" s="111">
        <f t="shared" si="76"/>
        <v>971</v>
      </c>
      <c r="C981" s="64" t="s">
        <v>157</v>
      </c>
      <c r="D981" s="81" t="s">
        <v>25</v>
      </c>
      <c r="E981" s="78">
        <f>(3.14*1.68)*1.42+2.22</f>
        <v>9.7107840000000003</v>
      </c>
      <c r="F981" s="65">
        <v>927</v>
      </c>
      <c r="G981" s="65">
        <v>400</v>
      </c>
      <c r="H981" s="65">
        <f t="shared" si="80"/>
        <v>1327</v>
      </c>
      <c r="I981" s="79">
        <f t="shared" si="77"/>
        <v>9001.9</v>
      </c>
      <c r="J981" s="79">
        <f t="shared" si="78"/>
        <v>3884.31</v>
      </c>
      <c r="K981" s="79">
        <f t="shared" si="79"/>
        <v>12886.21</v>
      </c>
      <c r="L981" s="121"/>
    </row>
    <row r="982" spans="2:12" x14ac:dyDescent="0.35">
      <c r="B982" s="111">
        <f t="shared" si="76"/>
        <v>972</v>
      </c>
      <c r="C982" s="64" t="s">
        <v>93</v>
      </c>
      <c r="D982" s="81" t="s">
        <v>32</v>
      </c>
      <c r="E982" s="83">
        <v>2</v>
      </c>
      <c r="F982" s="65"/>
      <c r="G982" s="65"/>
      <c r="H982" s="65">
        <f t="shared" si="80"/>
        <v>0</v>
      </c>
      <c r="I982" s="79">
        <f t="shared" si="77"/>
        <v>0</v>
      </c>
      <c r="J982" s="79">
        <f t="shared" si="78"/>
        <v>0</v>
      </c>
      <c r="K982" s="79">
        <f t="shared" si="79"/>
        <v>0</v>
      </c>
      <c r="L982" s="121"/>
    </row>
    <row r="983" spans="2:12" x14ac:dyDescent="0.35">
      <c r="B983" s="111">
        <f t="shared" si="76"/>
        <v>973</v>
      </c>
      <c r="C983" s="82" t="s">
        <v>94</v>
      </c>
      <c r="D983" s="81" t="s">
        <v>31</v>
      </c>
      <c r="E983" s="78">
        <f>0.82*E982</f>
        <v>1.64</v>
      </c>
      <c r="F983" s="68">
        <v>71</v>
      </c>
      <c r="G983" s="65">
        <v>97.61</v>
      </c>
      <c r="H983" s="65">
        <f t="shared" si="80"/>
        <v>168.61</v>
      </c>
      <c r="I983" s="79">
        <f t="shared" si="77"/>
        <v>116.44</v>
      </c>
      <c r="J983" s="79">
        <f t="shared" si="78"/>
        <v>160.08000000000001</v>
      </c>
      <c r="K983" s="79">
        <f t="shared" si="79"/>
        <v>276.52</v>
      </c>
      <c r="L983" s="121"/>
    </row>
    <row r="984" spans="2:12" ht="31" x14ac:dyDescent="0.35">
      <c r="B984" s="111">
        <f t="shared" si="76"/>
        <v>974</v>
      </c>
      <c r="C984" s="64" t="s">
        <v>153</v>
      </c>
      <c r="D984" s="81" t="s">
        <v>32</v>
      </c>
      <c r="E984" s="83">
        <v>3</v>
      </c>
      <c r="F984" s="65"/>
      <c r="G984" s="65">
        <v>1464</v>
      </c>
      <c r="H984" s="65">
        <f t="shared" si="80"/>
        <v>1464</v>
      </c>
      <c r="I984" s="79">
        <f t="shared" si="77"/>
        <v>0</v>
      </c>
      <c r="J984" s="79">
        <f t="shared" si="78"/>
        <v>4392</v>
      </c>
      <c r="K984" s="79">
        <f t="shared" si="79"/>
        <v>4392</v>
      </c>
      <c r="L984" s="121"/>
    </row>
    <row r="985" spans="2:12" x14ac:dyDescent="0.35">
      <c r="B985" s="111">
        <f t="shared" si="76"/>
        <v>975</v>
      </c>
      <c r="C985" s="64" t="s">
        <v>328</v>
      </c>
      <c r="D985" s="81"/>
      <c r="E985" s="83"/>
      <c r="F985" s="65"/>
      <c r="G985" s="65"/>
      <c r="H985" s="65">
        <f t="shared" si="80"/>
        <v>0</v>
      </c>
      <c r="I985" s="79">
        <f t="shared" si="77"/>
        <v>0</v>
      </c>
      <c r="J985" s="79">
        <f t="shared" si="78"/>
        <v>0</v>
      </c>
      <c r="K985" s="79">
        <f t="shared" si="79"/>
        <v>0</v>
      </c>
      <c r="L985" s="121">
        <v>1</v>
      </c>
    </row>
    <row r="986" spans="2:12" ht="31" x14ac:dyDescent="0.35">
      <c r="B986" s="111">
        <f t="shared" si="76"/>
        <v>976</v>
      </c>
      <c r="C986" s="80" t="s">
        <v>309</v>
      </c>
      <c r="D986" s="81" t="s">
        <v>32</v>
      </c>
      <c r="E986" s="83">
        <v>1</v>
      </c>
      <c r="F986" s="65">
        <v>2263</v>
      </c>
      <c r="G986" s="65">
        <v>1700</v>
      </c>
      <c r="H986" s="65">
        <f t="shared" si="80"/>
        <v>3963</v>
      </c>
      <c r="I986" s="79">
        <f t="shared" si="77"/>
        <v>2263</v>
      </c>
      <c r="J986" s="79">
        <f t="shared" si="78"/>
        <v>1700</v>
      </c>
      <c r="K986" s="79">
        <f t="shared" si="79"/>
        <v>3963</v>
      </c>
      <c r="L986" s="121"/>
    </row>
    <row r="987" spans="2:12" ht="31" x14ac:dyDescent="0.35">
      <c r="B987" s="111">
        <f t="shared" si="76"/>
        <v>977</v>
      </c>
      <c r="C987" s="80" t="s">
        <v>310</v>
      </c>
      <c r="D987" s="81" t="s">
        <v>32</v>
      </c>
      <c r="E987" s="83">
        <v>1</v>
      </c>
      <c r="F987" s="65">
        <v>1303</v>
      </c>
      <c r="G987" s="65">
        <v>1700</v>
      </c>
      <c r="H987" s="65">
        <f t="shared" si="80"/>
        <v>3003</v>
      </c>
      <c r="I987" s="79">
        <f t="shared" si="77"/>
        <v>1303</v>
      </c>
      <c r="J987" s="79">
        <f t="shared" si="78"/>
        <v>1700</v>
      </c>
      <c r="K987" s="79">
        <f t="shared" si="79"/>
        <v>3003</v>
      </c>
      <c r="L987" s="121"/>
    </row>
    <row r="988" spans="2:12" ht="31" x14ac:dyDescent="0.35">
      <c r="B988" s="111">
        <f t="shared" si="76"/>
        <v>978</v>
      </c>
      <c r="C988" s="80" t="s">
        <v>63</v>
      </c>
      <c r="D988" s="81" t="s">
        <v>27</v>
      </c>
      <c r="E988" s="83">
        <f>0.52*1.1</f>
        <v>0.57200000000000006</v>
      </c>
      <c r="F988" s="65">
        <v>855</v>
      </c>
      <c r="G988" s="65">
        <v>1700</v>
      </c>
      <c r="H988" s="65">
        <f t="shared" si="80"/>
        <v>2555</v>
      </c>
      <c r="I988" s="79">
        <f t="shared" si="77"/>
        <v>489.06</v>
      </c>
      <c r="J988" s="79">
        <f t="shared" si="78"/>
        <v>972.4</v>
      </c>
      <c r="K988" s="79">
        <f t="shared" si="79"/>
        <v>1461.46</v>
      </c>
      <c r="L988" s="121"/>
    </row>
    <row r="989" spans="2:12" ht="33" x14ac:dyDescent="0.35">
      <c r="B989" s="111">
        <f t="shared" si="76"/>
        <v>979</v>
      </c>
      <c r="C989" s="64" t="s">
        <v>362</v>
      </c>
      <c r="D989" s="81" t="s">
        <v>26</v>
      </c>
      <c r="E989" s="78">
        <f>6.48-3.15</f>
        <v>3.3300000000000005</v>
      </c>
      <c r="F989" s="65"/>
      <c r="G989" s="65">
        <v>439</v>
      </c>
      <c r="H989" s="65">
        <f t="shared" si="80"/>
        <v>439</v>
      </c>
      <c r="I989" s="79">
        <f t="shared" si="77"/>
        <v>0</v>
      </c>
      <c r="J989" s="79">
        <f t="shared" si="78"/>
        <v>1461.87</v>
      </c>
      <c r="K989" s="79">
        <f t="shared" si="79"/>
        <v>1461.87</v>
      </c>
      <c r="L989" s="121"/>
    </row>
    <row r="990" spans="2:12" ht="42" customHeight="1" x14ac:dyDescent="0.35">
      <c r="B990" s="111">
        <f t="shared" si="76"/>
        <v>980</v>
      </c>
      <c r="C990" s="98" t="s">
        <v>240</v>
      </c>
      <c r="D990" s="99" t="s">
        <v>27</v>
      </c>
      <c r="E990" s="100">
        <v>5</v>
      </c>
      <c r="F990" s="101"/>
      <c r="G990" s="101"/>
      <c r="H990" s="101">
        <f t="shared" si="80"/>
        <v>0</v>
      </c>
      <c r="I990" s="101">
        <f t="shared" si="77"/>
        <v>0</v>
      </c>
      <c r="J990" s="101">
        <f t="shared" si="78"/>
        <v>0</v>
      </c>
      <c r="K990" s="101">
        <f t="shared" si="79"/>
        <v>0</v>
      </c>
      <c r="L990" s="121"/>
    </row>
    <row r="991" spans="2:12" ht="31" x14ac:dyDescent="0.35">
      <c r="B991" s="111">
        <f t="shared" si="76"/>
        <v>981</v>
      </c>
      <c r="C991" s="64" t="s">
        <v>348</v>
      </c>
      <c r="D991" s="77" t="s">
        <v>26</v>
      </c>
      <c r="E991" s="78">
        <f>0.97*1.3</f>
        <v>1.2609999999999999</v>
      </c>
      <c r="F991" s="65"/>
      <c r="G991" s="65">
        <v>300</v>
      </c>
      <c r="H991" s="65">
        <f t="shared" si="80"/>
        <v>300</v>
      </c>
      <c r="I991" s="79">
        <f t="shared" si="77"/>
        <v>0</v>
      </c>
      <c r="J991" s="79">
        <f t="shared" si="78"/>
        <v>378.3</v>
      </c>
      <c r="K991" s="79">
        <f t="shared" si="79"/>
        <v>378.3</v>
      </c>
      <c r="L991" s="121"/>
    </row>
    <row r="992" spans="2:12" x14ac:dyDescent="0.35">
      <c r="B992" s="111">
        <f t="shared" si="76"/>
        <v>982</v>
      </c>
      <c r="C992" s="64" t="s">
        <v>19</v>
      </c>
      <c r="D992" s="77" t="s">
        <v>26</v>
      </c>
      <c r="E992" s="78">
        <f>E991/97*3</f>
        <v>3.9E-2</v>
      </c>
      <c r="F992" s="65"/>
      <c r="G992" s="65">
        <v>1500</v>
      </c>
      <c r="H992" s="65">
        <f t="shared" si="80"/>
        <v>1500</v>
      </c>
      <c r="I992" s="79">
        <f t="shared" si="77"/>
        <v>0</v>
      </c>
      <c r="J992" s="79">
        <f t="shared" si="78"/>
        <v>58.5</v>
      </c>
      <c r="K992" s="79">
        <f t="shared" si="79"/>
        <v>58.5</v>
      </c>
      <c r="L992" s="121"/>
    </row>
    <row r="993" spans="2:12" x14ac:dyDescent="0.35">
      <c r="B993" s="111">
        <f t="shared" si="76"/>
        <v>983</v>
      </c>
      <c r="C993" s="64" t="s">
        <v>184</v>
      </c>
      <c r="D993" s="77" t="s">
        <v>25</v>
      </c>
      <c r="E993" s="78">
        <f>E990*0.75</f>
        <v>3.75</v>
      </c>
      <c r="F993" s="65"/>
      <c r="G993" s="65"/>
      <c r="H993" s="65">
        <f t="shared" si="80"/>
        <v>0</v>
      </c>
      <c r="I993" s="79">
        <f t="shared" si="77"/>
        <v>0</v>
      </c>
      <c r="J993" s="79">
        <f t="shared" si="78"/>
        <v>0</v>
      </c>
      <c r="K993" s="79">
        <f t="shared" si="79"/>
        <v>0</v>
      </c>
      <c r="L993" s="121"/>
    </row>
    <row r="994" spans="2:12" ht="31" x14ac:dyDescent="0.35">
      <c r="B994" s="111">
        <f t="shared" si="76"/>
        <v>984</v>
      </c>
      <c r="C994" s="64" t="s">
        <v>194</v>
      </c>
      <c r="D994" s="77" t="s">
        <v>25</v>
      </c>
      <c r="E994" s="78">
        <f>E990*0.48</f>
        <v>2.4</v>
      </c>
      <c r="F994" s="65">
        <f>1973*0.15</f>
        <v>295.95</v>
      </c>
      <c r="G994" s="65">
        <f>1500*0.15</f>
        <v>225</v>
      </c>
      <c r="H994" s="65">
        <f t="shared" si="80"/>
        <v>520.95000000000005</v>
      </c>
      <c r="I994" s="79">
        <f t="shared" si="77"/>
        <v>710.28</v>
      </c>
      <c r="J994" s="79">
        <f t="shared" si="78"/>
        <v>540</v>
      </c>
      <c r="K994" s="79">
        <f t="shared" si="79"/>
        <v>1250.28</v>
      </c>
      <c r="L994" s="121"/>
    </row>
    <row r="995" spans="2:12" x14ac:dyDescent="0.35">
      <c r="B995" s="111">
        <f t="shared" si="76"/>
        <v>985</v>
      </c>
      <c r="C995" s="64" t="s">
        <v>20</v>
      </c>
      <c r="D995" s="77" t="s">
        <v>26</v>
      </c>
      <c r="E995" s="78">
        <f>0.34*E990*0.1</f>
        <v>0.17000000000000004</v>
      </c>
      <c r="F995" s="65"/>
      <c r="G995" s="65">
        <v>5860</v>
      </c>
      <c r="H995" s="65">
        <f t="shared" si="80"/>
        <v>5860</v>
      </c>
      <c r="I995" s="79">
        <f t="shared" si="77"/>
        <v>0</v>
      </c>
      <c r="J995" s="79">
        <f t="shared" si="78"/>
        <v>996.2</v>
      </c>
      <c r="K995" s="79">
        <f t="shared" si="79"/>
        <v>996.2</v>
      </c>
      <c r="L995" s="121"/>
    </row>
    <row r="996" spans="2:12" x14ac:dyDescent="0.35">
      <c r="B996" s="111">
        <f t="shared" si="76"/>
        <v>986</v>
      </c>
      <c r="C996" s="80" t="s">
        <v>159</v>
      </c>
      <c r="D996" s="77" t="s">
        <v>26</v>
      </c>
      <c r="E996" s="78">
        <f>E995*1.02</f>
        <v>0.17340000000000005</v>
      </c>
      <c r="F996" s="65">
        <v>6700</v>
      </c>
      <c r="G996" s="65"/>
      <c r="H996" s="65">
        <f t="shared" si="80"/>
        <v>6700</v>
      </c>
      <c r="I996" s="79">
        <f t="shared" si="77"/>
        <v>1161.78</v>
      </c>
      <c r="J996" s="79">
        <f t="shared" si="78"/>
        <v>0</v>
      </c>
      <c r="K996" s="79">
        <f t="shared" si="79"/>
        <v>1161.78</v>
      </c>
      <c r="L996" s="121"/>
    </row>
    <row r="997" spans="2:12" x14ac:dyDescent="0.35">
      <c r="B997" s="111">
        <f t="shared" si="76"/>
        <v>987</v>
      </c>
      <c r="C997" s="64" t="s">
        <v>28</v>
      </c>
      <c r="D997" s="77" t="s">
        <v>26</v>
      </c>
      <c r="E997" s="78">
        <f>E990*0.8/10</f>
        <v>0.4</v>
      </c>
      <c r="F997" s="65"/>
      <c r="G997" s="65">
        <v>5860</v>
      </c>
      <c r="H997" s="65">
        <f t="shared" si="80"/>
        <v>5860</v>
      </c>
      <c r="I997" s="79">
        <f t="shared" si="77"/>
        <v>0</v>
      </c>
      <c r="J997" s="79">
        <f t="shared" si="78"/>
        <v>2344</v>
      </c>
      <c r="K997" s="79">
        <f t="shared" si="79"/>
        <v>2344</v>
      </c>
      <c r="L997" s="121"/>
    </row>
    <row r="998" spans="2:12" x14ac:dyDescent="0.35">
      <c r="B998" s="111">
        <f t="shared" si="76"/>
        <v>988</v>
      </c>
      <c r="C998" s="80" t="s">
        <v>29</v>
      </c>
      <c r="D998" s="77" t="s">
        <v>26</v>
      </c>
      <c r="E998" s="78">
        <f>E997*1.02</f>
        <v>0.40800000000000003</v>
      </c>
      <c r="F998" s="65">
        <v>7100</v>
      </c>
      <c r="G998" s="65"/>
      <c r="H998" s="65">
        <f t="shared" si="80"/>
        <v>7100</v>
      </c>
      <c r="I998" s="79">
        <f t="shared" si="77"/>
        <v>2896.8</v>
      </c>
      <c r="J998" s="79">
        <f t="shared" si="78"/>
        <v>0</v>
      </c>
      <c r="K998" s="79">
        <f t="shared" si="79"/>
        <v>2896.8</v>
      </c>
      <c r="L998" s="121"/>
    </row>
    <row r="999" spans="2:12" x14ac:dyDescent="0.35">
      <c r="B999" s="111">
        <f t="shared" si="76"/>
        <v>989</v>
      </c>
      <c r="C999" s="80" t="s">
        <v>30</v>
      </c>
      <c r="D999" s="77" t="s">
        <v>31</v>
      </c>
      <c r="E999" s="78">
        <f>E990*1.22</f>
        <v>6.1</v>
      </c>
      <c r="F999" s="65">
        <v>118.9</v>
      </c>
      <c r="G999" s="65"/>
      <c r="H999" s="65">
        <f t="shared" si="80"/>
        <v>118.9</v>
      </c>
      <c r="I999" s="79">
        <f t="shared" si="77"/>
        <v>725.29</v>
      </c>
      <c r="J999" s="79">
        <f t="shared" si="78"/>
        <v>0</v>
      </c>
      <c r="K999" s="79">
        <f t="shared" si="79"/>
        <v>725.29</v>
      </c>
      <c r="L999" s="121"/>
    </row>
    <row r="1000" spans="2:12" x14ac:dyDescent="0.35">
      <c r="B1000" s="111">
        <f t="shared" si="76"/>
        <v>990</v>
      </c>
      <c r="C1000" s="64" t="s">
        <v>189</v>
      </c>
      <c r="D1000" s="77" t="s">
        <v>27</v>
      </c>
      <c r="E1000" s="78">
        <f>E990</f>
        <v>5</v>
      </c>
      <c r="F1000" s="65"/>
      <c r="G1000" s="65">
        <v>2928</v>
      </c>
      <c r="H1000" s="65">
        <f t="shared" si="80"/>
        <v>2928</v>
      </c>
      <c r="I1000" s="79">
        <f t="shared" si="77"/>
        <v>0</v>
      </c>
      <c r="J1000" s="79">
        <f t="shared" si="78"/>
        <v>14640</v>
      </c>
      <c r="K1000" s="79">
        <f t="shared" si="79"/>
        <v>14640</v>
      </c>
      <c r="L1000" s="121"/>
    </row>
    <row r="1001" spans="2:12" ht="31" x14ac:dyDescent="0.35">
      <c r="B1001" s="111">
        <f t="shared" si="76"/>
        <v>991</v>
      </c>
      <c r="C1001" s="80" t="s">
        <v>195</v>
      </c>
      <c r="D1001" s="77" t="s">
        <v>27</v>
      </c>
      <c r="E1001" s="78">
        <f>E1000*1.1</f>
        <v>5.5</v>
      </c>
      <c r="F1001" s="65">
        <v>855</v>
      </c>
      <c r="G1001" s="65"/>
      <c r="H1001" s="65">
        <f t="shared" si="80"/>
        <v>855</v>
      </c>
      <c r="I1001" s="79">
        <f t="shared" si="77"/>
        <v>4702.5</v>
      </c>
      <c r="J1001" s="79">
        <f t="shared" si="78"/>
        <v>0</v>
      </c>
      <c r="K1001" s="79">
        <f t="shared" si="79"/>
        <v>4702.5</v>
      </c>
      <c r="L1001" s="121"/>
    </row>
    <row r="1002" spans="2:12" ht="33" x14ac:dyDescent="0.35">
      <c r="B1002" s="111">
        <f t="shared" si="76"/>
        <v>992</v>
      </c>
      <c r="C1002" s="64" t="s">
        <v>355</v>
      </c>
      <c r="D1002" s="81" t="s">
        <v>26</v>
      </c>
      <c r="E1002" s="78">
        <v>3.67</v>
      </c>
      <c r="F1002" s="65"/>
      <c r="G1002" s="65">
        <v>439</v>
      </c>
      <c r="H1002" s="65">
        <f t="shared" si="80"/>
        <v>439</v>
      </c>
      <c r="I1002" s="79">
        <f t="shared" si="77"/>
        <v>0</v>
      </c>
      <c r="J1002" s="79">
        <f t="shared" si="78"/>
        <v>1611.13</v>
      </c>
      <c r="K1002" s="79">
        <f t="shared" si="79"/>
        <v>1611.13</v>
      </c>
      <c r="L1002" s="121"/>
    </row>
    <row r="1003" spans="2:12" ht="55.25" customHeight="1" x14ac:dyDescent="0.35">
      <c r="B1003" s="111">
        <f t="shared" si="76"/>
        <v>993</v>
      </c>
      <c r="C1003" s="98" t="s">
        <v>241</v>
      </c>
      <c r="D1003" s="99" t="s">
        <v>27</v>
      </c>
      <c r="E1003" s="100">
        <v>3.3</v>
      </c>
      <c r="F1003" s="101"/>
      <c r="G1003" s="101"/>
      <c r="H1003" s="101">
        <f t="shared" si="80"/>
        <v>0</v>
      </c>
      <c r="I1003" s="101">
        <f t="shared" si="77"/>
        <v>0</v>
      </c>
      <c r="J1003" s="101">
        <f t="shared" si="78"/>
        <v>0</v>
      </c>
      <c r="K1003" s="101">
        <f t="shared" si="79"/>
        <v>0</v>
      </c>
      <c r="L1003" s="121"/>
    </row>
    <row r="1004" spans="2:12" ht="31" x14ac:dyDescent="0.35">
      <c r="B1004" s="111">
        <f t="shared" si="76"/>
        <v>994</v>
      </c>
      <c r="C1004" s="64" t="s">
        <v>348</v>
      </c>
      <c r="D1004" s="77" t="s">
        <v>26</v>
      </c>
      <c r="E1004" s="78">
        <f>0.97*1.79</f>
        <v>1.7363</v>
      </c>
      <c r="F1004" s="65"/>
      <c r="G1004" s="65">
        <v>300</v>
      </c>
      <c r="H1004" s="65">
        <f t="shared" si="80"/>
        <v>300</v>
      </c>
      <c r="I1004" s="79">
        <f t="shared" si="77"/>
        <v>0</v>
      </c>
      <c r="J1004" s="79">
        <f t="shared" si="78"/>
        <v>520.89</v>
      </c>
      <c r="K1004" s="79">
        <f t="shared" si="79"/>
        <v>520.89</v>
      </c>
      <c r="L1004" s="121"/>
    </row>
    <row r="1005" spans="2:12" x14ac:dyDescent="0.35">
      <c r="B1005" s="111">
        <f t="shared" si="76"/>
        <v>995</v>
      </c>
      <c r="C1005" s="64" t="s">
        <v>19</v>
      </c>
      <c r="D1005" s="77" t="s">
        <v>26</v>
      </c>
      <c r="E1005" s="78">
        <f>E1004/97*3</f>
        <v>5.3699999999999998E-2</v>
      </c>
      <c r="F1005" s="65"/>
      <c r="G1005" s="65">
        <v>1500</v>
      </c>
      <c r="H1005" s="65">
        <f t="shared" si="80"/>
        <v>1500</v>
      </c>
      <c r="I1005" s="79">
        <f t="shared" si="77"/>
        <v>0</v>
      </c>
      <c r="J1005" s="79">
        <f t="shared" si="78"/>
        <v>80.55</v>
      </c>
      <c r="K1005" s="79">
        <f t="shared" si="79"/>
        <v>80.55</v>
      </c>
      <c r="L1005" s="121"/>
    </row>
    <row r="1006" spans="2:12" x14ac:dyDescent="0.35">
      <c r="B1006" s="111">
        <f t="shared" si="76"/>
        <v>996</v>
      </c>
      <c r="C1006" s="64" t="s">
        <v>184</v>
      </c>
      <c r="D1006" s="77" t="s">
        <v>25</v>
      </c>
      <c r="E1006" s="78">
        <f>E1003*0.7*2</f>
        <v>4.6199999999999992</v>
      </c>
      <c r="F1006" s="65"/>
      <c r="G1006" s="123"/>
      <c r="H1006" s="65">
        <f t="shared" si="80"/>
        <v>0</v>
      </c>
      <c r="I1006" s="79">
        <f t="shared" si="77"/>
        <v>0</v>
      </c>
      <c r="J1006" s="79">
        <f t="shared" si="78"/>
        <v>0</v>
      </c>
      <c r="K1006" s="79">
        <f t="shared" si="79"/>
        <v>0</v>
      </c>
      <c r="L1006" s="121"/>
    </row>
    <row r="1007" spans="2:12" ht="31" x14ac:dyDescent="0.35">
      <c r="B1007" s="111">
        <f t="shared" si="76"/>
        <v>997</v>
      </c>
      <c r="C1007" s="64" t="s">
        <v>232</v>
      </c>
      <c r="D1007" s="77" t="s">
        <v>25</v>
      </c>
      <c r="E1007" s="78">
        <f>E1003*0.45*2</f>
        <v>2.9699999999999998</v>
      </c>
      <c r="F1007" s="65">
        <f>1973*0.15</f>
        <v>295.95</v>
      </c>
      <c r="G1007" s="65">
        <f>1500*0.15</f>
        <v>225</v>
      </c>
      <c r="H1007" s="65">
        <f t="shared" si="80"/>
        <v>520.95000000000005</v>
      </c>
      <c r="I1007" s="79">
        <f t="shared" si="77"/>
        <v>878.97</v>
      </c>
      <c r="J1007" s="79">
        <f t="shared" si="78"/>
        <v>668.25</v>
      </c>
      <c r="K1007" s="79">
        <f t="shared" si="79"/>
        <v>1547.22</v>
      </c>
      <c r="L1007" s="121"/>
    </row>
    <row r="1008" spans="2:12" x14ac:dyDescent="0.35">
      <c r="B1008" s="111">
        <f t="shared" si="76"/>
        <v>998</v>
      </c>
      <c r="C1008" s="64" t="s">
        <v>20</v>
      </c>
      <c r="D1008" s="77" t="s">
        <v>26</v>
      </c>
      <c r="E1008" s="78">
        <f>0.32*2*E1003*0.1</f>
        <v>0.21120000000000003</v>
      </c>
      <c r="F1008" s="65"/>
      <c r="G1008" s="65">
        <v>5860</v>
      </c>
      <c r="H1008" s="65">
        <f t="shared" si="80"/>
        <v>5860</v>
      </c>
      <c r="I1008" s="79">
        <f t="shared" si="77"/>
        <v>0</v>
      </c>
      <c r="J1008" s="79">
        <f t="shared" si="78"/>
        <v>1237.6300000000001</v>
      </c>
      <c r="K1008" s="79">
        <f t="shared" si="79"/>
        <v>1237.6300000000001</v>
      </c>
      <c r="L1008" s="121"/>
    </row>
    <row r="1009" spans="2:12" x14ac:dyDescent="0.35">
      <c r="B1009" s="111">
        <f t="shared" si="76"/>
        <v>999</v>
      </c>
      <c r="C1009" s="80" t="s">
        <v>159</v>
      </c>
      <c r="D1009" s="77" t="s">
        <v>26</v>
      </c>
      <c r="E1009" s="78">
        <f>E1008*1.02</f>
        <v>0.21542400000000003</v>
      </c>
      <c r="F1009" s="65">
        <v>6700</v>
      </c>
      <c r="G1009" s="123"/>
      <c r="H1009" s="65">
        <f t="shared" si="80"/>
        <v>6700</v>
      </c>
      <c r="I1009" s="79">
        <f t="shared" si="77"/>
        <v>1443.34</v>
      </c>
      <c r="J1009" s="79">
        <f t="shared" si="78"/>
        <v>0</v>
      </c>
      <c r="K1009" s="79">
        <f t="shared" si="79"/>
        <v>1443.34</v>
      </c>
      <c r="L1009" s="121"/>
    </row>
    <row r="1010" spans="2:12" x14ac:dyDescent="0.35">
      <c r="B1010" s="111">
        <f t="shared" si="76"/>
        <v>1000</v>
      </c>
      <c r="C1010" s="64" t="s">
        <v>28</v>
      </c>
      <c r="D1010" s="77" t="s">
        <v>26</v>
      </c>
      <c r="E1010" s="78">
        <f>0.73*2*E1003*0.1</f>
        <v>0.48180000000000001</v>
      </c>
      <c r="F1010" s="65"/>
      <c r="G1010" s="65">
        <v>5860</v>
      </c>
      <c r="H1010" s="65">
        <f t="shared" si="80"/>
        <v>5860</v>
      </c>
      <c r="I1010" s="79">
        <f t="shared" si="77"/>
        <v>0</v>
      </c>
      <c r="J1010" s="79">
        <f t="shared" si="78"/>
        <v>2823.35</v>
      </c>
      <c r="K1010" s="79">
        <f t="shared" si="79"/>
        <v>2823.35</v>
      </c>
      <c r="L1010" s="121"/>
    </row>
    <row r="1011" spans="2:12" x14ac:dyDescent="0.35">
      <c r="B1011" s="111">
        <f t="shared" si="76"/>
        <v>1001</v>
      </c>
      <c r="C1011" s="80" t="s">
        <v>29</v>
      </c>
      <c r="D1011" s="77" t="s">
        <v>26</v>
      </c>
      <c r="E1011" s="78">
        <f>E1010*1.02</f>
        <v>0.49143600000000004</v>
      </c>
      <c r="F1011" s="65">
        <v>7100</v>
      </c>
      <c r="G1011" s="123"/>
      <c r="H1011" s="65">
        <f t="shared" si="80"/>
        <v>7100</v>
      </c>
      <c r="I1011" s="79">
        <f t="shared" si="77"/>
        <v>3489.2</v>
      </c>
      <c r="J1011" s="79">
        <f t="shared" si="78"/>
        <v>0</v>
      </c>
      <c r="K1011" s="79">
        <f t="shared" si="79"/>
        <v>3489.2</v>
      </c>
      <c r="L1011" s="121"/>
    </row>
    <row r="1012" spans="2:12" x14ac:dyDescent="0.35">
      <c r="B1012" s="111">
        <f t="shared" si="76"/>
        <v>1002</v>
      </c>
      <c r="C1012" s="80" t="s">
        <v>30</v>
      </c>
      <c r="D1012" s="77" t="s">
        <v>31</v>
      </c>
      <c r="E1012" s="78">
        <f>31.39*E1003*0.1*2</f>
        <v>20.717400000000001</v>
      </c>
      <c r="F1012" s="65">
        <v>118.9</v>
      </c>
      <c r="G1012" s="123"/>
      <c r="H1012" s="65">
        <f t="shared" si="80"/>
        <v>118.9</v>
      </c>
      <c r="I1012" s="79">
        <f t="shared" si="77"/>
        <v>2463.3000000000002</v>
      </c>
      <c r="J1012" s="79">
        <f t="shared" si="78"/>
        <v>0</v>
      </c>
      <c r="K1012" s="79">
        <f t="shared" si="79"/>
        <v>2463.3000000000002</v>
      </c>
      <c r="L1012" s="121"/>
    </row>
    <row r="1013" spans="2:12" x14ac:dyDescent="0.35">
      <c r="B1013" s="111">
        <f t="shared" si="76"/>
        <v>1003</v>
      </c>
      <c r="C1013" s="64" t="s">
        <v>233</v>
      </c>
      <c r="D1013" s="77" t="s">
        <v>27</v>
      </c>
      <c r="E1013" s="78">
        <f>E1003</f>
        <v>3.3</v>
      </c>
      <c r="F1013" s="65"/>
      <c r="G1013" s="65">
        <v>6000</v>
      </c>
      <c r="H1013" s="65">
        <f t="shared" si="80"/>
        <v>6000</v>
      </c>
      <c r="I1013" s="79">
        <f t="shared" si="77"/>
        <v>0</v>
      </c>
      <c r="J1013" s="79">
        <f t="shared" si="78"/>
        <v>19800</v>
      </c>
      <c r="K1013" s="79">
        <f t="shared" si="79"/>
        <v>19800</v>
      </c>
      <c r="L1013" s="121"/>
    </row>
    <row r="1014" spans="2:12" x14ac:dyDescent="0.35">
      <c r="B1014" s="111">
        <f t="shared" si="76"/>
        <v>1004</v>
      </c>
      <c r="C1014" s="80" t="s">
        <v>353</v>
      </c>
      <c r="D1014" s="77" t="s">
        <v>27</v>
      </c>
      <c r="E1014" s="78">
        <f>E1013*1.1*2</f>
        <v>7.26</v>
      </c>
      <c r="F1014" s="65">
        <v>800</v>
      </c>
      <c r="G1014" s="65"/>
      <c r="H1014" s="65">
        <f t="shared" si="80"/>
        <v>800</v>
      </c>
      <c r="I1014" s="79">
        <f t="shared" si="77"/>
        <v>5808</v>
      </c>
      <c r="J1014" s="79">
        <f t="shared" si="78"/>
        <v>0</v>
      </c>
      <c r="K1014" s="79">
        <f t="shared" si="79"/>
        <v>5808</v>
      </c>
      <c r="L1014" s="121"/>
    </row>
    <row r="1015" spans="2:12" ht="33" x14ac:dyDescent="0.35">
      <c r="B1015" s="111">
        <f t="shared" si="76"/>
        <v>1005</v>
      </c>
      <c r="C1015" s="64" t="s">
        <v>355</v>
      </c>
      <c r="D1015" s="81" t="s">
        <v>26</v>
      </c>
      <c r="E1015" s="78">
        <v>2.12</v>
      </c>
      <c r="F1015" s="65"/>
      <c r="G1015" s="65">
        <v>439</v>
      </c>
      <c r="H1015" s="65">
        <f t="shared" si="80"/>
        <v>439</v>
      </c>
      <c r="I1015" s="79">
        <f t="shared" si="77"/>
        <v>0</v>
      </c>
      <c r="J1015" s="79">
        <f t="shared" si="78"/>
        <v>930.68</v>
      </c>
      <c r="K1015" s="79">
        <f t="shared" si="79"/>
        <v>930.68</v>
      </c>
      <c r="L1015" s="121"/>
    </row>
    <row r="1016" spans="2:12" ht="33.65" customHeight="1" x14ac:dyDescent="0.35">
      <c r="B1016" s="111">
        <f t="shared" si="76"/>
        <v>1006</v>
      </c>
      <c r="C1016" s="98" t="s">
        <v>243</v>
      </c>
      <c r="D1016" s="103" t="s">
        <v>32</v>
      </c>
      <c r="E1016" s="100">
        <v>1</v>
      </c>
      <c r="F1016" s="101"/>
      <c r="G1016" s="106"/>
      <c r="H1016" s="101">
        <f t="shared" si="80"/>
        <v>0</v>
      </c>
      <c r="I1016" s="101">
        <f t="shared" si="77"/>
        <v>0</v>
      </c>
      <c r="J1016" s="101">
        <f t="shared" si="78"/>
        <v>0</v>
      </c>
      <c r="K1016" s="101">
        <f t="shared" si="79"/>
        <v>0</v>
      </c>
      <c r="L1016" s="121"/>
    </row>
    <row r="1017" spans="2:12" ht="31" x14ac:dyDescent="0.35">
      <c r="B1017" s="111">
        <f t="shared" si="76"/>
        <v>1007</v>
      </c>
      <c r="C1017" s="64" t="s">
        <v>348</v>
      </c>
      <c r="D1017" s="81" t="s">
        <v>26</v>
      </c>
      <c r="E1017" s="78">
        <f>10.15*0.97</f>
        <v>9.8454999999999995</v>
      </c>
      <c r="F1017" s="65"/>
      <c r="G1017" s="65">
        <v>300</v>
      </c>
      <c r="H1017" s="65">
        <f t="shared" si="80"/>
        <v>300</v>
      </c>
      <c r="I1017" s="79">
        <f t="shared" si="77"/>
        <v>0</v>
      </c>
      <c r="J1017" s="79">
        <f t="shared" si="78"/>
        <v>2953.65</v>
      </c>
      <c r="K1017" s="79">
        <f t="shared" si="79"/>
        <v>2953.65</v>
      </c>
      <c r="L1017" s="121"/>
    </row>
    <row r="1018" spans="2:12" x14ac:dyDescent="0.35">
      <c r="B1018" s="111">
        <f t="shared" si="76"/>
        <v>1008</v>
      </c>
      <c r="C1018" s="64" t="s">
        <v>19</v>
      </c>
      <c r="D1018" s="81" t="s">
        <v>26</v>
      </c>
      <c r="E1018" s="78">
        <f>E1017/9</f>
        <v>1.0939444444444444</v>
      </c>
      <c r="F1018" s="65"/>
      <c r="G1018" s="65">
        <v>1500</v>
      </c>
      <c r="H1018" s="65">
        <f t="shared" si="80"/>
        <v>1500</v>
      </c>
      <c r="I1018" s="79">
        <f t="shared" si="77"/>
        <v>0</v>
      </c>
      <c r="J1018" s="79">
        <f t="shared" si="78"/>
        <v>1640.92</v>
      </c>
      <c r="K1018" s="79">
        <f t="shared" si="79"/>
        <v>1640.92</v>
      </c>
      <c r="L1018" s="121"/>
    </row>
    <row r="1019" spans="2:12" x14ac:dyDescent="0.35">
      <c r="B1019" s="111">
        <f t="shared" si="76"/>
        <v>1009</v>
      </c>
      <c r="C1019" s="64" t="s">
        <v>67</v>
      </c>
      <c r="D1019" s="81" t="s">
        <v>25</v>
      </c>
      <c r="E1019" s="78">
        <f>(3.14*2.4^2)/4</f>
        <v>4.5216000000000003</v>
      </c>
      <c r="F1019" s="65"/>
      <c r="G1019" s="123"/>
      <c r="H1019" s="65">
        <f t="shared" si="80"/>
        <v>0</v>
      </c>
      <c r="I1019" s="79">
        <f t="shared" si="77"/>
        <v>0</v>
      </c>
      <c r="J1019" s="79">
        <f t="shared" si="78"/>
        <v>0</v>
      </c>
      <c r="K1019" s="79">
        <f t="shared" si="79"/>
        <v>0</v>
      </c>
      <c r="L1019" s="121"/>
    </row>
    <row r="1020" spans="2:12" x14ac:dyDescent="0.35">
      <c r="B1020" s="111">
        <f t="shared" si="76"/>
        <v>1010</v>
      </c>
      <c r="C1020" s="64" t="s">
        <v>68</v>
      </c>
      <c r="D1020" s="81" t="s">
        <v>26</v>
      </c>
      <c r="E1020" s="78">
        <f>(3.14*2.2^2)/4*0.1</f>
        <v>0.37994000000000011</v>
      </c>
      <c r="F1020" s="65"/>
      <c r="G1020" s="65">
        <v>5860</v>
      </c>
      <c r="H1020" s="65">
        <f t="shared" si="80"/>
        <v>5860</v>
      </c>
      <c r="I1020" s="79">
        <f t="shared" si="77"/>
        <v>0</v>
      </c>
      <c r="J1020" s="79">
        <f t="shared" si="78"/>
        <v>2226.4499999999998</v>
      </c>
      <c r="K1020" s="79">
        <f t="shared" si="79"/>
        <v>2226.4499999999998</v>
      </c>
      <c r="L1020" s="121"/>
    </row>
    <row r="1021" spans="2:12" x14ac:dyDescent="0.35">
      <c r="B1021" s="111">
        <f t="shared" si="76"/>
        <v>1011</v>
      </c>
      <c r="C1021" s="80" t="s">
        <v>159</v>
      </c>
      <c r="D1021" s="81" t="s">
        <v>26</v>
      </c>
      <c r="E1021" s="78">
        <f>E1020*1.02</f>
        <v>0.38753880000000013</v>
      </c>
      <c r="F1021" s="65">
        <v>6700</v>
      </c>
      <c r="G1021" s="123"/>
      <c r="H1021" s="65">
        <f t="shared" si="80"/>
        <v>6700</v>
      </c>
      <c r="I1021" s="79">
        <f t="shared" si="77"/>
        <v>2596.5100000000002</v>
      </c>
      <c r="J1021" s="79">
        <f t="shared" si="78"/>
        <v>0</v>
      </c>
      <c r="K1021" s="79">
        <f t="shared" si="79"/>
        <v>2596.5100000000002</v>
      </c>
      <c r="L1021" s="121"/>
    </row>
    <row r="1022" spans="2:12" x14ac:dyDescent="0.35">
      <c r="B1022" s="111">
        <f t="shared" si="76"/>
        <v>1012</v>
      </c>
      <c r="C1022" s="64" t="s">
        <v>151</v>
      </c>
      <c r="D1022" s="81" t="s">
        <v>25</v>
      </c>
      <c r="E1022" s="78">
        <f>(3.14*2^2)/4</f>
        <v>3.14</v>
      </c>
      <c r="F1022" s="65">
        <v>68.5</v>
      </c>
      <c r="G1022" s="65">
        <v>150</v>
      </c>
      <c r="H1022" s="65">
        <f t="shared" si="80"/>
        <v>218.5</v>
      </c>
      <c r="I1022" s="79">
        <f t="shared" si="77"/>
        <v>215.09</v>
      </c>
      <c r="J1022" s="79">
        <f t="shared" si="78"/>
        <v>471</v>
      </c>
      <c r="K1022" s="79">
        <f t="shared" si="79"/>
        <v>686.09</v>
      </c>
      <c r="L1022" s="121"/>
    </row>
    <row r="1023" spans="2:12" ht="31" x14ac:dyDescent="0.35">
      <c r="B1023" s="111">
        <f t="shared" si="76"/>
        <v>1013</v>
      </c>
      <c r="C1023" s="64" t="s">
        <v>152</v>
      </c>
      <c r="D1023" s="81" t="s">
        <v>25</v>
      </c>
      <c r="E1023" s="78">
        <f>E1022</f>
        <v>3.14</v>
      </c>
      <c r="F1023" s="65">
        <v>927</v>
      </c>
      <c r="G1023" s="65">
        <v>400</v>
      </c>
      <c r="H1023" s="65">
        <f t="shared" si="80"/>
        <v>1327</v>
      </c>
      <c r="I1023" s="79">
        <f t="shared" si="77"/>
        <v>2910.78</v>
      </c>
      <c r="J1023" s="79">
        <f t="shared" si="78"/>
        <v>1256</v>
      </c>
      <c r="K1023" s="79">
        <f t="shared" si="79"/>
        <v>4166.7800000000007</v>
      </c>
      <c r="L1023" s="121"/>
    </row>
    <row r="1024" spans="2:12" ht="31" x14ac:dyDescent="0.35">
      <c r="B1024" s="111">
        <f t="shared" si="76"/>
        <v>1014</v>
      </c>
      <c r="C1024" s="64" t="s">
        <v>107</v>
      </c>
      <c r="D1024" s="81" t="s">
        <v>32</v>
      </c>
      <c r="E1024" s="78">
        <v>1</v>
      </c>
      <c r="F1024" s="65"/>
      <c r="G1024" s="65">
        <v>5662</v>
      </c>
      <c r="H1024" s="65">
        <f t="shared" si="80"/>
        <v>5662</v>
      </c>
      <c r="I1024" s="79">
        <f t="shared" si="77"/>
        <v>0</v>
      </c>
      <c r="J1024" s="79">
        <f t="shared" si="78"/>
        <v>5662</v>
      </c>
      <c r="K1024" s="79">
        <f t="shared" si="79"/>
        <v>5662</v>
      </c>
      <c r="L1024" s="121"/>
    </row>
    <row r="1025" spans="2:12" x14ac:dyDescent="0.35">
      <c r="B1025" s="111">
        <f t="shared" si="76"/>
        <v>1015</v>
      </c>
      <c r="C1025" s="82" t="s">
        <v>108</v>
      </c>
      <c r="D1025" s="81" t="s">
        <v>32</v>
      </c>
      <c r="E1025" s="78">
        <v>1</v>
      </c>
      <c r="F1025" s="65">
        <f>6000*1.2</f>
        <v>7200</v>
      </c>
      <c r="G1025" s="123"/>
      <c r="H1025" s="65">
        <f t="shared" si="80"/>
        <v>7200</v>
      </c>
      <c r="I1025" s="79">
        <f t="shared" si="77"/>
        <v>7200</v>
      </c>
      <c r="J1025" s="79">
        <f t="shared" si="78"/>
        <v>0</v>
      </c>
      <c r="K1025" s="79">
        <f t="shared" si="79"/>
        <v>7200</v>
      </c>
      <c r="L1025" s="121"/>
    </row>
    <row r="1026" spans="2:12" x14ac:dyDescent="0.35">
      <c r="B1026" s="111">
        <f t="shared" si="76"/>
        <v>1016</v>
      </c>
      <c r="C1026" s="82" t="s">
        <v>101</v>
      </c>
      <c r="D1026" s="81" t="s">
        <v>26</v>
      </c>
      <c r="E1026" s="78">
        <f>((3.14*2^2)/4*0.02)*1.02</f>
        <v>6.4056000000000016E-2</v>
      </c>
      <c r="F1026" s="65">
        <v>7300</v>
      </c>
      <c r="G1026" s="123"/>
      <c r="H1026" s="65">
        <f t="shared" si="80"/>
        <v>7300</v>
      </c>
      <c r="I1026" s="79">
        <f t="shared" si="77"/>
        <v>467.61</v>
      </c>
      <c r="J1026" s="79">
        <f t="shared" si="78"/>
        <v>0</v>
      </c>
      <c r="K1026" s="79">
        <f t="shared" si="79"/>
        <v>467.61</v>
      </c>
      <c r="L1026" s="121"/>
    </row>
    <row r="1027" spans="2:12" ht="31" x14ac:dyDescent="0.35">
      <c r="B1027" s="111">
        <f t="shared" si="76"/>
        <v>1017</v>
      </c>
      <c r="C1027" s="64" t="s">
        <v>179</v>
      </c>
      <c r="D1027" s="81" t="s">
        <v>26</v>
      </c>
      <c r="E1027" s="78">
        <v>1.2</v>
      </c>
      <c r="F1027" s="65"/>
      <c r="G1027" s="65">
        <v>5860</v>
      </c>
      <c r="H1027" s="65">
        <f t="shared" si="80"/>
        <v>5860</v>
      </c>
      <c r="I1027" s="79">
        <f t="shared" si="77"/>
        <v>0</v>
      </c>
      <c r="J1027" s="79">
        <f t="shared" si="78"/>
        <v>7032</v>
      </c>
      <c r="K1027" s="79">
        <f t="shared" si="79"/>
        <v>7032</v>
      </c>
      <c r="L1027" s="121"/>
    </row>
    <row r="1028" spans="2:12" x14ac:dyDescent="0.35">
      <c r="B1028" s="111">
        <f t="shared" si="76"/>
        <v>1018</v>
      </c>
      <c r="C1028" s="82" t="s">
        <v>75</v>
      </c>
      <c r="D1028" s="81" t="s">
        <v>26</v>
      </c>
      <c r="E1028" s="78">
        <f>E1027*1.02</f>
        <v>1.224</v>
      </c>
      <c r="F1028" s="65">
        <v>7100</v>
      </c>
      <c r="G1028" s="123"/>
      <c r="H1028" s="65">
        <f t="shared" si="80"/>
        <v>7100</v>
      </c>
      <c r="I1028" s="79">
        <f t="shared" si="77"/>
        <v>8690.4</v>
      </c>
      <c r="J1028" s="79">
        <f t="shared" si="78"/>
        <v>0</v>
      </c>
      <c r="K1028" s="79">
        <f t="shared" si="79"/>
        <v>8690.4</v>
      </c>
      <c r="L1028" s="121"/>
    </row>
    <row r="1029" spans="2:12" ht="31" x14ac:dyDescent="0.35">
      <c r="B1029" s="111">
        <f t="shared" si="76"/>
        <v>1019</v>
      </c>
      <c r="C1029" s="64" t="s">
        <v>78</v>
      </c>
      <c r="D1029" s="81" t="s">
        <v>32</v>
      </c>
      <c r="E1029" s="78">
        <v>3</v>
      </c>
      <c r="F1029" s="65"/>
      <c r="G1029" s="65">
        <v>5662</v>
      </c>
      <c r="H1029" s="65">
        <f t="shared" si="80"/>
        <v>5662</v>
      </c>
      <c r="I1029" s="79">
        <f t="shared" si="77"/>
        <v>0</v>
      </c>
      <c r="J1029" s="79">
        <f t="shared" si="78"/>
        <v>16986</v>
      </c>
      <c r="K1029" s="79">
        <f t="shared" si="79"/>
        <v>16986</v>
      </c>
      <c r="L1029" s="121"/>
    </row>
    <row r="1030" spans="2:12" x14ac:dyDescent="0.35">
      <c r="B1030" s="111">
        <f t="shared" si="76"/>
        <v>1020</v>
      </c>
      <c r="C1030" s="82" t="s">
        <v>110</v>
      </c>
      <c r="D1030" s="81" t="s">
        <v>32</v>
      </c>
      <c r="E1030" s="78">
        <v>1</v>
      </c>
      <c r="F1030" s="65">
        <f>4500*1.2</f>
        <v>5400</v>
      </c>
      <c r="G1030" s="123"/>
      <c r="H1030" s="65">
        <f t="shared" si="80"/>
        <v>5400</v>
      </c>
      <c r="I1030" s="79">
        <f t="shared" si="77"/>
        <v>5400</v>
      </c>
      <c r="J1030" s="79">
        <f t="shared" si="78"/>
        <v>0</v>
      </c>
      <c r="K1030" s="79">
        <f t="shared" si="79"/>
        <v>5400</v>
      </c>
      <c r="L1030" s="121"/>
    </row>
    <row r="1031" spans="2:12" x14ac:dyDescent="0.35">
      <c r="B1031" s="111">
        <f t="shared" si="76"/>
        <v>1021</v>
      </c>
      <c r="C1031" s="82" t="s">
        <v>109</v>
      </c>
      <c r="D1031" s="81" t="s">
        <v>32</v>
      </c>
      <c r="E1031" s="78">
        <v>1</v>
      </c>
      <c r="F1031" s="65">
        <f>6000*1.2</f>
        <v>7200</v>
      </c>
      <c r="G1031" s="123"/>
      <c r="H1031" s="65">
        <f t="shared" si="80"/>
        <v>7200</v>
      </c>
      <c r="I1031" s="79">
        <f t="shared" si="77"/>
        <v>7200</v>
      </c>
      <c r="J1031" s="79">
        <f t="shared" si="78"/>
        <v>0</v>
      </c>
      <c r="K1031" s="79">
        <f t="shared" si="79"/>
        <v>7200</v>
      </c>
      <c r="L1031" s="121"/>
    </row>
    <row r="1032" spans="2:12" x14ac:dyDescent="0.35">
      <c r="B1032" s="111">
        <f t="shared" si="76"/>
        <v>1022</v>
      </c>
      <c r="C1032" s="82" t="s">
        <v>98</v>
      </c>
      <c r="D1032" s="81" t="s">
        <v>32</v>
      </c>
      <c r="E1032" s="78">
        <v>1</v>
      </c>
      <c r="F1032" s="65">
        <f>700*1.2</f>
        <v>840</v>
      </c>
      <c r="G1032" s="123"/>
      <c r="H1032" s="65">
        <f t="shared" si="80"/>
        <v>840</v>
      </c>
      <c r="I1032" s="79">
        <f t="shared" si="77"/>
        <v>840</v>
      </c>
      <c r="J1032" s="79">
        <f t="shared" si="78"/>
        <v>0</v>
      </c>
      <c r="K1032" s="79">
        <f t="shared" si="79"/>
        <v>840</v>
      </c>
      <c r="L1032" s="121"/>
    </row>
    <row r="1033" spans="2:12" ht="31" x14ac:dyDescent="0.35">
      <c r="B1033" s="111">
        <f t="shared" si="76"/>
        <v>1023</v>
      </c>
      <c r="C1033" s="64" t="s">
        <v>85</v>
      </c>
      <c r="D1033" s="81" t="s">
        <v>32</v>
      </c>
      <c r="E1033" s="78">
        <v>1</v>
      </c>
      <c r="F1033" s="65"/>
      <c r="G1033" s="65">
        <v>2500</v>
      </c>
      <c r="H1033" s="65">
        <f t="shared" si="80"/>
        <v>2500</v>
      </c>
      <c r="I1033" s="79">
        <f t="shared" si="77"/>
        <v>0</v>
      </c>
      <c r="J1033" s="79">
        <f t="shared" si="78"/>
        <v>2500</v>
      </c>
      <c r="K1033" s="79">
        <f t="shared" si="79"/>
        <v>2500</v>
      </c>
      <c r="L1033" s="121"/>
    </row>
    <row r="1034" spans="2:12" x14ac:dyDescent="0.35">
      <c r="B1034" s="111">
        <f t="shared" si="76"/>
        <v>1024</v>
      </c>
      <c r="C1034" s="82" t="s">
        <v>154</v>
      </c>
      <c r="D1034" s="81" t="s">
        <v>32</v>
      </c>
      <c r="E1034" s="78">
        <v>1</v>
      </c>
      <c r="F1034" s="65">
        <f>5500*1.2</f>
        <v>6600</v>
      </c>
      <c r="G1034" s="123"/>
      <c r="H1034" s="65">
        <f t="shared" si="80"/>
        <v>6600</v>
      </c>
      <c r="I1034" s="79">
        <f t="shared" si="77"/>
        <v>6600</v>
      </c>
      <c r="J1034" s="79">
        <f t="shared" si="78"/>
        <v>0</v>
      </c>
      <c r="K1034" s="79">
        <f t="shared" si="79"/>
        <v>6600</v>
      </c>
      <c r="L1034" s="121"/>
    </row>
    <row r="1035" spans="2:12" ht="32" customHeight="1" x14ac:dyDescent="0.35">
      <c r="B1035" s="111">
        <f t="shared" si="76"/>
        <v>1025</v>
      </c>
      <c r="C1035" s="90" t="s">
        <v>351</v>
      </c>
      <c r="D1035" s="81" t="s">
        <v>32</v>
      </c>
      <c r="E1035" s="78">
        <v>1</v>
      </c>
      <c r="F1035" s="65"/>
      <c r="G1035" s="65"/>
      <c r="H1035" s="65">
        <f t="shared" si="80"/>
        <v>0</v>
      </c>
      <c r="I1035" s="79">
        <f t="shared" si="77"/>
        <v>0</v>
      </c>
      <c r="J1035" s="79">
        <f t="shared" si="78"/>
        <v>0</v>
      </c>
      <c r="K1035" s="79">
        <f t="shared" si="79"/>
        <v>0</v>
      </c>
      <c r="L1035" s="121"/>
    </row>
    <row r="1036" spans="2:12" x14ac:dyDescent="0.35">
      <c r="B1036" s="111">
        <f t="shared" si="76"/>
        <v>1026</v>
      </c>
      <c r="C1036" s="91" t="s">
        <v>84</v>
      </c>
      <c r="D1036" s="81" t="s">
        <v>32</v>
      </c>
      <c r="E1036" s="78">
        <v>1</v>
      </c>
      <c r="F1036" s="65">
        <v>1300</v>
      </c>
      <c r="G1036" s="65">
        <v>990</v>
      </c>
      <c r="H1036" s="65">
        <f t="shared" si="80"/>
        <v>2290</v>
      </c>
      <c r="I1036" s="79">
        <f t="shared" si="77"/>
        <v>1300</v>
      </c>
      <c r="J1036" s="79">
        <f t="shared" si="78"/>
        <v>990</v>
      </c>
      <c r="K1036" s="79">
        <f t="shared" si="79"/>
        <v>2290</v>
      </c>
      <c r="L1036" s="121"/>
    </row>
    <row r="1037" spans="2:12" x14ac:dyDescent="0.35">
      <c r="B1037" s="111">
        <f t="shared" ref="B1037:B1100" si="81">B1036+1</f>
        <v>1027</v>
      </c>
      <c r="C1037" s="92" t="s">
        <v>301</v>
      </c>
      <c r="D1037" s="81" t="s">
        <v>32</v>
      </c>
      <c r="E1037" s="78">
        <v>1</v>
      </c>
      <c r="F1037" s="65">
        <v>6000</v>
      </c>
      <c r="G1037" s="65">
        <v>1464.09</v>
      </c>
      <c r="H1037" s="65">
        <f t="shared" si="80"/>
        <v>7464.09</v>
      </c>
      <c r="I1037" s="79">
        <f t="shared" ref="I1037:I1100" si="82">ROUND(F1037*E1037,2)</f>
        <v>6000</v>
      </c>
      <c r="J1037" s="79">
        <f t="shared" ref="J1037:J1100" si="83">ROUND(G1037*E1037,2)</f>
        <v>1464.09</v>
      </c>
      <c r="K1037" s="79">
        <f t="shared" ref="K1037:K1100" si="84">I1037+J1037</f>
        <v>7464.09</v>
      </c>
      <c r="L1037" s="121"/>
    </row>
    <row r="1038" spans="2:12" ht="31" x14ac:dyDescent="0.35">
      <c r="B1038" s="111">
        <f t="shared" si="81"/>
        <v>1028</v>
      </c>
      <c r="C1038" s="64" t="s">
        <v>156</v>
      </c>
      <c r="D1038" s="81" t="s">
        <v>25</v>
      </c>
      <c r="E1038" s="78">
        <f>(3.14*1.68)*2.23+2.22</f>
        <v>13.983696</v>
      </c>
      <c r="F1038" s="65">
        <v>68.5</v>
      </c>
      <c r="G1038" s="65">
        <v>150</v>
      </c>
      <c r="H1038" s="65">
        <f t="shared" si="80"/>
        <v>218.5</v>
      </c>
      <c r="I1038" s="79">
        <f t="shared" si="82"/>
        <v>957.88</v>
      </c>
      <c r="J1038" s="79">
        <f t="shared" si="83"/>
        <v>2097.5500000000002</v>
      </c>
      <c r="K1038" s="79">
        <f t="shared" si="84"/>
        <v>3055.4300000000003</v>
      </c>
      <c r="L1038" s="121"/>
    </row>
    <row r="1039" spans="2:12" ht="46.5" x14ac:dyDescent="0.35">
      <c r="B1039" s="111">
        <f t="shared" si="81"/>
        <v>1029</v>
      </c>
      <c r="C1039" s="64" t="s">
        <v>157</v>
      </c>
      <c r="D1039" s="81" t="s">
        <v>25</v>
      </c>
      <c r="E1039" s="78">
        <f>(3.14*1.68)*2.23+2.22</f>
        <v>13.983696</v>
      </c>
      <c r="F1039" s="65">
        <v>927</v>
      </c>
      <c r="G1039" s="65">
        <v>400</v>
      </c>
      <c r="H1039" s="65">
        <f t="shared" ref="H1039:H1102" si="85">F1039+G1039</f>
        <v>1327</v>
      </c>
      <c r="I1039" s="79">
        <f t="shared" si="82"/>
        <v>12962.89</v>
      </c>
      <c r="J1039" s="79">
        <f t="shared" si="83"/>
        <v>5593.48</v>
      </c>
      <c r="K1039" s="79">
        <f t="shared" si="84"/>
        <v>18556.37</v>
      </c>
      <c r="L1039" s="121"/>
    </row>
    <row r="1040" spans="2:12" x14ac:dyDescent="0.35">
      <c r="B1040" s="111">
        <f t="shared" si="81"/>
        <v>1030</v>
      </c>
      <c r="C1040" s="64" t="s">
        <v>314</v>
      </c>
      <c r="D1040" s="81" t="s">
        <v>32</v>
      </c>
      <c r="E1040" s="78">
        <v>1</v>
      </c>
      <c r="F1040" s="65"/>
      <c r="G1040" s="123"/>
      <c r="H1040" s="65">
        <f t="shared" si="85"/>
        <v>0</v>
      </c>
      <c r="I1040" s="79">
        <f t="shared" si="82"/>
        <v>0</v>
      </c>
      <c r="J1040" s="79">
        <f t="shared" si="83"/>
        <v>0</v>
      </c>
      <c r="K1040" s="79">
        <f t="shared" si="84"/>
        <v>0</v>
      </c>
      <c r="L1040" s="121"/>
    </row>
    <row r="1041" spans="2:12" x14ac:dyDescent="0.35">
      <c r="B1041" s="111">
        <f t="shared" si="81"/>
        <v>1031</v>
      </c>
      <c r="C1041" s="82" t="s">
        <v>315</v>
      </c>
      <c r="D1041" s="81" t="s">
        <v>31</v>
      </c>
      <c r="E1041" s="78">
        <v>17.079999999999998</v>
      </c>
      <c r="F1041" s="68">
        <v>71</v>
      </c>
      <c r="G1041" s="65">
        <v>97.61</v>
      </c>
      <c r="H1041" s="65">
        <f t="shared" si="85"/>
        <v>168.61</v>
      </c>
      <c r="I1041" s="79">
        <f t="shared" si="82"/>
        <v>1212.68</v>
      </c>
      <c r="J1041" s="79">
        <f t="shared" si="83"/>
        <v>1667.18</v>
      </c>
      <c r="K1041" s="79">
        <f t="shared" si="84"/>
        <v>2879.86</v>
      </c>
      <c r="L1041" s="121"/>
    </row>
    <row r="1042" spans="2:12" x14ac:dyDescent="0.35">
      <c r="B1042" s="111">
        <f t="shared" si="81"/>
        <v>1032</v>
      </c>
      <c r="C1042" s="64" t="s">
        <v>93</v>
      </c>
      <c r="D1042" s="81" t="s">
        <v>32</v>
      </c>
      <c r="E1042" s="83">
        <v>1</v>
      </c>
      <c r="F1042" s="65"/>
      <c r="G1042" s="123"/>
      <c r="H1042" s="65">
        <f t="shared" si="85"/>
        <v>0</v>
      </c>
      <c r="I1042" s="79">
        <f t="shared" si="82"/>
        <v>0</v>
      </c>
      <c r="J1042" s="79">
        <f t="shared" si="83"/>
        <v>0</v>
      </c>
      <c r="K1042" s="79">
        <f t="shared" si="84"/>
        <v>0</v>
      </c>
      <c r="L1042" s="121"/>
    </row>
    <row r="1043" spans="2:12" x14ac:dyDescent="0.35">
      <c r="B1043" s="111">
        <f t="shared" si="81"/>
        <v>1033</v>
      </c>
      <c r="C1043" s="82" t="s">
        <v>94</v>
      </c>
      <c r="D1043" s="81" t="s">
        <v>31</v>
      </c>
      <c r="E1043" s="78">
        <f>0.82*E1042</f>
        <v>0.82</v>
      </c>
      <c r="F1043" s="68">
        <v>71</v>
      </c>
      <c r="G1043" s="65">
        <v>97.61</v>
      </c>
      <c r="H1043" s="65">
        <f t="shared" si="85"/>
        <v>168.61</v>
      </c>
      <c r="I1043" s="79">
        <f t="shared" si="82"/>
        <v>58.22</v>
      </c>
      <c r="J1043" s="79">
        <f t="shared" si="83"/>
        <v>80.040000000000006</v>
      </c>
      <c r="K1043" s="79">
        <f t="shared" si="84"/>
        <v>138.26</v>
      </c>
      <c r="L1043" s="121"/>
    </row>
    <row r="1044" spans="2:12" ht="31" x14ac:dyDescent="0.35">
      <c r="B1044" s="111">
        <f t="shared" si="81"/>
        <v>1034</v>
      </c>
      <c r="C1044" s="64" t="s">
        <v>153</v>
      </c>
      <c r="D1044" s="81" t="s">
        <v>32</v>
      </c>
      <c r="E1044" s="83">
        <v>3</v>
      </c>
      <c r="F1044" s="65"/>
      <c r="G1044" s="65">
        <v>1464</v>
      </c>
      <c r="H1044" s="65">
        <f t="shared" si="85"/>
        <v>1464</v>
      </c>
      <c r="I1044" s="79">
        <f t="shared" si="82"/>
        <v>0</v>
      </c>
      <c r="J1044" s="79">
        <f t="shared" si="83"/>
        <v>4392</v>
      </c>
      <c r="K1044" s="79">
        <f t="shared" si="84"/>
        <v>4392</v>
      </c>
      <c r="L1044" s="121"/>
    </row>
    <row r="1045" spans="2:12" x14ac:dyDescent="0.35">
      <c r="B1045" s="111">
        <f t="shared" si="81"/>
        <v>1035</v>
      </c>
      <c r="C1045" s="64" t="s">
        <v>329</v>
      </c>
      <c r="D1045" s="81"/>
      <c r="E1045" s="83"/>
      <c r="F1045" s="65"/>
      <c r="G1045" s="123"/>
      <c r="H1045" s="65">
        <f t="shared" si="85"/>
        <v>0</v>
      </c>
      <c r="I1045" s="79">
        <f t="shared" si="82"/>
        <v>0</v>
      </c>
      <c r="J1045" s="79">
        <f t="shared" si="83"/>
        <v>0</v>
      </c>
      <c r="K1045" s="79">
        <f t="shared" si="84"/>
        <v>0</v>
      </c>
      <c r="L1045" s="121">
        <v>1</v>
      </c>
    </row>
    <row r="1046" spans="2:12" ht="31" x14ac:dyDescent="0.35">
      <c r="B1046" s="111">
        <f t="shared" si="81"/>
        <v>1036</v>
      </c>
      <c r="C1046" s="80" t="s">
        <v>309</v>
      </c>
      <c r="D1046" s="81" t="s">
        <v>32</v>
      </c>
      <c r="E1046" s="83">
        <v>1</v>
      </c>
      <c r="F1046" s="65">
        <v>2263</v>
      </c>
      <c r="G1046" s="65">
        <v>1700</v>
      </c>
      <c r="H1046" s="65">
        <f t="shared" si="85"/>
        <v>3963</v>
      </c>
      <c r="I1046" s="79">
        <f t="shared" si="82"/>
        <v>2263</v>
      </c>
      <c r="J1046" s="79">
        <f t="shared" si="83"/>
        <v>1700</v>
      </c>
      <c r="K1046" s="79">
        <f t="shared" si="84"/>
        <v>3963</v>
      </c>
      <c r="L1046" s="121"/>
    </row>
    <row r="1047" spans="2:12" ht="31" x14ac:dyDescent="0.35">
      <c r="B1047" s="111">
        <f t="shared" si="81"/>
        <v>1037</v>
      </c>
      <c r="C1047" s="80" t="s">
        <v>310</v>
      </c>
      <c r="D1047" s="81" t="s">
        <v>32</v>
      </c>
      <c r="E1047" s="83">
        <v>1</v>
      </c>
      <c r="F1047" s="65">
        <v>1303</v>
      </c>
      <c r="G1047" s="65">
        <v>1700</v>
      </c>
      <c r="H1047" s="65">
        <f t="shared" si="85"/>
        <v>3003</v>
      </c>
      <c r="I1047" s="79">
        <f t="shared" si="82"/>
        <v>1303</v>
      </c>
      <c r="J1047" s="79">
        <f t="shared" si="83"/>
        <v>1700</v>
      </c>
      <c r="K1047" s="79">
        <f t="shared" si="84"/>
        <v>3003</v>
      </c>
      <c r="L1047" s="121"/>
    </row>
    <row r="1048" spans="2:12" ht="31" x14ac:dyDescent="0.35">
      <c r="B1048" s="111">
        <f t="shared" si="81"/>
        <v>1038</v>
      </c>
      <c r="C1048" s="80" t="s">
        <v>63</v>
      </c>
      <c r="D1048" s="81" t="s">
        <v>27</v>
      </c>
      <c r="E1048" s="83">
        <f>0.43*1.1</f>
        <v>0.47300000000000003</v>
      </c>
      <c r="F1048" s="65">
        <v>855</v>
      </c>
      <c r="G1048" s="65">
        <v>1700</v>
      </c>
      <c r="H1048" s="65">
        <f t="shared" si="85"/>
        <v>2555</v>
      </c>
      <c r="I1048" s="79">
        <f t="shared" si="82"/>
        <v>404.42</v>
      </c>
      <c r="J1048" s="79">
        <f t="shared" si="83"/>
        <v>804.1</v>
      </c>
      <c r="K1048" s="79">
        <f t="shared" si="84"/>
        <v>1208.52</v>
      </c>
      <c r="L1048" s="121"/>
    </row>
    <row r="1049" spans="2:12" ht="33" x14ac:dyDescent="0.35">
      <c r="B1049" s="111">
        <f t="shared" si="81"/>
        <v>1039</v>
      </c>
      <c r="C1049" s="64" t="s">
        <v>362</v>
      </c>
      <c r="D1049" s="81" t="s">
        <v>26</v>
      </c>
      <c r="E1049" s="78">
        <f>15.7-4.94</f>
        <v>10.759999999999998</v>
      </c>
      <c r="F1049" s="65"/>
      <c r="G1049" s="65">
        <v>439</v>
      </c>
      <c r="H1049" s="65">
        <f t="shared" si="85"/>
        <v>439</v>
      </c>
      <c r="I1049" s="79">
        <f t="shared" si="82"/>
        <v>0</v>
      </c>
      <c r="J1049" s="79">
        <f t="shared" si="83"/>
        <v>4723.6400000000003</v>
      </c>
      <c r="K1049" s="79">
        <f t="shared" si="84"/>
        <v>4723.6400000000003</v>
      </c>
      <c r="L1049" s="121"/>
    </row>
    <row r="1050" spans="2:12" ht="30" x14ac:dyDescent="0.35">
      <c r="B1050" s="111">
        <f t="shared" si="81"/>
        <v>1040</v>
      </c>
      <c r="C1050" s="98" t="s">
        <v>242</v>
      </c>
      <c r="D1050" s="99" t="s">
        <v>27</v>
      </c>
      <c r="E1050" s="100">
        <v>6</v>
      </c>
      <c r="F1050" s="101"/>
      <c r="G1050" s="106"/>
      <c r="H1050" s="101">
        <f t="shared" si="85"/>
        <v>0</v>
      </c>
      <c r="I1050" s="101">
        <f t="shared" si="82"/>
        <v>0</v>
      </c>
      <c r="J1050" s="101">
        <f t="shared" si="83"/>
        <v>0</v>
      </c>
      <c r="K1050" s="101">
        <f t="shared" si="84"/>
        <v>0</v>
      </c>
      <c r="L1050" s="121"/>
    </row>
    <row r="1051" spans="2:12" ht="31" x14ac:dyDescent="0.35">
      <c r="B1051" s="111">
        <f t="shared" si="81"/>
        <v>1041</v>
      </c>
      <c r="C1051" s="64" t="s">
        <v>348</v>
      </c>
      <c r="D1051" s="77" t="s">
        <v>26</v>
      </c>
      <c r="E1051" s="78">
        <f>0.97*3.59</f>
        <v>3.4823</v>
      </c>
      <c r="F1051" s="65"/>
      <c r="G1051" s="65">
        <v>300</v>
      </c>
      <c r="H1051" s="65">
        <f t="shared" si="85"/>
        <v>300</v>
      </c>
      <c r="I1051" s="79">
        <f t="shared" si="82"/>
        <v>0</v>
      </c>
      <c r="J1051" s="79">
        <f t="shared" si="83"/>
        <v>1044.69</v>
      </c>
      <c r="K1051" s="79">
        <f t="shared" si="84"/>
        <v>1044.69</v>
      </c>
      <c r="L1051" s="121"/>
    </row>
    <row r="1052" spans="2:12" x14ac:dyDescent="0.35">
      <c r="B1052" s="111">
        <f t="shared" si="81"/>
        <v>1042</v>
      </c>
      <c r="C1052" s="64" t="s">
        <v>19</v>
      </c>
      <c r="D1052" s="77" t="s">
        <v>26</v>
      </c>
      <c r="E1052" s="78">
        <f>E1051/97*3</f>
        <v>0.1077</v>
      </c>
      <c r="F1052" s="65"/>
      <c r="G1052" s="65">
        <v>1500</v>
      </c>
      <c r="H1052" s="65">
        <f t="shared" si="85"/>
        <v>1500</v>
      </c>
      <c r="I1052" s="79">
        <f t="shared" si="82"/>
        <v>0</v>
      </c>
      <c r="J1052" s="79">
        <f t="shared" si="83"/>
        <v>161.55000000000001</v>
      </c>
      <c r="K1052" s="79">
        <f t="shared" si="84"/>
        <v>161.55000000000001</v>
      </c>
      <c r="L1052" s="121"/>
    </row>
    <row r="1053" spans="2:12" x14ac:dyDescent="0.35">
      <c r="B1053" s="111">
        <f t="shared" si="81"/>
        <v>1043</v>
      </c>
      <c r="C1053" s="64" t="s">
        <v>184</v>
      </c>
      <c r="D1053" s="77" t="s">
        <v>25</v>
      </c>
      <c r="E1053" s="78">
        <f>E1050*0.75</f>
        <v>4.5</v>
      </c>
      <c r="F1053" s="65"/>
      <c r="G1053" s="123"/>
      <c r="H1053" s="65">
        <f t="shared" si="85"/>
        <v>0</v>
      </c>
      <c r="I1053" s="79">
        <f t="shared" si="82"/>
        <v>0</v>
      </c>
      <c r="J1053" s="79">
        <f t="shared" si="83"/>
        <v>0</v>
      </c>
      <c r="K1053" s="79">
        <f t="shared" si="84"/>
        <v>0</v>
      </c>
      <c r="L1053" s="121"/>
    </row>
    <row r="1054" spans="2:12" ht="31" x14ac:dyDescent="0.35">
      <c r="B1054" s="111">
        <f t="shared" si="81"/>
        <v>1044</v>
      </c>
      <c r="C1054" s="64" t="s">
        <v>194</v>
      </c>
      <c r="D1054" s="77" t="s">
        <v>25</v>
      </c>
      <c r="E1054" s="78">
        <f>E1050*0.48</f>
        <v>2.88</v>
      </c>
      <c r="F1054" s="65">
        <f>1973*0.15</f>
        <v>295.95</v>
      </c>
      <c r="G1054" s="65">
        <f>1500*0.15</f>
        <v>225</v>
      </c>
      <c r="H1054" s="65">
        <f t="shared" si="85"/>
        <v>520.95000000000005</v>
      </c>
      <c r="I1054" s="79">
        <f t="shared" si="82"/>
        <v>852.34</v>
      </c>
      <c r="J1054" s="79">
        <f t="shared" si="83"/>
        <v>648</v>
      </c>
      <c r="K1054" s="79">
        <f t="shared" si="84"/>
        <v>1500.3400000000001</v>
      </c>
      <c r="L1054" s="121"/>
    </row>
    <row r="1055" spans="2:12" x14ac:dyDescent="0.35">
      <c r="B1055" s="111">
        <f t="shared" si="81"/>
        <v>1045</v>
      </c>
      <c r="C1055" s="64" t="s">
        <v>20</v>
      </c>
      <c r="D1055" s="77" t="s">
        <v>26</v>
      </c>
      <c r="E1055" s="78">
        <f>0.34*E1050*0.1</f>
        <v>0.20400000000000001</v>
      </c>
      <c r="F1055" s="65"/>
      <c r="G1055" s="65">
        <v>5860</v>
      </c>
      <c r="H1055" s="65">
        <f t="shared" si="85"/>
        <v>5860</v>
      </c>
      <c r="I1055" s="79">
        <f t="shared" si="82"/>
        <v>0</v>
      </c>
      <c r="J1055" s="79">
        <f t="shared" si="83"/>
        <v>1195.44</v>
      </c>
      <c r="K1055" s="79">
        <f t="shared" si="84"/>
        <v>1195.44</v>
      </c>
      <c r="L1055" s="121"/>
    </row>
    <row r="1056" spans="2:12" x14ac:dyDescent="0.35">
      <c r="B1056" s="111">
        <f t="shared" si="81"/>
        <v>1046</v>
      </c>
      <c r="C1056" s="80" t="s">
        <v>159</v>
      </c>
      <c r="D1056" s="77" t="s">
        <v>26</v>
      </c>
      <c r="E1056" s="78">
        <f>E1055*1.02</f>
        <v>0.20808000000000001</v>
      </c>
      <c r="F1056" s="65">
        <v>6700</v>
      </c>
      <c r="G1056" s="123"/>
      <c r="H1056" s="65">
        <f t="shared" si="85"/>
        <v>6700</v>
      </c>
      <c r="I1056" s="79">
        <f t="shared" si="82"/>
        <v>1394.14</v>
      </c>
      <c r="J1056" s="79">
        <f t="shared" si="83"/>
        <v>0</v>
      </c>
      <c r="K1056" s="79">
        <f t="shared" si="84"/>
        <v>1394.14</v>
      </c>
      <c r="L1056" s="121"/>
    </row>
    <row r="1057" spans="2:12" x14ac:dyDescent="0.35">
      <c r="B1057" s="111">
        <f t="shared" si="81"/>
        <v>1047</v>
      </c>
      <c r="C1057" s="64" t="s">
        <v>28</v>
      </c>
      <c r="D1057" s="77" t="s">
        <v>26</v>
      </c>
      <c r="E1057" s="78">
        <f>E1050*0.8/10</f>
        <v>0.48000000000000009</v>
      </c>
      <c r="F1057" s="65"/>
      <c r="G1057" s="65">
        <v>5860</v>
      </c>
      <c r="H1057" s="65">
        <f t="shared" si="85"/>
        <v>5860</v>
      </c>
      <c r="I1057" s="79">
        <f t="shared" si="82"/>
        <v>0</v>
      </c>
      <c r="J1057" s="79">
        <f t="shared" si="83"/>
        <v>2812.8</v>
      </c>
      <c r="K1057" s="79">
        <f t="shared" si="84"/>
        <v>2812.8</v>
      </c>
      <c r="L1057" s="121"/>
    </row>
    <row r="1058" spans="2:12" x14ac:dyDescent="0.35">
      <c r="B1058" s="111">
        <f t="shared" si="81"/>
        <v>1048</v>
      </c>
      <c r="C1058" s="80" t="s">
        <v>29</v>
      </c>
      <c r="D1058" s="77" t="s">
        <v>26</v>
      </c>
      <c r="E1058" s="78">
        <f>E1057*1.02</f>
        <v>0.48960000000000009</v>
      </c>
      <c r="F1058" s="65">
        <v>7100</v>
      </c>
      <c r="G1058" s="123"/>
      <c r="H1058" s="65">
        <f t="shared" si="85"/>
        <v>7100</v>
      </c>
      <c r="I1058" s="79">
        <f t="shared" si="82"/>
        <v>3476.16</v>
      </c>
      <c r="J1058" s="79">
        <f t="shared" si="83"/>
        <v>0</v>
      </c>
      <c r="K1058" s="79">
        <f t="shared" si="84"/>
        <v>3476.16</v>
      </c>
      <c r="L1058" s="121"/>
    </row>
    <row r="1059" spans="2:12" x14ac:dyDescent="0.35">
      <c r="B1059" s="111">
        <f t="shared" si="81"/>
        <v>1049</v>
      </c>
      <c r="C1059" s="80" t="s">
        <v>30</v>
      </c>
      <c r="D1059" s="77" t="s">
        <v>31</v>
      </c>
      <c r="E1059" s="78">
        <f>E1050*1.22</f>
        <v>7.32</v>
      </c>
      <c r="F1059" s="65">
        <v>118.9</v>
      </c>
      <c r="G1059" s="123"/>
      <c r="H1059" s="65">
        <f t="shared" si="85"/>
        <v>118.9</v>
      </c>
      <c r="I1059" s="79">
        <f t="shared" si="82"/>
        <v>870.35</v>
      </c>
      <c r="J1059" s="79">
        <f t="shared" si="83"/>
        <v>0</v>
      </c>
      <c r="K1059" s="79">
        <f t="shared" si="84"/>
        <v>870.35</v>
      </c>
      <c r="L1059" s="121"/>
    </row>
    <row r="1060" spans="2:12" x14ac:dyDescent="0.35">
      <c r="B1060" s="111">
        <f t="shared" si="81"/>
        <v>1050</v>
      </c>
      <c r="C1060" s="64" t="s">
        <v>189</v>
      </c>
      <c r="D1060" s="77" t="s">
        <v>27</v>
      </c>
      <c r="E1060" s="78">
        <f>E1050</f>
        <v>6</v>
      </c>
      <c r="F1060" s="65"/>
      <c r="G1060" s="65">
        <v>2928</v>
      </c>
      <c r="H1060" s="65">
        <f t="shared" si="85"/>
        <v>2928</v>
      </c>
      <c r="I1060" s="79">
        <f t="shared" si="82"/>
        <v>0</v>
      </c>
      <c r="J1060" s="79">
        <f t="shared" si="83"/>
        <v>17568</v>
      </c>
      <c r="K1060" s="79">
        <f t="shared" si="84"/>
        <v>17568</v>
      </c>
      <c r="L1060" s="121"/>
    </row>
    <row r="1061" spans="2:12" ht="31" x14ac:dyDescent="0.35">
      <c r="B1061" s="111">
        <f t="shared" si="81"/>
        <v>1051</v>
      </c>
      <c r="C1061" s="80" t="s">
        <v>195</v>
      </c>
      <c r="D1061" s="77" t="s">
        <v>27</v>
      </c>
      <c r="E1061" s="78">
        <f>E1060*1.1</f>
        <v>6.6000000000000005</v>
      </c>
      <c r="F1061" s="65">
        <v>855</v>
      </c>
      <c r="G1061" s="65"/>
      <c r="H1061" s="65">
        <f t="shared" si="85"/>
        <v>855</v>
      </c>
      <c r="I1061" s="79">
        <f t="shared" si="82"/>
        <v>5643</v>
      </c>
      <c r="J1061" s="79">
        <f t="shared" si="83"/>
        <v>0</v>
      </c>
      <c r="K1061" s="79">
        <f t="shared" si="84"/>
        <v>5643</v>
      </c>
      <c r="L1061" s="121"/>
    </row>
    <row r="1062" spans="2:12" ht="33" x14ac:dyDescent="0.35">
      <c r="B1062" s="111">
        <f t="shared" si="81"/>
        <v>1052</v>
      </c>
      <c r="C1062" s="64" t="s">
        <v>355</v>
      </c>
      <c r="D1062" s="81" t="s">
        <v>26</v>
      </c>
      <c r="E1062" s="78">
        <v>14.11</v>
      </c>
      <c r="F1062" s="65"/>
      <c r="G1062" s="65">
        <v>439</v>
      </c>
      <c r="H1062" s="65">
        <f t="shared" si="85"/>
        <v>439</v>
      </c>
      <c r="I1062" s="79">
        <f t="shared" si="82"/>
        <v>0</v>
      </c>
      <c r="J1062" s="79">
        <f t="shared" si="83"/>
        <v>6194.29</v>
      </c>
      <c r="K1062" s="79">
        <f t="shared" si="84"/>
        <v>6194.29</v>
      </c>
      <c r="L1062" s="121"/>
    </row>
    <row r="1063" spans="2:12" ht="57.65" customHeight="1" x14ac:dyDescent="0.35">
      <c r="B1063" s="111">
        <f t="shared" si="81"/>
        <v>1053</v>
      </c>
      <c r="C1063" s="98" t="s">
        <v>244</v>
      </c>
      <c r="D1063" s="99" t="s">
        <v>27</v>
      </c>
      <c r="E1063" s="100">
        <v>3.8</v>
      </c>
      <c r="F1063" s="101"/>
      <c r="G1063" s="106"/>
      <c r="H1063" s="101">
        <f t="shared" si="85"/>
        <v>0</v>
      </c>
      <c r="I1063" s="101">
        <f t="shared" si="82"/>
        <v>0</v>
      </c>
      <c r="J1063" s="101">
        <f t="shared" si="83"/>
        <v>0</v>
      </c>
      <c r="K1063" s="101">
        <f t="shared" si="84"/>
        <v>0</v>
      </c>
      <c r="L1063" s="121"/>
    </row>
    <row r="1064" spans="2:12" ht="31" x14ac:dyDescent="0.35">
      <c r="B1064" s="111">
        <f t="shared" si="81"/>
        <v>1054</v>
      </c>
      <c r="C1064" s="64" t="s">
        <v>348</v>
      </c>
      <c r="D1064" s="77" t="s">
        <v>26</v>
      </c>
      <c r="E1064" s="78">
        <f>0.97*2.87</f>
        <v>2.7839</v>
      </c>
      <c r="F1064" s="65"/>
      <c r="G1064" s="65">
        <v>300</v>
      </c>
      <c r="H1064" s="65">
        <f t="shared" si="85"/>
        <v>300</v>
      </c>
      <c r="I1064" s="79">
        <f t="shared" si="82"/>
        <v>0</v>
      </c>
      <c r="J1064" s="79">
        <f t="shared" si="83"/>
        <v>835.17</v>
      </c>
      <c r="K1064" s="79">
        <f t="shared" si="84"/>
        <v>835.17</v>
      </c>
      <c r="L1064" s="121"/>
    </row>
    <row r="1065" spans="2:12" x14ac:dyDescent="0.35">
      <c r="B1065" s="111">
        <f t="shared" si="81"/>
        <v>1055</v>
      </c>
      <c r="C1065" s="64" t="s">
        <v>19</v>
      </c>
      <c r="D1065" s="77" t="s">
        <v>26</v>
      </c>
      <c r="E1065" s="78">
        <f>E1064/97*3</f>
        <v>8.6099999999999996E-2</v>
      </c>
      <c r="F1065" s="65"/>
      <c r="G1065" s="65">
        <v>1500</v>
      </c>
      <c r="H1065" s="65">
        <f t="shared" si="85"/>
        <v>1500</v>
      </c>
      <c r="I1065" s="79">
        <f t="shared" si="82"/>
        <v>0</v>
      </c>
      <c r="J1065" s="79">
        <f t="shared" si="83"/>
        <v>129.15</v>
      </c>
      <c r="K1065" s="79">
        <f t="shared" si="84"/>
        <v>129.15</v>
      </c>
      <c r="L1065" s="121"/>
    </row>
    <row r="1066" spans="2:12" x14ac:dyDescent="0.35">
      <c r="B1066" s="111">
        <f t="shared" si="81"/>
        <v>1056</v>
      </c>
      <c r="C1066" s="64" t="s">
        <v>184</v>
      </c>
      <c r="D1066" s="77" t="s">
        <v>25</v>
      </c>
      <c r="E1066" s="78">
        <f>E1063*0.7*2</f>
        <v>5.3199999999999994</v>
      </c>
      <c r="F1066" s="65"/>
      <c r="G1066" s="123"/>
      <c r="H1066" s="65">
        <f t="shared" si="85"/>
        <v>0</v>
      </c>
      <c r="I1066" s="79">
        <f t="shared" si="82"/>
        <v>0</v>
      </c>
      <c r="J1066" s="79">
        <f t="shared" si="83"/>
        <v>0</v>
      </c>
      <c r="K1066" s="79">
        <f t="shared" si="84"/>
        <v>0</v>
      </c>
      <c r="L1066" s="121"/>
    </row>
    <row r="1067" spans="2:12" ht="31" x14ac:dyDescent="0.35">
      <c r="B1067" s="111">
        <f t="shared" si="81"/>
        <v>1057</v>
      </c>
      <c r="C1067" s="64" t="s">
        <v>232</v>
      </c>
      <c r="D1067" s="77" t="s">
        <v>25</v>
      </c>
      <c r="E1067" s="78">
        <f>E1063*0.45*2</f>
        <v>3.42</v>
      </c>
      <c r="F1067" s="65">
        <f>1973*0.15</f>
        <v>295.95</v>
      </c>
      <c r="G1067" s="65">
        <f>1500*0.15</f>
        <v>225</v>
      </c>
      <c r="H1067" s="65">
        <f t="shared" si="85"/>
        <v>520.95000000000005</v>
      </c>
      <c r="I1067" s="79">
        <f t="shared" si="82"/>
        <v>1012.15</v>
      </c>
      <c r="J1067" s="79">
        <f t="shared" si="83"/>
        <v>769.5</v>
      </c>
      <c r="K1067" s="79">
        <f t="shared" si="84"/>
        <v>1781.65</v>
      </c>
      <c r="L1067" s="121"/>
    </row>
    <row r="1068" spans="2:12" x14ac:dyDescent="0.35">
      <c r="B1068" s="111">
        <f t="shared" si="81"/>
        <v>1058</v>
      </c>
      <c r="C1068" s="64" t="s">
        <v>20</v>
      </c>
      <c r="D1068" s="77" t="s">
        <v>26</v>
      </c>
      <c r="E1068" s="78">
        <f>0.32*2*E1063*0.1</f>
        <v>0.2432</v>
      </c>
      <c r="F1068" s="65"/>
      <c r="G1068" s="65">
        <v>5860</v>
      </c>
      <c r="H1068" s="65">
        <f t="shared" si="85"/>
        <v>5860</v>
      </c>
      <c r="I1068" s="79">
        <f t="shared" si="82"/>
        <v>0</v>
      </c>
      <c r="J1068" s="79">
        <f t="shared" si="83"/>
        <v>1425.15</v>
      </c>
      <c r="K1068" s="79">
        <f t="shared" si="84"/>
        <v>1425.15</v>
      </c>
      <c r="L1068" s="121"/>
    </row>
    <row r="1069" spans="2:12" x14ac:dyDescent="0.35">
      <c r="B1069" s="111">
        <f t="shared" si="81"/>
        <v>1059</v>
      </c>
      <c r="C1069" s="80" t="s">
        <v>159</v>
      </c>
      <c r="D1069" s="77" t="s">
        <v>26</v>
      </c>
      <c r="E1069" s="78">
        <f>E1068*1.02</f>
        <v>0.24806400000000001</v>
      </c>
      <c r="F1069" s="65">
        <v>6700</v>
      </c>
      <c r="G1069" s="123"/>
      <c r="H1069" s="65">
        <f t="shared" si="85"/>
        <v>6700</v>
      </c>
      <c r="I1069" s="79">
        <f t="shared" si="82"/>
        <v>1662.03</v>
      </c>
      <c r="J1069" s="79">
        <f t="shared" si="83"/>
        <v>0</v>
      </c>
      <c r="K1069" s="79">
        <f t="shared" si="84"/>
        <v>1662.03</v>
      </c>
      <c r="L1069" s="121"/>
    </row>
    <row r="1070" spans="2:12" x14ac:dyDescent="0.35">
      <c r="B1070" s="111">
        <f t="shared" si="81"/>
        <v>1060</v>
      </c>
      <c r="C1070" s="64" t="s">
        <v>28</v>
      </c>
      <c r="D1070" s="77" t="s">
        <v>26</v>
      </c>
      <c r="E1070" s="78">
        <f>0.73*2*E1063*0.1</f>
        <v>0.55480000000000007</v>
      </c>
      <c r="F1070" s="65"/>
      <c r="G1070" s="65">
        <v>5860</v>
      </c>
      <c r="H1070" s="65">
        <f t="shared" si="85"/>
        <v>5860</v>
      </c>
      <c r="I1070" s="79">
        <f t="shared" si="82"/>
        <v>0</v>
      </c>
      <c r="J1070" s="79">
        <f t="shared" si="83"/>
        <v>3251.13</v>
      </c>
      <c r="K1070" s="79">
        <f t="shared" si="84"/>
        <v>3251.13</v>
      </c>
      <c r="L1070" s="121"/>
    </row>
    <row r="1071" spans="2:12" x14ac:dyDescent="0.35">
      <c r="B1071" s="111">
        <f t="shared" si="81"/>
        <v>1061</v>
      </c>
      <c r="C1071" s="80" t="s">
        <v>29</v>
      </c>
      <c r="D1071" s="77" t="s">
        <v>26</v>
      </c>
      <c r="E1071" s="78">
        <f>E1070*1.02</f>
        <v>0.56589600000000007</v>
      </c>
      <c r="F1071" s="65">
        <v>7100</v>
      </c>
      <c r="G1071" s="123"/>
      <c r="H1071" s="65">
        <f t="shared" si="85"/>
        <v>7100</v>
      </c>
      <c r="I1071" s="79">
        <f t="shared" si="82"/>
        <v>4017.86</v>
      </c>
      <c r="J1071" s="79">
        <f t="shared" si="83"/>
        <v>0</v>
      </c>
      <c r="K1071" s="79">
        <f t="shared" si="84"/>
        <v>4017.86</v>
      </c>
      <c r="L1071" s="121"/>
    </row>
    <row r="1072" spans="2:12" x14ac:dyDescent="0.35">
      <c r="B1072" s="111">
        <f t="shared" si="81"/>
        <v>1062</v>
      </c>
      <c r="C1072" s="80" t="s">
        <v>30</v>
      </c>
      <c r="D1072" s="77" t="s">
        <v>31</v>
      </c>
      <c r="E1072" s="78">
        <f>31.39*E1063*0.1*2</f>
        <v>23.856400000000001</v>
      </c>
      <c r="F1072" s="65">
        <v>118.9</v>
      </c>
      <c r="G1072" s="123"/>
      <c r="H1072" s="65">
        <f t="shared" si="85"/>
        <v>118.9</v>
      </c>
      <c r="I1072" s="79">
        <f t="shared" si="82"/>
        <v>2836.53</v>
      </c>
      <c r="J1072" s="79">
        <f t="shared" si="83"/>
        <v>0</v>
      </c>
      <c r="K1072" s="79">
        <f t="shared" si="84"/>
        <v>2836.53</v>
      </c>
      <c r="L1072" s="121"/>
    </row>
    <row r="1073" spans="2:12" x14ac:dyDescent="0.35">
      <c r="B1073" s="111">
        <f t="shared" si="81"/>
        <v>1063</v>
      </c>
      <c r="C1073" s="64" t="s">
        <v>233</v>
      </c>
      <c r="D1073" s="77" t="s">
        <v>27</v>
      </c>
      <c r="E1073" s="78">
        <f>E1063</f>
        <v>3.8</v>
      </c>
      <c r="F1073" s="65"/>
      <c r="G1073" s="65">
        <v>6000</v>
      </c>
      <c r="H1073" s="65">
        <f t="shared" si="85"/>
        <v>6000</v>
      </c>
      <c r="I1073" s="79">
        <f t="shared" si="82"/>
        <v>0</v>
      </c>
      <c r="J1073" s="79">
        <f t="shared" si="83"/>
        <v>22800</v>
      </c>
      <c r="K1073" s="79">
        <f t="shared" si="84"/>
        <v>22800</v>
      </c>
      <c r="L1073" s="121"/>
    </row>
    <row r="1074" spans="2:12" x14ac:dyDescent="0.35">
      <c r="B1074" s="111">
        <f t="shared" si="81"/>
        <v>1064</v>
      </c>
      <c r="C1074" s="80" t="s">
        <v>353</v>
      </c>
      <c r="D1074" s="77" t="s">
        <v>27</v>
      </c>
      <c r="E1074" s="78">
        <f>E1073*1.1*2</f>
        <v>8.36</v>
      </c>
      <c r="F1074" s="65">
        <v>800</v>
      </c>
      <c r="G1074" s="65"/>
      <c r="H1074" s="65">
        <f t="shared" si="85"/>
        <v>800</v>
      </c>
      <c r="I1074" s="79">
        <f t="shared" si="82"/>
        <v>6688</v>
      </c>
      <c r="J1074" s="79">
        <f t="shared" si="83"/>
        <v>0</v>
      </c>
      <c r="K1074" s="79">
        <f t="shared" si="84"/>
        <v>6688</v>
      </c>
      <c r="L1074" s="121"/>
    </row>
    <row r="1075" spans="2:12" ht="33" x14ac:dyDescent="0.35">
      <c r="B1075" s="111">
        <f t="shared" si="81"/>
        <v>1065</v>
      </c>
      <c r="C1075" s="64" t="s">
        <v>355</v>
      </c>
      <c r="D1075" s="81" t="s">
        <v>26</v>
      </c>
      <c r="E1075" s="78">
        <v>4.8899999999999997</v>
      </c>
      <c r="F1075" s="65"/>
      <c r="G1075" s="65">
        <v>439</v>
      </c>
      <c r="H1075" s="65">
        <f t="shared" si="85"/>
        <v>439</v>
      </c>
      <c r="I1075" s="79">
        <f t="shared" si="82"/>
        <v>0</v>
      </c>
      <c r="J1075" s="79">
        <f t="shared" si="83"/>
        <v>2146.71</v>
      </c>
      <c r="K1075" s="79">
        <f t="shared" si="84"/>
        <v>2146.71</v>
      </c>
      <c r="L1075" s="121"/>
    </row>
    <row r="1076" spans="2:12" ht="33" customHeight="1" x14ac:dyDescent="0.35">
      <c r="B1076" s="111">
        <f t="shared" si="81"/>
        <v>1066</v>
      </c>
      <c r="C1076" s="98" t="s">
        <v>272</v>
      </c>
      <c r="D1076" s="103" t="s">
        <v>32</v>
      </c>
      <c r="E1076" s="100">
        <v>1</v>
      </c>
      <c r="F1076" s="101"/>
      <c r="G1076" s="106"/>
      <c r="H1076" s="101">
        <f t="shared" si="85"/>
        <v>0</v>
      </c>
      <c r="I1076" s="101">
        <f t="shared" si="82"/>
        <v>0</v>
      </c>
      <c r="J1076" s="101">
        <f t="shared" si="83"/>
        <v>0</v>
      </c>
      <c r="K1076" s="101">
        <f t="shared" si="84"/>
        <v>0</v>
      </c>
      <c r="L1076" s="121"/>
    </row>
    <row r="1077" spans="2:12" ht="31" x14ac:dyDescent="0.35">
      <c r="B1077" s="111">
        <f t="shared" si="81"/>
        <v>1067</v>
      </c>
      <c r="C1077" s="64" t="s">
        <v>348</v>
      </c>
      <c r="D1077" s="81" t="s">
        <v>26</v>
      </c>
      <c r="E1077" s="78">
        <f>10.1*0.97</f>
        <v>9.7969999999999988</v>
      </c>
      <c r="F1077" s="65"/>
      <c r="G1077" s="65">
        <v>300</v>
      </c>
      <c r="H1077" s="65">
        <f t="shared" si="85"/>
        <v>300</v>
      </c>
      <c r="I1077" s="79">
        <f t="shared" si="82"/>
        <v>0</v>
      </c>
      <c r="J1077" s="79">
        <f t="shared" si="83"/>
        <v>2939.1</v>
      </c>
      <c r="K1077" s="79">
        <f t="shared" si="84"/>
        <v>2939.1</v>
      </c>
      <c r="L1077" s="121"/>
    </row>
    <row r="1078" spans="2:12" x14ac:dyDescent="0.35">
      <c r="B1078" s="111">
        <f t="shared" si="81"/>
        <v>1068</v>
      </c>
      <c r="C1078" s="64" t="s">
        <v>19</v>
      </c>
      <c r="D1078" s="81" t="s">
        <v>26</v>
      </c>
      <c r="E1078" s="78">
        <f>E1077/9</f>
        <v>1.0885555555555555</v>
      </c>
      <c r="F1078" s="65"/>
      <c r="G1078" s="65">
        <v>1500</v>
      </c>
      <c r="H1078" s="65">
        <f t="shared" si="85"/>
        <v>1500</v>
      </c>
      <c r="I1078" s="79">
        <f t="shared" si="82"/>
        <v>0</v>
      </c>
      <c r="J1078" s="79">
        <f t="shared" si="83"/>
        <v>1632.83</v>
      </c>
      <c r="K1078" s="79">
        <f t="shared" si="84"/>
        <v>1632.83</v>
      </c>
      <c r="L1078" s="121"/>
    </row>
    <row r="1079" spans="2:12" x14ac:dyDescent="0.35">
      <c r="B1079" s="111">
        <f t="shared" si="81"/>
        <v>1069</v>
      </c>
      <c r="C1079" s="64" t="s">
        <v>67</v>
      </c>
      <c r="D1079" s="81" t="s">
        <v>25</v>
      </c>
      <c r="E1079" s="78">
        <f>(3.14*2.4^2)/4</f>
        <v>4.5216000000000003</v>
      </c>
      <c r="F1079" s="65"/>
      <c r="G1079" s="123"/>
      <c r="H1079" s="65">
        <f t="shared" si="85"/>
        <v>0</v>
      </c>
      <c r="I1079" s="79">
        <f t="shared" si="82"/>
        <v>0</v>
      </c>
      <c r="J1079" s="79">
        <f t="shared" si="83"/>
        <v>0</v>
      </c>
      <c r="K1079" s="79">
        <f t="shared" si="84"/>
        <v>0</v>
      </c>
      <c r="L1079" s="121"/>
    </row>
    <row r="1080" spans="2:12" x14ac:dyDescent="0.35">
      <c r="B1080" s="111">
        <f t="shared" si="81"/>
        <v>1070</v>
      </c>
      <c r="C1080" s="64" t="s">
        <v>68</v>
      </c>
      <c r="D1080" s="81" t="s">
        <v>26</v>
      </c>
      <c r="E1080" s="78">
        <f>(3.14*2.2^2)/4*0.1</f>
        <v>0.37994000000000011</v>
      </c>
      <c r="F1080" s="65"/>
      <c r="G1080" s="65">
        <v>5860</v>
      </c>
      <c r="H1080" s="65">
        <f t="shared" si="85"/>
        <v>5860</v>
      </c>
      <c r="I1080" s="79">
        <f t="shared" si="82"/>
        <v>0</v>
      </c>
      <c r="J1080" s="79">
        <f t="shared" si="83"/>
        <v>2226.4499999999998</v>
      </c>
      <c r="K1080" s="79">
        <f t="shared" si="84"/>
        <v>2226.4499999999998</v>
      </c>
      <c r="L1080" s="121"/>
    </row>
    <row r="1081" spans="2:12" x14ac:dyDescent="0.35">
      <c r="B1081" s="111">
        <f t="shared" si="81"/>
        <v>1071</v>
      </c>
      <c r="C1081" s="80" t="s">
        <v>159</v>
      </c>
      <c r="D1081" s="81" t="s">
        <v>26</v>
      </c>
      <c r="E1081" s="78">
        <f>E1080*1.02</f>
        <v>0.38753880000000013</v>
      </c>
      <c r="F1081" s="65">
        <v>6700</v>
      </c>
      <c r="G1081" s="123"/>
      <c r="H1081" s="65">
        <f t="shared" si="85"/>
        <v>6700</v>
      </c>
      <c r="I1081" s="79">
        <f t="shared" si="82"/>
        <v>2596.5100000000002</v>
      </c>
      <c r="J1081" s="79">
        <f t="shared" si="83"/>
        <v>0</v>
      </c>
      <c r="K1081" s="79">
        <f t="shared" si="84"/>
        <v>2596.5100000000002</v>
      </c>
      <c r="L1081" s="121"/>
    </row>
    <row r="1082" spans="2:12" x14ac:dyDescent="0.35">
      <c r="B1082" s="111">
        <f t="shared" si="81"/>
        <v>1072</v>
      </c>
      <c r="C1082" s="64" t="s">
        <v>151</v>
      </c>
      <c r="D1082" s="81" t="s">
        <v>25</v>
      </c>
      <c r="E1082" s="78">
        <f>(3.14*2^2)/4</f>
        <v>3.14</v>
      </c>
      <c r="F1082" s="65">
        <v>68.5</v>
      </c>
      <c r="G1082" s="65">
        <v>150</v>
      </c>
      <c r="H1082" s="65">
        <f t="shared" si="85"/>
        <v>218.5</v>
      </c>
      <c r="I1082" s="79">
        <f t="shared" si="82"/>
        <v>215.09</v>
      </c>
      <c r="J1082" s="79">
        <f t="shared" si="83"/>
        <v>471</v>
      </c>
      <c r="K1082" s="79">
        <f t="shared" si="84"/>
        <v>686.09</v>
      </c>
      <c r="L1082" s="121"/>
    </row>
    <row r="1083" spans="2:12" ht="31" x14ac:dyDescent="0.35">
      <c r="B1083" s="111">
        <f t="shared" si="81"/>
        <v>1073</v>
      </c>
      <c r="C1083" s="64" t="s">
        <v>152</v>
      </c>
      <c r="D1083" s="81" t="s">
        <v>25</v>
      </c>
      <c r="E1083" s="78">
        <f>E1082</f>
        <v>3.14</v>
      </c>
      <c r="F1083" s="65">
        <v>927</v>
      </c>
      <c r="G1083" s="65">
        <v>400</v>
      </c>
      <c r="H1083" s="65">
        <f t="shared" si="85"/>
        <v>1327</v>
      </c>
      <c r="I1083" s="79">
        <f t="shared" si="82"/>
        <v>2910.78</v>
      </c>
      <c r="J1083" s="79">
        <f t="shared" si="83"/>
        <v>1256</v>
      </c>
      <c r="K1083" s="79">
        <f t="shared" si="84"/>
        <v>4166.7800000000007</v>
      </c>
      <c r="L1083" s="121"/>
    </row>
    <row r="1084" spans="2:12" ht="31" x14ac:dyDescent="0.35">
      <c r="B1084" s="111">
        <f t="shared" si="81"/>
        <v>1074</v>
      </c>
      <c r="C1084" s="64" t="s">
        <v>107</v>
      </c>
      <c r="D1084" s="81" t="s">
        <v>32</v>
      </c>
      <c r="E1084" s="78">
        <v>1</v>
      </c>
      <c r="F1084" s="65"/>
      <c r="G1084" s="65">
        <v>5662</v>
      </c>
      <c r="H1084" s="65">
        <f t="shared" si="85"/>
        <v>5662</v>
      </c>
      <c r="I1084" s="79">
        <f t="shared" si="82"/>
        <v>0</v>
      </c>
      <c r="J1084" s="79">
        <f t="shared" si="83"/>
        <v>5662</v>
      </c>
      <c r="K1084" s="79">
        <f t="shared" si="84"/>
        <v>5662</v>
      </c>
      <c r="L1084" s="121"/>
    </row>
    <row r="1085" spans="2:12" x14ac:dyDescent="0.35">
      <c r="B1085" s="111">
        <f t="shared" si="81"/>
        <v>1075</v>
      </c>
      <c r="C1085" s="82" t="s">
        <v>108</v>
      </c>
      <c r="D1085" s="81" t="s">
        <v>32</v>
      </c>
      <c r="E1085" s="78">
        <v>1</v>
      </c>
      <c r="F1085" s="65">
        <f>6000*1.2</f>
        <v>7200</v>
      </c>
      <c r="G1085" s="123"/>
      <c r="H1085" s="65">
        <f t="shared" si="85"/>
        <v>7200</v>
      </c>
      <c r="I1085" s="79">
        <f t="shared" si="82"/>
        <v>7200</v>
      </c>
      <c r="J1085" s="79">
        <f t="shared" si="83"/>
        <v>0</v>
      </c>
      <c r="K1085" s="79">
        <f t="shared" si="84"/>
        <v>7200</v>
      </c>
      <c r="L1085" s="121"/>
    </row>
    <row r="1086" spans="2:12" x14ac:dyDescent="0.35">
      <c r="B1086" s="111">
        <f t="shared" si="81"/>
        <v>1076</v>
      </c>
      <c r="C1086" s="82" t="s">
        <v>101</v>
      </c>
      <c r="D1086" s="81" t="s">
        <v>26</v>
      </c>
      <c r="E1086" s="78">
        <f>((3.14*2^2)/4*0.02)*1.02</f>
        <v>6.4056000000000016E-2</v>
      </c>
      <c r="F1086" s="65">
        <v>7300</v>
      </c>
      <c r="G1086" s="123"/>
      <c r="H1086" s="65">
        <f t="shared" si="85"/>
        <v>7300</v>
      </c>
      <c r="I1086" s="79">
        <f t="shared" si="82"/>
        <v>467.61</v>
      </c>
      <c r="J1086" s="79">
        <f t="shared" si="83"/>
        <v>0</v>
      </c>
      <c r="K1086" s="79">
        <f t="shared" si="84"/>
        <v>467.61</v>
      </c>
      <c r="L1086" s="121"/>
    </row>
    <row r="1087" spans="2:12" ht="31" x14ac:dyDescent="0.35">
      <c r="B1087" s="111">
        <f t="shared" si="81"/>
        <v>1077</v>
      </c>
      <c r="C1087" s="64" t="s">
        <v>179</v>
      </c>
      <c r="D1087" s="81" t="s">
        <v>26</v>
      </c>
      <c r="E1087" s="78">
        <v>1.2</v>
      </c>
      <c r="F1087" s="65"/>
      <c r="G1087" s="65">
        <v>5860</v>
      </c>
      <c r="H1087" s="65">
        <f t="shared" si="85"/>
        <v>5860</v>
      </c>
      <c r="I1087" s="79">
        <f t="shared" si="82"/>
        <v>0</v>
      </c>
      <c r="J1087" s="79">
        <f t="shared" si="83"/>
        <v>7032</v>
      </c>
      <c r="K1087" s="79">
        <f t="shared" si="84"/>
        <v>7032</v>
      </c>
      <c r="L1087" s="121"/>
    </row>
    <row r="1088" spans="2:12" x14ac:dyDescent="0.35">
      <c r="B1088" s="111">
        <f t="shared" si="81"/>
        <v>1078</v>
      </c>
      <c r="C1088" s="82" t="s">
        <v>75</v>
      </c>
      <c r="D1088" s="81" t="s">
        <v>26</v>
      </c>
      <c r="E1088" s="78">
        <f>E1087*1.02</f>
        <v>1.224</v>
      </c>
      <c r="F1088" s="65">
        <v>7100</v>
      </c>
      <c r="G1088" s="123"/>
      <c r="H1088" s="65">
        <f t="shared" si="85"/>
        <v>7100</v>
      </c>
      <c r="I1088" s="79">
        <f t="shared" si="82"/>
        <v>8690.4</v>
      </c>
      <c r="J1088" s="79">
        <f t="shared" si="83"/>
        <v>0</v>
      </c>
      <c r="K1088" s="79">
        <f t="shared" si="84"/>
        <v>8690.4</v>
      </c>
      <c r="L1088" s="121"/>
    </row>
    <row r="1089" spans="2:12" ht="31" x14ac:dyDescent="0.35">
      <c r="B1089" s="111">
        <f t="shared" si="81"/>
        <v>1079</v>
      </c>
      <c r="C1089" s="64" t="s">
        <v>78</v>
      </c>
      <c r="D1089" s="81" t="s">
        <v>32</v>
      </c>
      <c r="E1089" s="78">
        <v>3</v>
      </c>
      <c r="F1089" s="65"/>
      <c r="G1089" s="65">
        <v>5662</v>
      </c>
      <c r="H1089" s="65">
        <f t="shared" si="85"/>
        <v>5662</v>
      </c>
      <c r="I1089" s="79">
        <f t="shared" si="82"/>
        <v>0</v>
      </c>
      <c r="J1089" s="79">
        <f t="shared" si="83"/>
        <v>16986</v>
      </c>
      <c r="K1089" s="79">
        <f t="shared" si="84"/>
        <v>16986</v>
      </c>
      <c r="L1089" s="121"/>
    </row>
    <row r="1090" spans="2:12" x14ac:dyDescent="0.35">
      <c r="B1090" s="111">
        <f t="shared" si="81"/>
        <v>1080</v>
      </c>
      <c r="C1090" s="82" t="s">
        <v>110</v>
      </c>
      <c r="D1090" s="81" t="s">
        <v>32</v>
      </c>
      <c r="E1090" s="78">
        <v>1</v>
      </c>
      <c r="F1090" s="65">
        <f>4500*1.2</f>
        <v>5400</v>
      </c>
      <c r="G1090" s="123"/>
      <c r="H1090" s="65">
        <f t="shared" si="85"/>
        <v>5400</v>
      </c>
      <c r="I1090" s="79">
        <f t="shared" si="82"/>
        <v>5400</v>
      </c>
      <c r="J1090" s="79">
        <f t="shared" si="83"/>
        <v>0</v>
      </c>
      <c r="K1090" s="79">
        <f t="shared" si="84"/>
        <v>5400</v>
      </c>
      <c r="L1090" s="121"/>
    </row>
    <row r="1091" spans="2:12" x14ac:dyDescent="0.35">
      <c r="B1091" s="111">
        <f t="shared" si="81"/>
        <v>1081</v>
      </c>
      <c r="C1091" s="82" t="s">
        <v>109</v>
      </c>
      <c r="D1091" s="81" t="s">
        <v>32</v>
      </c>
      <c r="E1091" s="78">
        <v>1</v>
      </c>
      <c r="F1091" s="65">
        <f>6000*1.2</f>
        <v>7200</v>
      </c>
      <c r="G1091" s="123"/>
      <c r="H1091" s="65">
        <f t="shared" si="85"/>
        <v>7200</v>
      </c>
      <c r="I1091" s="79">
        <f t="shared" si="82"/>
        <v>7200</v>
      </c>
      <c r="J1091" s="79">
        <f t="shared" si="83"/>
        <v>0</v>
      </c>
      <c r="K1091" s="79">
        <f t="shared" si="84"/>
        <v>7200</v>
      </c>
      <c r="L1091" s="121"/>
    </row>
    <row r="1092" spans="2:12" x14ac:dyDescent="0.35">
      <c r="B1092" s="111">
        <f t="shared" si="81"/>
        <v>1082</v>
      </c>
      <c r="C1092" s="82" t="s">
        <v>81</v>
      </c>
      <c r="D1092" s="81" t="s">
        <v>32</v>
      </c>
      <c r="E1092" s="78">
        <v>1</v>
      </c>
      <c r="F1092" s="65">
        <f>900*1.2</f>
        <v>1080</v>
      </c>
      <c r="G1092" s="123"/>
      <c r="H1092" s="65">
        <f t="shared" si="85"/>
        <v>1080</v>
      </c>
      <c r="I1092" s="79">
        <f t="shared" si="82"/>
        <v>1080</v>
      </c>
      <c r="J1092" s="79">
        <f t="shared" si="83"/>
        <v>0</v>
      </c>
      <c r="K1092" s="79">
        <f t="shared" si="84"/>
        <v>1080</v>
      </c>
      <c r="L1092" s="121"/>
    </row>
    <row r="1093" spans="2:12" ht="31" x14ac:dyDescent="0.35">
      <c r="B1093" s="111">
        <f t="shared" si="81"/>
        <v>1083</v>
      </c>
      <c r="C1093" s="64" t="s">
        <v>85</v>
      </c>
      <c r="D1093" s="81" t="s">
        <v>32</v>
      </c>
      <c r="E1093" s="78">
        <v>1</v>
      </c>
      <c r="F1093" s="65"/>
      <c r="G1093" s="65">
        <v>2500</v>
      </c>
      <c r="H1093" s="65">
        <f t="shared" si="85"/>
        <v>2500</v>
      </c>
      <c r="I1093" s="79">
        <f t="shared" si="82"/>
        <v>0</v>
      </c>
      <c r="J1093" s="79">
        <f t="shared" si="83"/>
        <v>2500</v>
      </c>
      <c r="K1093" s="79">
        <f t="shared" si="84"/>
        <v>2500</v>
      </c>
      <c r="L1093" s="121"/>
    </row>
    <row r="1094" spans="2:12" x14ac:dyDescent="0.35">
      <c r="B1094" s="111">
        <f t="shared" si="81"/>
        <v>1084</v>
      </c>
      <c r="C1094" s="82" t="s">
        <v>154</v>
      </c>
      <c r="D1094" s="81" t="s">
        <v>32</v>
      </c>
      <c r="E1094" s="78">
        <v>1</v>
      </c>
      <c r="F1094" s="65">
        <f>5500*1.2</f>
        <v>6600</v>
      </c>
      <c r="G1094" s="123"/>
      <c r="H1094" s="65">
        <f t="shared" si="85"/>
        <v>6600</v>
      </c>
      <c r="I1094" s="79">
        <f t="shared" si="82"/>
        <v>6600</v>
      </c>
      <c r="J1094" s="79">
        <f t="shared" si="83"/>
        <v>0</v>
      </c>
      <c r="K1094" s="79">
        <f t="shared" si="84"/>
        <v>6600</v>
      </c>
      <c r="L1094" s="121"/>
    </row>
    <row r="1095" spans="2:12" ht="31" x14ac:dyDescent="0.35">
      <c r="B1095" s="111">
        <f t="shared" si="81"/>
        <v>1085</v>
      </c>
      <c r="C1095" s="64" t="s">
        <v>316</v>
      </c>
      <c r="D1095" s="81" t="s">
        <v>32</v>
      </c>
      <c r="E1095" s="78">
        <v>1</v>
      </c>
      <c r="F1095" s="65"/>
      <c r="G1095" s="65"/>
      <c r="H1095" s="65">
        <f t="shared" si="85"/>
        <v>0</v>
      </c>
      <c r="I1095" s="79">
        <f t="shared" si="82"/>
        <v>0</v>
      </c>
      <c r="J1095" s="79">
        <f t="shared" si="83"/>
        <v>0</v>
      </c>
      <c r="K1095" s="79">
        <f t="shared" si="84"/>
        <v>0</v>
      </c>
      <c r="L1095" s="121"/>
    </row>
    <row r="1096" spans="2:12" x14ac:dyDescent="0.35">
      <c r="B1096" s="111">
        <f t="shared" si="81"/>
        <v>1086</v>
      </c>
      <c r="C1096" s="88" t="s">
        <v>84</v>
      </c>
      <c r="D1096" s="81" t="s">
        <v>32</v>
      </c>
      <c r="E1096" s="78">
        <v>1</v>
      </c>
      <c r="F1096" s="65">
        <v>1300</v>
      </c>
      <c r="G1096" s="65">
        <v>990</v>
      </c>
      <c r="H1096" s="65">
        <f t="shared" si="85"/>
        <v>2290</v>
      </c>
      <c r="I1096" s="79">
        <f t="shared" si="82"/>
        <v>1300</v>
      </c>
      <c r="J1096" s="79">
        <f t="shared" si="83"/>
        <v>990</v>
      </c>
      <c r="K1096" s="79">
        <f t="shared" si="84"/>
        <v>2290</v>
      </c>
      <c r="L1096" s="121"/>
    </row>
    <row r="1097" spans="2:12" x14ac:dyDescent="0.35">
      <c r="B1097" s="111">
        <f t="shared" si="81"/>
        <v>1087</v>
      </c>
      <c r="C1097" s="80" t="s">
        <v>301</v>
      </c>
      <c r="D1097" s="81" t="s">
        <v>32</v>
      </c>
      <c r="E1097" s="78">
        <v>1</v>
      </c>
      <c r="F1097" s="65">
        <v>6000</v>
      </c>
      <c r="G1097" s="65">
        <v>1464.09</v>
      </c>
      <c r="H1097" s="65">
        <f t="shared" si="85"/>
        <v>7464.09</v>
      </c>
      <c r="I1097" s="79">
        <f t="shared" si="82"/>
        <v>6000</v>
      </c>
      <c r="J1097" s="79">
        <f t="shared" si="83"/>
        <v>1464.09</v>
      </c>
      <c r="K1097" s="79">
        <f t="shared" si="84"/>
        <v>7464.09</v>
      </c>
      <c r="L1097" s="121"/>
    </row>
    <row r="1098" spans="2:12" ht="31" x14ac:dyDescent="0.35">
      <c r="B1098" s="111">
        <f t="shared" si="81"/>
        <v>1088</v>
      </c>
      <c r="C1098" s="64" t="s">
        <v>156</v>
      </c>
      <c r="D1098" s="81" t="s">
        <v>25</v>
      </c>
      <c r="E1098" s="78">
        <f>(3.14*1.68)*2.28+2.22</f>
        <v>14.247456</v>
      </c>
      <c r="F1098" s="65">
        <v>68.5</v>
      </c>
      <c r="G1098" s="65">
        <v>150</v>
      </c>
      <c r="H1098" s="65">
        <f t="shared" si="85"/>
        <v>218.5</v>
      </c>
      <c r="I1098" s="79">
        <f t="shared" si="82"/>
        <v>975.95</v>
      </c>
      <c r="J1098" s="79">
        <f t="shared" si="83"/>
        <v>2137.12</v>
      </c>
      <c r="K1098" s="79">
        <f t="shared" si="84"/>
        <v>3113.0699999999997</v>
      </c>
      <c r="L1098" s="121"/>
    </row>
    <row r="1099" spans="2:12" ht="46.5" x14ac:dyDescent="0.35">
      <c r="B1099" s="111">
        <f t="shared" si="81"/>
        <v>1089</v>
      </c>
      <c r="C1099" s="64" t="s">
        <v>157</v>
      </c>
      <c r="D1099" s="81" t="s">
        <v>25</v>
      </c>
      <c r="E1099" s="78">
        <f>E1098</f>
        <v>14.247456</v>
      </c>
      <c r="F1099" s="65">
        <v>927</v>
      </c>
      <c r="G1099" s="65">
        <v>400</v>
      </c>
      <c r="H1099" s="65">
        <f t="shared" si="85"/>
        <v>1327</v>
      </c>
      <c r="I1099" s="79">
        <f t="shared" si="82"/>
        <v>13207.39</v>
      </c>
      <c r="J1099" s="79">
        <f t="shared" si="83"/>
        <v>5698.98</v>
      </c>
      <c r="K1099" s="79">
        <f t="shared" si="84"/>
        <v>18906.37</v>
      </c>
      <c r="L1099" s="121"/>
    </row>
    <row r="1100" spans="2:12" x14ac:dyDescent="0.35">
      <c r="B1100" s="111">
        <f t="shared" si="81"/>
        <v>1090</v>
      </c>
      <c r="C1100" s="64" t="s">
        <v>314</v>
      </c>
      <c r="D1100" s="81" t="s">
        <v>32</v>
      </c>
      <c r="E1100" s="78">
        <v>1</v>
      </c>
      <c r="F1100" s="65"/>
      <c r="G1100" s="123"/>
      <c r="H1100" s="65">
        <f t="shared" si="85"/>
        <v>0</v>
      </c>
      <c r="I1100" s="79">
        <f t="shared" si="82"/>
        <v>0</v>
      </c>
      <c r="J1100" s="79">
        <f t="shared" si="83"/>
        <v>0</v>
      </c>
      <c r="K1100" s="79">
        <f t="shared" si="84"/>
        <v>0</v>
      </c>
      <c r="L1100" s="121"/>
    </row>
    <row r="1101" spans="2:12" x14ac:dyDescent="0.35">
      <c r="B1101" s="111">
        <f t="shared" ref="B1101:B1164" si="86">B1100+1</f>
        <v>1091</v>
      </c>
      <c r="C1101" s="82" t="s">
        <v>315</v>
      </c>
      <c r="D1101" s="81" t="s">
        <v>31</v>
      </c>
      <c r="E1101" s="78">
        <v>17.079999999999998</v>
      </c>
      <c r="F1101" s="68">
        <v>71</v>
      </c>
      <c r="G1101" s="65">
        <v>97.61</v>
      </c>
      <c r="H1101" s="65">
        <f t="shared" si="85"/>
        <v>168.61</v>
      </c>
      <c r="I1101" s="79">
        <f t="shared" ref="I1101:I1164" si="87">ROUND(F1101*E1101,2)</f>
        <v>1212.68</v>
      </c>
      <c r="J1101" s="79">
        <f t="shared" ref="J1101:J1164" si="88">ROUND(G1101*E1101,2)</f>
        <v>1667.18</v>
      </c>
      <c r="K1101" s="79">
        <f t="shared" ref="K1101:K1164" si="89">I1101+J1101</f>
        <v>2879.86</v>
      </c>
      <c r="L1101" s="121"/>
    </row>
    <row r="1102" spans="2:12" x14ac:dyDescent="0.35">
      <c r="B1102" s="111">
        <f t="shared" si="86"/>
        <v>1092</v>
      </c>
      <c r="C1102" s="64" t="s">
        <v>93</v>
      </c>
      <c r="D1102" s="81" t="s">
        <v>32</v>
      </c>
      <c r="E1102" s="83">
        <v>1</v>
      </c>
      <c r="F1102" s="65"/>
      <c r="G1102" s="123"/>
      <c r="H1102" s="65">
        <f t="shared" si="85"/>
        <v>0</v>
      </c>
      <c r="I1102" s="79">
        <f t="shared" si="87"/>
        <v>0</v>
      </c>
      <c r="J1102" s="79">
        <f t="shared" si="88"/>
        <v>0</v>
      </c>
      <c r="K1102" s="79">
        <f t="shared" si="89"/>
        <v>0</v>
      </c>
      <c r="L1102" s="121"/>
    </row>
    <row r="1103" spans="2:12" x14ac:dyDescent="0.35">
      <c r="B1103" s="111">
        <f t="shared" si="86"/>
        <v>1093</v>
      </c>
      <c r="C1103" s="82" t="s">
        <v>94</v>
      </c>
      <c r="D1103" s="81" t="s">
        <v>31</v>
      </c>
      <c r="E1103" s="78">
        <f>0.82*E1102</f>
        <v>0.82</v>
      </c>
      <c r="F1103" s="68">
        <v>71</v>
      </c>
      <c r="G1103" s="65">
        <v>97.61</v>
      </c>
      <c r="H1103" s="65">
        <f t="shared" ref="H1103:H1166" si="90">F1103+G1103</f>
        <v>168.61</v>
      </c>
      <c r="I1103" s="79">
        <f t="shared" si="87"/>
        <v>58.22</v>
      </c>
      <c r="J1103" s="79">
        <f t="shared" si="88"/>
        <v>80.040000000000006</v>
      </c>
      <c r="K1103" s="79">
        <f t="shared" si="89"/>
        <v>138.26</v>
      </c>
      <c r="L1103" s="121"/>
    </row>
    <row r="1104" spans="2:12" ht="31" x14ac:dyDescent="0.35">
      <c r="B1104" s="111">
        <f t="shared" si="86"/>
        <v>1094</v>
      </c>
      <c r="C1104" s="64" t="s">
        <v>153</v>
      </c>
      <c r="D1104" s="81" t="s">
        <v>32</v>
      </c>
      <c r="E1104" s="83">
        <v>3</v>
      </c>
      <c r="F1104" s="65"/>
      <c r="G1104" s="65">
        <v>1464</v>
      </c>
      <c r="H1104" s="65">
        <f t="shared" si="90"/>
        <v>1464</v>
      </c>
      <c r="I1104" s="79">
        <f t="shared" si="87"/>
        <v>0</v>
      </c>
      <c r="J1104" s="79">
        <f t="shared" si="88"/>
        <v>4392</v>
      </c>
      <c r="K1104" s="79">
        <f t="shared" si="89"/>
        <v>4392</v>
      </c>
      <c r="L1104" s="121"/>
    </row>
    <row r="1105" spans="2:12" x14ac:dyDescent="0.35">
      <c r="B1105" s="111">
        <f t="shared" si="86"/>
        <v>1095</v>
      </c>
      <c r="C1105" s="64" t="s">
        <v>330</v>
      </c>
      <c r="D1105" s="81"/>
      <c r="E1105" s="83"/>
      <c r="F1105" s="65"/>
      <c r="G1105" s="123"/>
      <c r="H1105" s="65">
        <f t="shared" si="90"/>
        <v>0</v>
      </c>
      <c r="I1105" s="79">
        <f t="shared" si="87"/>
        <v>0</v>
      </c>
      <c r="J1105" s="79">
        <f t="shared" si="88"/>
        <v>0</v>
      </c>
      <c r="K1105" s="79">
        <f t="shared" si="89"/>
        <v>0</v>
      </c>
      <c r="L1105" s="121">
        <v>1</v>
      </c>
    </row>
    <row r="1106" spans="2:12" ht="31" x14ac:dyDescent="0.35">
      <c r="B1106" s="111">
        <f t="shared" si="86"/>
        <v>1096</v>
      </c>
      <c r="C1106" s="80" t="s">
        <v>309</v>
      </c>
      <c r="D1106" s="81" t="s">
        <v>32</v>
      </c>
      <c r="E1106" s="83">
        <v>1</v>
      </c>
      <c r="F1106" s="65">
        <v>2263</v>
      </c>
      <c r="G1106" s="65">
        <v>1700</v>
      </c>
      <c r="H1106" s="65">
        <f t="shared" si="90"/>
        <v>3963</v>
      </c>
      <c r="I1106" s="79">
        <f t="shared" si="87"/>
        <v>2263</v>
      </c>
      <c r="J1106" s="79">
        <f t="shared" si="88"/>
        <v>1700</v>
      </c>
      <c r="K1106" s="79">
        <f t="shared" si="89"/>
        <v>3963</v>
      </c>
      <c r="L1106" s="121"/>
    </row>
    <row r="1107" spans="2:12" ht="31" x14ac:dyDescent="0.35">
      <c r="B1107" s="111">
        <f t="shared" si="86"/>
        <v>1097</v>
      </c>
      <c r="C1107" s="80" t="s">
        <v>310</v>
      </c>
      <c r="D1107" s="81" t="s">
        <v>32</v>
      </c>
      <c r="E1107" s="83">
        <v>1</v>
      </c>
      <c r="F1107" s="65">
        <v>1303</v>
      </c>
      <c r="G1107" s="65">
        <v>1700</v>
      </c>
      <c r="H1107" s="65">
        <f t="shared" si="90"/>
        <v>3003</v>
      </c>
      <c r="I1107" s="79">
        <f t="shared" si="87"/>
        <v>1303</v>
      </c>
      <c r="J1107" s="79">
        <f t="shared" si="88"/>
        <v>1700</v>
      </c>
      <c r="K1107" s="79">
        <f t="shared" si="89"/>
        <v>3003</v>
      </c>
      <c r="L1107" s="121"/>
    </row>
    <row r="1108" spans="2:12" ht="31" x14ac:dyDescent="0.35">
      <c r="B1108" s="111">
        <f t="shared" si="86"/>
        <v>1098</v>
      </c>
      <c r="C1108" s="80" t="s">
        <v>63</v>
      </c>
      <c r="D1108" s="81" t="s">
        <v>27</v>
      </c>
      <c r="E1108" s="83">
        <f>0.48*1.1</f>
        <v>0.52800000000000002</v>
      </c>
      <c r="F1108" s="65">
        <v>855</v>
      </c>
      <c r="G1108" s="65">
        <v>1700</v>
      </c>
      <c r="H1108" s="65">
        <f t="shared" si="90"/>
        <v>2555</v>
      </c>
      <c r="I1108" s="79">
        <f t="shared" si="87"/>
        <v>451.44</v>
      </c>
      <c r="J1108" s="79">
        <f t="shared" si="88"/>
        <v>897.6</v>
      </c>
      <c r="K1108" s="79">
        <f t="shared" si="89"/>
        <v>1349.04</v>
      </c>
      <c r="L1108" s="121"/>
    </row>
    <row r="1109" spans="2:12" ht="33" x14ac:dyDescent="0.35">
      <c r="B1109" s="111">
        <f t="shared" si="86"/>
        <v>1099</v>
      </c>
      <c r="C1109" s="64" t="s">
        <v>362</v>
      </c>
      <c r="D1109" s="81" t="s">
        <v>26</v>
      </c>
      <c r="E1109" s="78">
        <f>16.93-5.05</f>
        <v>11.879999999999999</v>
      </c>
      <c r="F1109" s="65"/>
      <c r="G1109" s="65">
        <v>439</v>
      </c>
      <c r="H1109" s="65">
        <f t="shared" si="90"/>
        <v>439</v>
      </c>
      <c r="I1109" s="79">
        <f t="shared" si="87"/>
        <v>0</v>
      </c>
      <c r="J1109" s="79">
        <f t="shared" si="88"/>
        <v>5215.32</v>
      </c>
      <c r="K1109" s="79">
        <f t="shared" si="89"/>
        <v>5215.32</v>
      </c>
      <c r="L1109" s="121"/>
    </row>
    <row r="1110" spans="2:12" ht="38" customHeight="1" x14ac:dyDescent="0.35">
      <c r="B1110" s="111">
        <f t="shared" si="86"/>
        <v>1100</v>
      </c>
      <c r="C1110" s="98" t="s">
        <v>245</v>
      </c>
      <c r="D1110" s="99" t="s">
        <v>27</v>
      </c>
      <c r="E1110" s="100">
        <v>6</v>
      </c>
      <c r="F1110" s="101"/>
      <c r="G1110" s="106"/>
      <c r="H1110" s="101">
        <f t="shared" si="90"/>
        <v>0</v>
      </c>
      <c r="I1110" s="101">
        <f t="shared" si="87"/>
        <v>0</v>
      </c>
      <c r="J1110" s="101">
        <f t="shared" si="88"/>
        <v>0</v>
      </c>
      <c r="K1110" s="101">
        <f t="shared" si="89"/>
        <v>0</v>
      </c>
      <c r="L1110" s="121"/>
    </row>
    <row r="1111" spans="2:12" ht="31" x14ac:dyDescent="0.35">
      <c r="B1111" s="111">
        <f t="shared" si="86"/>
        <v>1101</v>
      </c>
      <c r="C1111" s="64" t="s">
        <v>348</v>
      </c>
      <c r="D1111" s="77" t="s">
        <v>26</v>
      </c>
      <c r="E1111" s="78">
        <f>0.97*8.03</f>
        <v>7.7890999999999995</v>
      </c>
      <c r="F1111" s="65"/>
      <c r="G1111" s="65">
        <v>300</v>
      </c>
      <c r="H1111" s="65">
        <f t="shared" si="90"/>
        <v>300</v>
      </c>
      <c r="I1111" s="79">
        <f t="shared" si="87"/>
        <v>0</v>
      </c>
      <c r="J1111" s="79">
        <f t="shared" si="88"/>
        <v>2336.73</v>
      </c>
      <c r="K1111" s="79">
        <f t="shared" si="89"/>
        <v>2336.73</v>
      </c>
      <c r="L1111" s="121"/>
    </row>
    <row r="1112" spans="2:12" x14ac:dyDescent="0.35">
      <c r="B1112" s="111">
        <f t="shared" si="86"/>
        <v>1102</v>
      </c>
      <c r="C1112" s="64" t="s">
        <v>19</v>
      </c>
      <c r="D1112" s="77" t="s">
        <v>26</v>
      </c>
      <c r="E1112" s="78">
        <f>E1111/97*3</f>
        <v>0.2409</v>
      </c>
      <c r="F1112" s="65"/>
      <c r="G1112" s="65">
        <v>1500</v>
      </c>
      <c r="H1112" s="65">
        <f t="shared" si="90"/>
        <v>1500</v>
      </c>
      <c r="I1112" s="79">
        <f t="shared" si="87"/>
        <v>0</v>
      </c>
      <c r="J1112" s="79">
        <f t="shared" si="88"/>
        <v>361.35</v>
      </c>
      <c r="K1112" s="79">
        <f t="shared" si="89"/>
        <v>361.35</v>
      </c>
      <c r="L1112" s="121"/>
    </row>
    <row r="1113" spans="2:12" x14ac:dyDescent="0.35">
      <c r="B1113" s="111">
        <f t="shared" si="86"/>
        <v>1103</v>
      </c>
      <c r="C1113" s="64" t="s">
        <v>184</v>
      </c>
      <c r="D1113" s="77" t="s">
        <v>25</v>
      </c>
      <c r="E1113" s="78">
        <f>E1110*0.75</f>
        <v>4.5</v>
      </c>
      <c r="F1113" s="65"/>
      <c r="G1113" s="123"/>
      <c r="H1113" s="65">
        <f t="shared" si="90"/>
        <v>0</v>
      </c>
      <c r="I1113" s="79">
        <f t="shared" si="87"/>
        <v>0</v>
      </c>
      <c r="J1113" s="79">
        <f t="shared" si="88"/>
        <v>0</v>
      </c>
      <c r="K1113" s="79">
        <f t="shared" si="89"/>
        <v>0</v>
      </c>
      <c r="L1113" s="121"/>
    </row>
    <row r="1114" spans="2:12" ht="31" x14ac:dyDescent="0.35">
      <c r="B1114" s="111">
        <f t="shared" si="86"/>
        <v>1104</v>
      </c>
      <c r="C1114" s="64" t="s">
        <v>194</v>
      </c>
      <c r="D1114" s="77" t="s">
        <v>25</v>
      </c>
      <c r="E1114" s="78">
        <f>E1110*0.48</f>
        <v>2.88</v>
      </c>
      <c r="F1114" s="65">
        <f>1973*0.15</f>
        <v>295.95</v>
      </c>
      <c r="G1114" s="65">
        <f>1500*0.15</f>
        <v>225</v>
      </c>
      <c r="H1114" s="65">
        <f t="shared" si="90"/>
        <v>520.95000000000005</v>
      </c>
      <c r="I1114" s="79">
        <f t="shared" si="87"/>
        <v>852.34</v>
      </c>
      <c r="J1114" s="79">
        <f t="shared" si="88"/>
        <v>648</v>
      </c>
      <c r="K1114" s="79">
        <f t="shared" si="89"/>
        <v>1500.3400000000001</v>
      </c>
      <c r="L1114" s="121"/>
    </row>
    <row r="1115" spans="2:12" x14ac:dyDescent="0.35">
      <c r="B1115" s="111">
        <f t="shared" si="86"/>
        <v>1105</v>
      </c>
      <c r="C1115" s="64" t="s">
        <v>20</v>
      </c>
      <c r="D1115" s="77" t="s">
        <v>26</v>
      </c>
      <c r="E1115" s="78">
        <f>0.34*E1110*0.1</f>
        <v>0.20400000000000001</v>
      </c>
      <c r="F1115" s="65"/>
      <c r="G1115" s="65">
        <v>5860</v>
      </c>
      <c r="H1115" s="65">
        <f t="shared" si="90"/>
        <v>5860</v>
      </c>
      <c r="I1115" s="79">
        <f t="shared" si="87"/>
        <v>0</v>
      </c>
      <c r="J1115" s="79">
        <f t="shared" si="88"/>
        <v>1195.44</v>
      </c>
      <c r="K1115" s="79">
        <f t="shared" si="89"/>
        <v>1195.44</v>
      </c>
      <c r="L1115" s="121"/>
    </row>
    <row r="1116" spans="2:12" x14ac:dyDescent="0.35">
      <c r="B1116" s="111">
        <f t="shared" si="86"/>
        <v>1106</v>
      </c>
      <c r="C1116" s="80" t="s">
        <v>159</v>
      </c>
      <c r="D1116" s="77" t="s">
        <v>26</v>
      </c>
      <c r="E1116" s="78">
        <f>E1115*1.02</f>
        <v>0.20808000000000001</v>
      </c>
      <c r="F1116" s="65">
        <v>6700</v>
      </c>
      <c r="G1116" s="123"/>
      <c r="H1116" s="65">
        <f t="shared" si="90"/>
        <v>6700</v>
      </c>
      <c r="I1116" s="79">
        <f t="shared" si="87"/>
        <v>1394.14</v>
      </c>
      <c r="J1116" s="79">
        <f t="shared" si="88"/>
        <v>0</v>
      </c>
      <c r="K1116" s="79">
        <f t="shared" si="89"/>
        <v>1394.14</v>
      </c>
      <c r="L1116" s="121"/>
    </row>
    <row r="1117" spans="2:12" x14ac:dyDescent="0.35">
      <c r="B1117" s="111">
        <f t="shared" si="86"/>
        <v>1107</v>
      </c>
      <c r="C1117" s="64" t="s">
        <v>28</v>
      </c>
      <c r="D1117" s="77" t="s">
        <v>26</v>
      </c>
      <c r="E1117" s="78">
        <f>E1110*0.8/10</f>
        <v>0.48000000000000009</v>
      </c>
      <c r="F1117" s="65"/>
      <c r="G1117" s="65">
        <v>5860</v>
      </c>
      <c r="H1117" s="65">
        <f t="shared" si="90"/>
        <v>5860</v>
      </c>
      <c r="I1117" s="79">
        <f t="shared" si="87"/>
        <v>0</v>
      </c>
      <c r="J1117" s="79">
        <f t="shared" si="88"/>
        <v>2812.8</v>
      </c>
      <c r="K1117" s="79">
        <f t="shared" si="89"/>
        <v>2812.8</v>
      </c>
      <c r="L1117" s="121"/>
    </row>
    <row r="1118" spans="2:12" x14ac:dyDescent="0.35">
      <c r="B1118" s="111">
        <f t="shared" si="86"/>
        <v>1108</v>
      </c>
      <c r="C1118" s="80" t="s">
        <v>29</v>
      </c>
      <c r="D1118" s="77" t="s">
        <v>26</v>
      </c>
      <c r="E1118" s="78">
        <f>E1117*1.02</f>
        <v>0.48960000000000009</v>
      </c>
      <c r="F1118" s="65">
        <v>7100</v>
      </c>
      <c r="G1118" s="123"/>
      <c r="H1118" s="65">
        <f t="shared" si="90"/>
        <v>7100</v>
      </c>
      <c r="I1118" s="79">
        <f t="shared" si="87"/>
        <v>3476.16</v>
      </c>
      <c r="J1118" s="79">
        <f t="shared" si="88"/>
        <v>0</v>
      </c>
      <c r="K1118" s="79">
        <f t="shared" si="89"/>
        <v>3476.16</v>
      </c>
      <c r="L1118" s="121"/>
    </row>
    <row r="1119" spans="2:12" x14ac:dyDescent="0.35">
      <c r="B1119" s="111">
        <f t="shared" si="86"/>
        <v>1109</v>
      </c>
      <c r="C1119" s="80" t="s">
        <v>30</v>
      </c>
      <c r="D1119" s="77" t="s">
        <v>31</v>
      </c>
      <c r="E1119" s="78">
        <f>E1110*1.22</f>
        <v>7.32</v>
      </c>
      <c r="F1119" s="65">
        <v>118.9</v>
      </c>
      <c r="G1119" s="123"/>
      <c r="H1119" s="65">
        <f t="shared" si="90"/>
        <v>118.9</v>
      </c>
      <c r="I1119" s="79">
        <f t="shared" si="87"/>
        <v>870.35</v>
      </c>
      <c r="J1119" s="79">
        <f t="shared" si="88"/>
        <v>0</v>
      </c>
      <c r="K1119" s="79">
        <f t="shared" si="89"/>
        <v>870.35</v>
      </c>
      <c r="L1119" s="121"/>
    </row>
    <row r="1120" spans="2:12" x14ac:dyDescent="0.35">
      <c r="B1120" s="111">
        <f t="shared" si="86"/>
        <v>1110</v>
      </c>
      <c r="C1120" s="64" t="s">
        <v>189</v>
      </c>
      <c r="D1120" s="77" t="s">
        <v>27</v>
      </c>
      <c r="E1120" s="78">
        <f>E1110</f>
        <v>6</v>
      </c>
      <c r="F1120" s="65"/>
      <c r="G1120" s="65">
        <v>2928</v>
      </c>
      <c r="H1120" s="65">
        <f t="shared" si="90"/>
        <v>2928</v>
      </c>
      <c r="I1120" s="79">
        <f t="shared" si="87"/>
        <v>0</v>
      </c>
      <c r="J1120" s="79">
        <f t="shared" si="88"/>
        <v>17568</v>
      </c>
      <c r="K1120" s="79">
        <f t="shared" si="89"/>
        <v>17568</v>
      </c>
      <c r="L1120" s="121"/>
    </row>
    <row r="1121" spans="2:12" ht="31" x14ac:dyDescent="0.35">
      <c r="B1121" s="111">
        <f t="shared" si="86"/>
        <v>1111</v>
      </c>
      <c r="C1121" s="80" t="s">
        <v>195</v>
      </c>
      <c r="D1121" s="77" t="s">
        <v>27</v>
      </c>
      <c r="E1121" s="78">
        <f>E1120*1.1</f>
        <v>6.6000000000000005</v>
      </c>
      <c r="F1121" s="65">
        <v>855</v>
      </c>
      <c r="G1121" s="65"/>
      <c r="H1121" s="65">
        <f t="shared" si="90"/>
        <v>855</v>
      </c>
      <c r="I1121" s="79">
        <f t="shared" si="87"/>
        <v>5643</v>
      </c>
      <c r="J1121" s="79">
        <f t="shared" si="88"/>
        <v>0</v>
      </c>
      <c r="K1121" s="79">
        <f t="shared" si="89"/>
        <v>5643</v>
      </c>
      <c r="L1121" s="121"/>
    </row>
    <row r="1122" spans="2:12" ht="33" x14ac:dyDescent="0.35">
      <c r="B1122" s="111">
        <f t="shared" si="86"/>
        <v>1112</v>
      </c>
      <c r="C1122" s="64" t="s">
        <v>355</v>
      </c>
      <c r="D1122" s="81" t="s">
        <v>26</v>
      </c>
      <c r="E1122" s="78">
        <v>13.87</v>
      </c>
      <c r="F1122" s="65"/>
      <c r="G1122" s="65">
        <v>439</v>
      </c>
      <c r="H1122" s="65">
        <f t="shared" si="90"/>
        <v>439</v>
      </c>
      <c r="I1122" s="79">
        <f t="shared" si="87"/>
        <v>0</v>
      </c>
      <c r="J1122" s="79">
        <f t="shared" si="88"/>
        <v>6088.93</v>
      </c>
      <c r="K1122" s="79">
        <f t="shared" si="89"/>
        <v>6088.93</v>
      </c>
      <c r="L1122" s="121"/>
    </row>
    <row r="1123" spans="2:12" ht="30" x14ac:dyDescent="0.35">
      <c r="B1123" s="111">
        <f t="shared" si="86"/>
        <v>1113</v>
      </c>
      <c r="C1123" s="98" t="s">
        <v>246</v>
      </c>
      <c r="D1123" s="99" t="s">
        <v>27</v>
      </c>
      <c r="E1123" s="100">
        <v>3.7</v>
      </c>
      <c r="F1123" s="101"/>
      <c r="G1123" s="106"/>
      <c r="H1123" s="101">
        <f t="shared" si="90"/>
        <v>0</v>
      </c>
      <c r="I1123" s="101">
        <f t="shared" si="87"/>
        <v>0</v>
      </c>
      <c r="J1123" s="101">
        <f t="shared" si="88"/>
        <v>0</v>
      </c>
      <c r="K1123" s="101">
        <f t="shared" si="89"/>
        <v>0</v>
      </c>
      <c r="L1123" s="121"/>
    </row>
    <row r="1124" spans="2:12" ht="31" x14ac:dyDescent="0.35">
      <c r="B1124" s="111">
        <f t="shared" si="86"/>
        <v>1114</v>
      </c>
      <c r="C1124" s="64" t="s">
        <v>348</v>
      </c>
      <c r="D1124" s="77" t="s">
        <v>26</v>
      </c>
      <c r="E1124" s="78">
        <f>0.97*15.31</f>
        <v>14.8507</v>
      </c>
      <c r="F1124" s="65"/>
      <c r="G1124" s="65">
        <v>300</v>
      </c>
      <c r="H1124" s="65">
        <f t="shared" si="90"/>
        <v>300</v>
      </c>
      <c r="I1124" s="79">
        <f t="shared" si="87"/>
        <v>0</v>
      </c>
      <c r="J1124" s="79">
        <f t="shared" si="88"/>
        <v>4455.21</v>
      </c>
      <c r="K1124" s="79">
        <f t="shared" si="89"/>
        <v>4455.21</v>
      </c>
      <c r="L1124" s="121"/>
    </row>
    <row r="1125" spans="2:12" x14ac:dyDescent="0.35">
      <c r="B1125" s="111">
        <f t="shared" si="86"/>
        <v>1115</v>
      </c>
      <c r="C1125" s="64" t="s">
        <v>19</v>
      </c>
      <c r="D1125" s="77" t="s">
        <v>26</v>
      </c>
      <c r="E1125" s="78">
        <f>E1124/97*3</f>
        <v>0.45929999999999993</v>
      </c>
      <c r="F1125" s="65"/>
      <c r="G1125" s="65">
        <v>1500</v>
      </c>
      <c r="H1125" s="65">
        <f t="shared" si="90"/>
        <v>1500</v>
      </c>
      <c r="I1125" s="79">
        <f t="shared" si="87"/>
        <v>0</v>
      </c>
      <c r="J1125" s="79">
        <f t="shared" si="88"/>
        <v>688.95</v>
      </c>
      <c r="K1125" s="79">
        <f t="shared" si="89"/>
        <v>688.95</v>
      </c>
      <c r="L1125" s="121"/>
    </row>
    <row r="1126" spans="2:12" x14ac:dyDescent="0.35">
      <c r="B1126" s="111">
        <f t="shared" si="86"/>
        <v>1116</v>
      </c>
      <c r="C1126" s="64" t="s">
        <v>184</v>
      </c>
      <c r="D1126" s="77" t="s">
        <v>25</v>
      </c>
      <c r="E1126" s="78">
        <f>E1123*0.7*2</f>
        <v>5.18</v>
      </c>
      <c r="F1126" s="65"/>
      <c r="G1126" s="123"/>
      <c r="H1126" s="65">
        <f t="shared" si="90"/>
        <v>0</v>
      </c>
      <c r="I1126" s="79">
        <f t="shared" si="87"/>
        <v>0</v>
      </c>
      <c r="J1126" s="79">
        <f t="shared" si="88"/>
        <v>0</v>
      </c>
      <c r="K1126" s="79">
        <f t="shared" si="89"/>
        <v>0</v>
      </c>
      <c r="L1126" s="121"/>
    </row>
    <row r="1127" spans="2:12" ht="31" x14ac:dyDescent="0.35">
      <c r="B1127" s="111">
        <f t="shared" si="86"/>
        <v>1117</v>
      </c>
      <c r="C1127" s="64" t="s">
        <v>232</v>
      </c>
      <c r="D1127" s="77" t="s">
        <v>25</v>
      </c>
      <c r="E1127" s="78">
        <f>E1123*0.45*2</f>
        <v>3.33</v>
      </c>
      <c r="F1127" s="65">
        <f>1973*0.15</f>
        <v>295.95</v>
      </c>
      <c r="G1127" s="65">
        <f>1500*0.15</f>
        <v>225</v>
      </c>
      <c r="H1127" s="65">
        <f t="shared" si="90"/>
        <v>520.95000000000005</v>
      </c>
      <c r="I1127" s="79">
        <f t="shared" si="87"/>
        <v>985.51</v>
      </c>
      <c r="J1127" s="79">
        <f t="shared" si="88"/>
        <v>749.25</v>
      </c>
      <c r="K1127" s="79">
        <f t="shared" si="89"/>
        <v>1734.76</v>
      </c>
      <c r="L1127" s="121"/>
    </row>
    <row r="1128" spans="2:12" x14ac:dyDescent="0.35">
      <c r="B1128" s="111">
        <f t="shared" si="86"/>
        <v>1118</v>
      </c>
      <c r="C1128" s="64" t="s">
        <v>20</v>
      </c>
      <c r="D1128" s="77" t="s">
        <v>26</v>
      </c>
      <c r="E1128" s="78">
        <f>0.32*2*E1123*0.1</f>
        <v>0.23680000000000004</v>
      </c>
      <c r="F1128" s="65"/>
      <c r="G1128" s="65">
        <v>5860</v>
      </c>
      <c r="H1128" s="65">
        <f t="shared" si="90"/>
        <v>5860</v>
      </c>
      <c r="I1128" s="79">
        <f t="shared" si="87"/>
        <v>0</v>
      </c>
      <c r="J1128" s="79">
        <f t="shared" si="88"/>
        <v>1387.65</v>
      </c>
      <c r="K1128" s="79">
        <f t="shared" si="89"/>
        <v>1387.65</v>
      </c>
      <c r="L1128" s="121"/>
    </row>
    <row r="1129" spans="2:12" x14ac:dyDescent="0.35">
      <c r="B1129" s="111">
        <f t="shared" si="86"/>
        <v>1119</v>
      </c>
      <c r="C1129" s="80" t="s">
        <v>159</v>
      </c>
      <c r="D1129" s="77" t="s">
        <v>26</v>
      </c>
      <c r="E1129" s="78">
        <f>E1128*1.02</f>
        <v>0.24153600000000006</v>
      </c>
      <c r="F1129" s="65">
        <v>6700</v>
      </c>
      <c r="G1129" s="123"/>
      <c r="H1129" s="65">
        <f t="shared" si="90"/>
        <v>6700</v>
      </c>
      <c r="I1129" s="79">
        <f t="shared" si="87"/>
        <v>1618.29</v>
      </c>
      <c r="J1129" s="79">
        <f t="shared" si="88"/>
        <v>0</v>
      </c>
      <c r="K1129" s="79">
        <f t="shared" si="89"/>
        <v>1618.29</v>
      </c>
      <c r="L1129" s="121"/>
    </row>
    <row r="1130" spans="2:12" x14ac:dyDescent="0.35">
      <c r="B1130" s="111">
        <f t="shared" si="86"/>
        <v>1120</v>
      </c>
      <c r="C1130" s="64" t="s">
        <v>28</v>
      </c>
      <c r="D1130" s="77" t="s">
        <v>26</v>
      </c>
      <c r="E1130" s="78">
        <f>0.73*2*E1123*0.1</f>
        <v>0.54020000000000001</v>
      </c>
      <c r="F1130" s="65"/>
      <c r="G1130" s="65">
        <v>5860</v>
      </c>
      <c r="H1130" s="65">
        <f t="shared" si="90"/>
        <v>5860</v>
      </c>
      <c r="I1130" s="79">
        <f t="shared" si="87"/>
        <v>0</v>
      </c>
      <c r="J1130" s="79">
        <f t="shared" si="88"/>
        <v>3165.57</v>
      </c>
      <c r="K1130" s="79">
        <f t="shared" si="89"/>
        <v>3165.57</v>
      </c>
      <c r="L1130" s="121"/>
    </row>
    <row r="1131" spans="2:12" x14ac:dyDescent="0.35">
      <c r="B1131" s="111">
        <f t="shared" si="86"/>
        <v>1121</v>
      </c>
      <c r="C1131" s="80" t="s">
        <v>29</v>
      </c>
      <c r="D1131" s="77" t="s">
        <v>26</v>
      </c>
      <c r="E1131" s="78">
        <f>E1130*1.02</f>
        <v>0.55100400000000005</v>
      </c>
      <c r="F1131" s="65">
        <v>7100</v>
      </c>
      <c r="G1131" s="123"/>
      <c r="H1131" s="65">
        <f t="shared" si="90"/>
        <v>7100</v>
      </c>
      <c r="I1131" s="79">
        <f t="shared" si="87"/>
        <v>3912.13</v>
      </c>
      <c r="J1131" s="79">
        <f t="shared" si="88"/>
        <v>0</v>
      </c>
      <c r="K1131" s="79">
        <f t="shared" si="89"/>
        <v>3912.13</v>
      </c>
      <c r="L1131" s="121"/>
    </row>
    <row r="1132" spans="2:12" x14ac:dyDescent="0.35">
      <c r="B1132" s="111">
        <f t="shared" si="86"/>
        <v>1122</v>
      </c>
      <c r="C1132" s="80" t="s">
        <v>30</v>
      </c>
      <c r="D1132" s="77" t="s">
        <v>31</v>
      </c>
      <c r="E1132" s="78">
        <f>31.39*E1123*0.1*2</f>
        <v>23.2286</v>
      </c>
      <c r="F1132" s="65">
        <v>118.9</v>
      </c>
      <c r="G1132" s="123"/>
      <c r="H1132" s="65">
        <f t="shared" si="90"/>
        <v>118.9</v>
      </c>
      <c r="I1132" s="79">
        <f t="shared" si="87"/>
        <v>2761.88</v>
      </c>
      <c r="J1132" s="79">
        <f t="shared" si="88"/>
        <v>0</v>
      </c>
      <c r="K1132" s="79">
        <f t="shared" si="89"/>
        <v>2761.88</v>
      </c>
      <c r="L1132" s="121"/>
    </row>
    <row r="1133" spans="2:12" x14ac:dyDescent="0.35">
      <c r="B1133" s="111">
        <f t="shared" si="86"/>
        <v>1123</v>
      </c>
      <c r="C1133" s="64" t="s">
        <v>233</v>
      </c>
      <c r="D1133" s="77" t="s">
        <v>27</v>
      </c>
      <c r="E1133" s="78">
        <f>E1123</f>
        <v>3.7</v>
      </c>
      <c r="F1133" s="65"/>
      <c r="G1133" s="65">
        <v>6000</v>
      </c>
      <c r="H1133" s="65">
        <f t="shared" si="90"/>
        <v>6000</v>
      </c>
      <c r="I1133" s="79">
        <f t="shared" si="87"/>
        <v>0</v>
      </c>
      <c r="J1133" s="79">
        <f t="shared" si="88"/>
        <v>22200</v>
      </c>
      <c r="K1133" s="79">
        <f t="shared" si="89"/>
        <v>22200</v>
      </c>
      <c r="L1133" s="121"/>
    </row>
    <row r="1134" spans="2:12" x14ac:dyDescent="0.35">
      <c r="B1134" s="111">
        <f t="shared" si="86"/>
        <v>1124</v>
      </c>
      <c r="C1134" s="80" t="s">
        <v>353</v>
      </c>
      <c r="D1134" s="77" t="s">
        <v>27</v>
      </c>
      <c r="E1134" s="78">
        <f>E1133*1.1*2</f>
        <v>8.14</v>
      </c>
      <c r="F1134" s="65">
        <v>800</v>
      </c>
      <c r="G1134" s="65"/>
      <c r="H1134" s="65">
        <f t="shared" si="90"/>
        <v>800</v>
      </c>
      <c r="I1134" s="79">
        <f t="shared" si="87"/>
        <v>6512</v>
      </c>
      <c r="J1134" s="79">
        <f t="shared" si="88"/>
        <v>0</v>
      </c>
      <c r="K1134" s="79">
        <f t="shared" si="89"/>
        <v>6512</v>
      </c>
      <c r="L1134" s="121"/>
    </row>
    <row r="1135" spans="2:12" ht="33" x14ac:dyDescent="0.35">
      <c r="B1135" s="111">
        <f t="shared" si="86"/>
        <v>1125</v>
      </c>
      <c r="C1135" s="64" t="s">
        <v>355</v>
      </c>
      <c r="D1135" s="81" t="s">
        <v>26</v>
      </c>
      <c r="E1135" s="78">
        <v>14.57</v>
      </c>
      <c r="F1135" s="65"/>
      <c r="G1135" s="65">
        <v>439</v>
      </c>
      <c r="H1135" s="65">
        <f t="shared" si="90"/>
        <v>439</v>
      </c>
      <c r="I1135" s="79">
        <f t="shared" si="87"/>
        <v>0</v>
      </c>
      <c r="J1135" s="79">
        <f t="shared" si="88"/>
        <v>6396.23</v>
      </c>
      <c r="K1135" s="79">
        <f t="shared" si="89"/>
        <v>6396.23</v>
      </c>
      <c r="L1135" s="121"/>
    </row>
    <row r="1136" spans="2:12" ht="45" x14ac:dyDescent="0.35">
      <c r="B1136" s="111">
        <f t="shared" si="86"/>
        <v>1126</v>
      </c>
      <c r="C1136" s="98" t="s">
        <v>247</v>
      </c>
      <c r="D1136" s="99" t="s">
        <v>27</v>
      </c>
      <c r="E1136" s="100">
        <v>3.7</v>
      </c>
      <c r="F1136" s="101"/>
      <c r="G1136" s="106"/>
      <c r="H1136" s="101">
        <f t="shared" si="90"/>
        <v>0</v>
      </c>
      <c r="I1136" s="101">
        <f t="shared" si="87"/>
        <v>0</v>
      </c>
      <c r="J1136" s="101">
        <f t="shared" si="88"/>
        <v>0</v>
      </c>
      <c r="K1136" s="101">
        <f t="shared" si="89"/>
        <v>0</v>
      </c>
      <c r="L1136" s="121"/>
    </row>
    <row r="1137" spans="2:12" ht="31" x14ac:dyDescent="0.35">
      <c r="B1137" s="111">
        <f t="shared" si="86"/>
        <v>1127</v>
      </c>
      <c r="C1137" s="64" t="s">
        <v>348</v>
      </c>
      <c r="D1137" s="77" t="s">
        <v>26</v>
      </c>
      <c r="E1137" s="78">
        <f>0.97*1</f>
        <v>0.97</v>
      </c>
      <c r="F1137" s="65"/>
      <c r="G1137" s="65">
        <v>300</v>
      </c>
      <c r="H1137" s="65">
        <f t="shared" si="90"/>
        <v>300</v>
      </c>
      <c r="I1137" s="79">
        <f t="shared" si="87"/>
        <v>0</v>
      </c>
      <c r="J1137" s="79">
        <f t="shared" si="88"/>
        <v>291</v>
      </c>
      <c r="K1137" s="79">
        <f t="shared" si="89"/>
        <v>291</v>
      </c>
      <c r="L1137" s="121"/>
    </row>
    <row r="1138" spans="2:12" x14ac:dyDescent="0.35">
      <c r="B1138" s="111">
        <f t="shared" si="86"/>
        <v>1128</v>
      </c>
      <c r="C1138" s="64" t="s">
        <v>19</v>
      </c>
      <c r="D1138" s="77" t="s">
        <v>26</v>
      </c>
      <c r="E1138" s="78">
        <f>E1137/97*3</f>
        <v>0.03</v>
      </c>
      <c r="F1138" s="65"/>
      <c r="G1138" s="65">
        <v>1500</v>
      </c>
      <c r="H1138" s="65">
        <f t="shared" si="90"/>
        <v>1500</v>
      </c>
      <c r="I1138" s="79">
        <f t="shared" si="87"/>
        <v>0</v>
      </c>
      <c r="J1138" s="79">
        <f t="shared" si="88"/>
        <v>45</v>
      </c>
      <c r="K1138" s="79">
        <f t="shared" si="89"/>
        <v>45</v>
      </c>
      <c r="L1138" s="121"/>
    </row>
    <row r="1139" spans="2:12" x14ac:dyDescent="0.35">
      <c r="B1139" s="111">
        <f t="shared" si="86"/>
        <v>1129</v>
      </c>
      <c r="C1139" s="64" t="s">
        <v>184</v>
      </c>
      <c r="D1139" s="77" t="s">
        <v>25</v>
      </c>
      <c r="E1139" s="78">
        <f>E1136*0.7*2</f>
        <v>5.18</v>
      </c>
      <c r="F1139" s="65"/>
      <c r="G1139" s="123"/>
      <c r="H1139" s="65">
        <f t="shared" si="90"/>
        <v>0</v>
      </c>
      <c r="I1139" s="79">
        <f t="shared" si="87"/>
        <v>0</v>
      </c>
      <c r="J1139" s="79">
        <f t="shared" si="88"/>
        <v>0</v>
      </c>
      <c r="K1139" s="79">
        <f t="shared" si="89"/>
        <v>0</v>
      </c>
      <c r="L1139" s="121"/>
    </row>
    <row r="1140" spans="2:12" ht="31" x14ac:dyDescent="0.35">
      <c r="B1140" s="111">
        <f t="shared" si="86"/>
        <v>1130</v>
      </c>
      <c r="C1140" s="64" t="s">
        <v>232</v>
      </c>
      <c r="D1140" s="77" t="s">
        <v>25</v>
      </c>
      <c r="E1140" s="78">
        <f>E1136*0.45*2</f>
        <v>3.33</v>
      </c>
      <c r="F1140" s="65">
        <f>1973*0.15</f>
        <v>295.95</v>
      </c>
      <c r="G1140" s="65">
        <f>1500*0.15</f>
        <v>225</v>
      </c>
      <c r="H1140" s="65">
        <f t="shared" si="90"/>
        <v>520.95000000000005</v>
      </c>
      <c r="I1140" s="79">
        <f t="shared" si="87"/>
        <v>985.51</v>
      </c>
      <c r="J1140" s="79">
        <f t="shared" si="88"/>
        <v>749.25</v>
      </c>
      <c r="K1140" s="79">
        <f t="shared" si="89"/>
        <v>1734.76</v>
      </c>
      <c r="L1140" s="121"/>
    </row>
    <row r="1141" spans="2:12" x14ac:dyDescent="0.35">
      <c r="B1141" s="111">
        <f t="shared" si="86"/>
        <v>1131</v>
      </c>
      <c r="C1141" s="64" t="s">
        <v>20</v>
      </c>
      <c r="D1141" s="77" t="s">
        <v>26</v>
      </c>
      <c r="E1141" s="78">
        <f>0.32*2*E1136*0.1</f>
        <v>0.23680000000000004</v>
      </c>
      <c r="F1141" s="65"/>
      <c r="G1141" s="65">
        <v>5860</v>
      </c>
      <c r="H1141" s="65">
        <f t="shared" si="90"/>
        <v>5860</v>
      </c>
      <c r="I1141" s="79">
        <f t="shared" si="87"/>
        <v>0</v>
      </c>
      <c r="J1141" s="79">
        <f t="shared" si="88"/>
        <v>1387.65</v>
      </c>
      <c r="K1141" s="79">
        <f t="shared" si="89"/>
        <v>1387.65</v>
      </c>
      <c r="L1141" s="121"/>
    </row>
    <row r="1142" spans="2:12" x14ac:dyDescent="0.35">
      <c r="B1142" s="111">
        <f t="shared" si="86"/>
        <v>1132</v>
      </c>
      <c r="C1142" s="80" t="s">
        <v>159</v>
      </c>
      <c r="D1142" s="77" t="s">
        <v>26</v>
      </c>
      <c r="E1142" s="78">
        <f>E1141*1.02</f>
        <v>0.24153600000000006</v>
      </c>
      <c r="F1142" s="65">
        <v>6700</v>
      </c>
      <c r="G1142" s="123"/>
      <c r="H1142" s="65">
        <f t="shared" si="90"/>
        <v>6700</v>
      </c>
      <c r="I1142" s="79">
        <f t="shared" si="87"/>
        <v>1618.29</v>
      </c>
      <c r="J1142" s="79">
        <f t="shared" si="88"/>
        <v>0</v>
      </c>
      <c r="K1142" s="79">
        <f t="shared" si="89"/>
        <v>1618.29</v>
      </c>
      <c r="L1142" s="121"/>
    </row>
    <row r="1143" spans="2:12" x14ac:dyDescent="0.35">
      <c r="B1143" s="111">
        <f t="shared" si="86"/>
        <v>1133</v>
      </c>
      <c r="C1143" s="64" t="s">
        <v>28</v>
      </c>
      <c r="D1143" s="77" t="s">
        <v>26</v>
      </c>
      <c r="E1143" s="78">
        <f>0.73*2*E1136*0.1</f>
        <v>0.54020000000000001</v>
      </c>
      <c r="F1143" s="65"/>
      <c r="G1143" s="65">
        <v>5860</v>
      </c>
      <c r="H1143" s="65">
        <f t="shared" si="90"/>
        <v>5860</v>
      </c>
      <c r="I1143" s="79">
        <f t="shared" si="87"/>
        <v>0</v>
      </c>
      <c r="J1143" s="79">
        <f t="shared" si="88"/>
        <v>3165.57</v>
      </c>
      <c r="K1143" s="79">
        <f t="shared" si="89"/>
        <v>3165.57</v>
      </c>
      <c r="L1143" s="121"/>
    </row>
    <row r="1144" spans="2:12" x14ac:dyDescent="0.35">
      <c r="B1144" s="111">
        <f t="shared" si="86"/>
        <v>1134</v>
      </c>
      <c r="C1144" s="80" t="s">
        <v>29</v>
      </c>
      <c r="D1144" s="77" t="s">
        <v>26</v>
      </c>
      <c r="E1144" s="78">
        <f>E1143*1.02</f>
        <v>0.55100400000000005</v>
      </c>
      <c r="F1144" s="65">
        <v>7100</v>
      </c>
      <c r="G1144" s="123"/>
      <c r="H1144" s="65">
        <f t="shared" si="90"/>
        <v>7100</v>
      </c>
      <c r="I1144" s="79">
        <f t="shared" si="87"/>
        <v>3912.13</v>
      </c>
      <c r="J1144" s="79">
        <f t="shared" si="88"/>
        <v>0</v>
      </c>
      <c r="K1144" s="79">
        <f t="shared" si="89"/>
        <v>3912.13</v>
      </c>
      <c r="L1144" s="121"/>
    </row>
    <row r="1145" spans="2:12" x14ac:dyDescent="0.35">
      <c r="B1145" s="111">
        <f t="shared" si="86"/>
        <v>1135</v>
      </c>
      <c r="C1145" s="80" t="s">
        <v>30</v>
      </c>
      <c r="D1145" s="77" t="s">
        <v>31</v>
      </c>
      <c r="E1145" s="78">
        <f>31.39*E1136*0.1*2</f>
        <v>23.2286</v>
      </c>
      <c r="F1145" s="65">
        <v>118.9</v>
      </c>
      <c r="G1145" s="123"/>
      <c r="H1145" s="65">
        <f t="shared" si="90"/>
        <v>118.9</v>
      </c>
      <c r="I1145" s="79">
        <f t="shared" si="87"/>
        <v>2761.88</v>
      </c>
      <c r="J1145" s="79">
        <f t="shared" si="88"/>
        <v>0</v>
      </c>
      <c r="K1145" s="79">
        <f t="shared" si="89"/>
        <v>2761.88</v>
      </c>
      <c r="L1145" s="121"/>
    </row>
    <row r="1146" spans="2:12" x14ac:dyDescent="0.35">
      <c r="B1146" s="111">
        <f t="shared" si="86"/>
        <v>1136</v>
      </c>
      <c r="C1146" s="64" t="s">
        <v>233</v>
      </c>
      <c r="D1146" s="77" t="s">
        <v>27</v>
      </c>
      <c r="E1146" s="78">
        <f>E1136</f>
        <v>3.7</v>
      </c>
      <c r="F1146" s="65"/>
      <c r="G1146" s="65">
        <v>6000</v>
      </c>
      <c r="H1146" s="65">
        <f t="shared" si="90"/>
        <v>6000</v>
      </c>
      <c r="I1146" s="79">
        <f t="shared" si="87"/>
        <v>0</v>
      </c>
      <c r="J1146" s="79">
        <f t="shared" si="88"/>
        <v>22200</v>
      </c>
      <c r="K1146" s="79">
        <f t="shared" si="89"/>
        <v>22200</v>
      </c>
      <c r="L1146" s="121"/>
    </row>
    <row r="1147" spans="2:12" x14ac:dyDescent="0.35">
      <c r="B1147" s="111">
        <f t="shared" si="86"/>
        <v>1137</v>
      </c>
      <c r="C1147" s="80" t="s">
        <v>353</v>
      </c>
      <c r="D1147" s="77" t="s">
        <v>27</v>
      </c>
      <c r="E1147" s="78">
        <f>E1146*1.1*2</f>
        <v>8.14</v>
      </c>
      <c r="F1147" s="65">
        <v>800</v>
      </c>
      <c r="G1147" s="65"/>
      <c r="H1147" s="65">
        <f t="shared" si="90"/>
        <v>800</v>
      </c>
      <c r="I1147" s="79">
        <f t="shared" si="87"/>
        <v>6512</v>
      </c>
      <c r="J1147" s="79">
        <f t="shared" si="88"/>
        <v>0</v>
      </c>
      <c r="K1147" s="79">
        <f t="shared" si="89"/>
        <v>6512</v>
      </c>
      <c r="L1147" s="121"/>
    </row>
    <row r="1148" spans="2:12" ht="33" x14ac:dyDescent="0.35">
      <c r="B1148" s="111">
        <f t="shared" si="86"/>
        <v>1138</v>
      </c>
      <c r="C1148" s="64" t="s">
        <v>355</v>
      </c>
      <c r="D1148" s="81" t="s">
        <v>26</v>
      </c>
      <c r="E1148" s="78">
        <v>2.67</v>
      </c>
      <c r="F1148" s="65"/>
      <c r="G1148" s="65">
        <v>439</v>
      </c>
      <c r="H1148" s="65">
        <f t="shared" si="90"/>
        <v>439</v>
      </c>
      <c r="I1148" s="79">
        <f t="shared" si="87"/>
        <v>0</v>
      </c>
      <c r="J1148" s="79">
        <f t="shared" si="88"/>
        <v>1172.1300000000001</v>
      </c>
      <c r="K1148" s="79">
        <f t="shared" si="89"/>
        <v>1172.1300000000001</v>
      </c>
      <c r="L1148" s="121"/>
    </row>
    <row r="1149" spans="2:12" ht="22.25" customHeight="1" x14ac:dyDescent="0.35">
      <c r="B1149" s="111">
        <f t="shared" si="86"/>
        <v>1139</v>
      </c>
      <c r="C1149" s="98" t="s">
        <v>249</v>
      </c>
      <c r="D1149" s="103" t="s">
        <v>32</v>
      </c>
      <c r="E1149" s="100">
        <v>1</v>
      </c>
      <c r="F1149" s="101"/>
      <c r="G1149" s="106"/>
      <c r="H1149" s="101">
        <f t="shared" si="90"/>
        <v>0</v>
      </c>
      <c r="I1149" s="101">
        <f t="shared" si="87"/>
        <v>0</v>
      </c>
      <c r="J1149" s="101">
        <f t="shared" si="88"/>
        <v>0</v>
      </c>
      <c r="K1149" s="101">
        <f t="shared" si="89"/>
        <v>0</v>
      </c>
      <c r="L1149" s="121"/>
    </row>
    <row r="1150" spans="2:12" ht="31" x14ac:dyDescent="0.35">
      <c r="B1150" s="111">
        <f t="shared" si="86"/>
        <v>1140</v>
      </c>
      <c r="C1150" s="64" t="s">
        <v>348</v>
      </c>
      <c r="D1150" s="81" t="s">
        <v>26</v>
      </c>
      <c r="E1150" s="78">
        <f>2.57*0.97</f>
        <v>2.4928999999999997</v>
      </c>
      <c r="F1150" s="65"/>
      <c r="G1150" s="65">
        <v>300</v>
      </c>
      <c r="H1150" s="65">
        <f t="shared" si="90"/>
        <v>300</v>
      </c>
      <c r="I1150" s="79">
        <f t="shared" si="87"/>
        <v>0</v>
      </c>
      <c r="J1150" s="79">
        <f t="shared" si="88"/>
        <v>747.87</v>
      </c>
      <c r="K1150" s="79">
        <f t="shared" si="89"/>
        <v>747.87</v>
      </c>
      <c r="L1150" s="121"/>
    </row>
    <row r="1151" spans="2:12" x14ac:dyDescent="0.35">
      <c r="B1151" s="111">
        <f t="shared" si="86"/>
        <v>1141</v>
      </c>
      <c r="C1151" s="64" t="s">
        <v>19</v>
      </c>
      <c r="D1151" s="81" t="s">
        <v>26</v>
      </c>
      <c r="E1151" s="78">
        <f>E1150/9</f>
        <v>0.27698888888888884</v>
      </c>
      <c r="F1151" s="65"/>
      <c r="G1151" s="65">
        <v>1500</v>
      </c>
      <c r="H1151" s="65">
        <f t="shared" si="90"/>
        <v>1500</v>
      </c>
      <c r="I1151" s="79">
        <f t="shared" si="87"/>
        <v>0</v>
      </c>
      <c r="J1151" s="79">
        <f t="shared" si="88"/>
        <v>415.48</v>
      </c>
      <c r="K1151" s="79">
        <f t="shared" si="89"/>
        <v>415.48</v>
      </c>
      <c r="L1151" s="121"/>
    </row>
    <row r="1152" spans="2:12" x14ac:dyDescent="0.35">
      <c r="B1152" s="111">
        <f t="shared" si="86"/>
        <v>1142</v>
      </c>
      <c r="C1152" s="64" t="s">
        <v>67</v>
      </c>
      <c r="D1152" s="81" t="s">
        <v>25</v>
      </c>
      <c r="E1152" s="78">
        <f>(3.14*2.4^2)/4</f>
        <v>4.5216000000000003</v>
      </c>
      <c r="F1152" s="65"/>
      <c r="G1152" s="123"/>
      <c r="H1152" s="65">
        <f t="shared" si="90"/>
        <v>0</v>
      </c>
      <c r="I1152" s="79">
        <f t="shared" si="87"/>
        <v>0</v>
      </c>
      <c r="J1152" s="79">
        <f t="shared" si="88"/>
        <v>0</v>
      </c>
      <c r="K1152" s="79">
        <f t="shared" si="89"/>
        <v>0</v>
      </c>
      <c r="L1152" s="121"/>
    </row>
    <row r="1153" spans="2:12" x14ac:dyDescent="0.35">
      <c r="B1153" s="111">
        <f t="shared" si="86"/>
        <v>1143</v>
      </c>
      <c r="C1153" s="64" t="s">
        <v>68</v>
      </c>
      <c r="D1153" s="81" t="s">
        <v>26</v>
      </c>
      <c r="E1153" s="78">
        <f>(3.14*2.2^2)/4*0.1</f>
        <v>0.37994000000000011</v>
      </c>
      <c r="F1153" s="65"/>
      <c r="G1153" s="65">
        <v>5860</v>
      </c>
      <c r="H1153" s="65">
        <f t="shared" si="90"/>
        <v>5860</v>
      </c>
      <c r="I1153" s="79">
        <f t="shared" si="87"/>
        <v>0</v>
      </c>
      <c r="J1153" s="79">
        <f t="shared" si="88"/>
        <v>2226.4499999999998</v>
      </c>
      <c r="K1153" s="79">
        <f t="shared" si="89"/>
        <v>2226.4499999999998</v>
      </c>
      <c r="L1153" s="121"/>
    </row>
    <row r="1154" spans="2:12" x14ac:dyDescent="0.35">
      <c r="B1154" s="111">
        <f t="shared" si="86"/>
        <v>1144</v>
      </c>
      <c r="C1154" s="80" t="s">
        <v>159</v>
      </c>
      <c r="D1154" s="81" t="s">
        <v>26</v>
      </c>
      <c r="E1154" s="78">
        <f>E1153*1.02</f>
        <v>0.38753880000000013</v>
      </c>
      <c r="F1154" s="65">
        <v>6700</v>
      </c>
      <c r="G1154" s="123"/>
      <c r="H1154" s="65">
        <f t="shared" si="90"/>
        <v>6700</v>
      </c>
      <c r="I1154" s="79">
        <f t="shared" si="87"/>
        <v>2596.5100000000002</v>
      </c>
      <c r="J1154" s="79">
        <f t="shared" si="88"/>
        <v>0</v>
      </c>
      <c r="K1154" s="79">
        <f t="shared" si="89"/>
        <v>2596.5100000000002</v>
      </c>
      <c r="L1154" s="121"/>
    </row>
    <row r="1155" spans="2:12" x14ac:dyDescent="0.35">
      <c r="B1155" s="111">
        <f t="shared" si="86"/>
        <v>1145</v>
      </c>
      <c r="C1155" s="64" t="s">
        <v>151</v>
      </c>
      <c r="D1155" s="81" t="s">
        <v>25</v>
      </c>
      <c r="E1155" s="78">
        <f>(3.14*2^2)/4</f>
        <v>3.14</v>
      </c>
      <c r="F1155" s="65">
        <v>68.5</v>
      </c>
      <c r="G1155" s="65">
        <v>150</v>
      </c>
      <c r="H1155" s="65">
        <f t="shared" si="90"/>
        <v>218.5</v>
      </c>
      <c r="I1155" s="79">
        <f t="shared" si="87"/>
        <v>215.09</v>
      </c>
      <c r="J1155" s="79">
        <f t="shared" si="88"/>
        <v>471</v>
      </c>
      <c r="K1155" s="79">
        <f t="shared" si="89"/>
        <v>686.09</v>
      </c>
      <c r="L1155" s="121"/>
    </row>
    <row r="1156" spans="2:12" ht="31" x14ac:dyDescent="0.35">
      <c r="B1156" s="111">
        <f t="shared" si="86"/>
        <v>1146</v>
      </c>
      <c r="C1156" s="64" t="s">
        <v>152</v>
      </c>
      <c r="D1156" s="81" t="s">
        <v>25</v>
      </c>
      <c r="E1156" s="78">
        <f>E1155</f>
        <v>3.14</v>
      </c>
      <c r="F1156" s="65">
        <v>927</v>
      </c>
      <c r="G1156" s="65">
        <v>400</v>
      </c>
      <c r="H1156" s="65">
        <f t="shared" si="90"/>
        <v>1327</v>
      </c>
      <c r="I1156" s="79">
        <f t="shared" si="87"/>
        <v>2910.78</v>
      </c>
      <c r="J1156" s="79">
        <f t="shared" si="88"/>
        <v>1256</v>
      </c>
      <c r="K1156" s="79">
        <f t="shared" si="89"/>
        <v>4166.7800000000007</v>
      </c>
      <c r="L1156" s="121"/>
    </row>
    <row r="1157" spans="2:12" ht="31" x14ac:dyDescent="0.35">
      <c r="B1157" s="111">
        <f t="shared" si="86"/>
        <v>1147</v>
      </c>
      <c r="C1157" s="64" t="s">
        <v>107</v>
      </c>
      <c r="D1157" s="81" t="s">
        <v>32</v>
      </c>
      <c r="E1157" s="78">
        <v>1</v>
      </c>
      <c r="F1157" s="65"/>
      <c r="G1157" s="65">
        <v>5662</v>
      </c>
      <c r="H1157" s="65">
        <f t="shared" si="90"/>
        <v>5662</v>
      </c>
      <c r="I1157" s="79">
        <f t="shared" si="87"/>
        <v>0</v>
      </c>
      <c r="J1157" s="79">
        <f t="shared" si="88"/>
        <v>5662</v>
      </c>
      <c r="K1157" s="79">
        <f t="shared" si="89"/>
        <v>5662</v>
      </c>
      <c r="L1157" s="121"/>
    </row>
    <row r="1158" spans="2:12" x14ac:dyDescent="0.35">
      <c r="B1158" s="111">
        <f t="shared" si="86"/>
        <v>1148</v>
      </c>
      <c r="C1158" s="82" t="s">
        <v>108</v>
      </c>
      <c r="D1158" s="81" t="s">
        <v>32</v>
      </c>
      <c r="E1158" s="78">
        <v>1</v>
      </c>
      <c r="F1158" s="65">
        <f>6000*1.2</f>
        <v>7200</v>
      </c>
      <c r="G1158" s="123"/>
      <c r="H1158" s="65">
        <f t="shared" si="90"/>
        <v>7200</v>
      </c>
      <c r="I1158" s="79">
        <f t="shared" si="87"/>
        <v>7200</v>
      </c>
      <c r="J1158" s="79">
        <f t="shared" si="88"/>
        <v>0</v>
      </c>
      <c r="K1158" s="79">
        <f t="shared" si="89"/>
        <v>7200</v>
      </c>
      <c r="L1158" s="121"/>
    </row>
    <row r="1159" spans="2:12" x14ac:dyDescent="0.35">
      <c r="B1159" s="111">
        <f t="shared" si="86"/>
        <v>1149</v>
      </c>
      <c r="C1159" s="82" t="s">
        <v>101</v>
      </c>
      <c r="D1159" s="81" t="s">
        <v>26</v>
      </c>
      <c r="E1159" s="78">
        <f>((3.14*2^2)/4*0.02)*1.02</f>
        <v>6.4056000000000016E-2</v>
      </c>
      <c r="F1159" s="65">
        <v>7300</v>
      </c>
      <c r="G1159" s="123"/>
      <c r="H1159" s="65">
        <f t="shared" si="90"/>
        <v>7300</v>
      </c>
      <c r="I1159" s="79">
        <f t="shared" si="87"/>
        <v>467.61</v>
      </c>
      <c r="J1159" s="79">
        <f t="shared" si="88"/>
        <v>0</v>
      </c>
      <c r="K1159" s="79">
        <f t="shared" si="89"/>
        <v>467.61</v>
      </c>
      <c r="L1159" s="121"/>
    </row>
    <row r="1160" spans="2:12" ht="31" x14ac:dyDescent="0.35">
      <c r="B1160" s="111">
        <f t="shared" si="86"/>
        <v>1150</v>
      </c>
      <c r="C1160" s="64" t="s">
        <v>179</v>
      </c>
      <c r="D1160" s="81" t="s">
        <v>26</v>
      </c>
      <c r="E1160" s="78">
        <v>1.2</v>
      </c>
      <c r="F1160" s="65"/>
      <c r="G1160" s="65">
        <v>5860</v>
      </c>
      <c r="H1160" s="65">
        <f t="shared" si="90"/>
        <v>5860</v>
      </c>
      <c r="I1160" s="79">
        <f t="shared" si="87"/>
        <v>0</v>
      </c>
      <c r="J1160" s="79">
        <f t="shared" si="88"/>
        <v>7032</v>
      </c>
      <c r="K1160" s="79">
        <f t="shared" si="89"/>
        <v>7032</v>
      </c>
      <c r="L1160" s="121"/>
    </row>
    <row r="1161" spans="2:12" x14ac:dyDescent="0.35">
      <c r="B1161" s="111">
        <f t="shared" si="86"/>
        <v>1151</v>
      </c>
      <c r="C1161" s="82" t="s">
        <v>75</v>
      </c>
      <c r="D1161" s="81" t="s">
        <v>26</v>
      </c>
      <c r="E1161" s="78">
        <f>E1160*1.02</f>
        <v>1.224</v>
      </c>
      <c r="F1161" s="65">
        <v>7100</v>
      </c>
      <c r="G1161" s="123"/>
      <c r="H1161" s="65">
        <f t="shared" si="90"/>
        <v>7100</v>
      </c>
      <c r="I1161" s="79">
        <f t="shared" si="87"/>
        <v>8690.4</v>
      </c>
      <c r="J1161" s="79">
        <f t="shared" si="88"/>
        <v>0</v>
      </c>
      <c r="K1161" s="79">
        <f t="shared" si="89"/>
        <v>8690.4</v>
      </c>
      <c r="L1161" s="121"/>
    </row>
    <row r="1162" spans="2:12" ht="31" x14ac:dyDescent="0.35">
      <c r="B1162" s="111">
        <f t="shared" si="86"/>
        <v>1152</v>
      </c>
      <c r="C1162" s="64" t="s">
        <v>78</v>
      </c>
      <c r="D1162" s="81" t="s">
        <v>32</v>
      </c>
      <c r="E1162" s="78">
        <v>1</v>
      </c>
      <c r="F1162" s="65"/>
      <c r="G1162" s="65">
        <v>5662</v>
      </c>
      <c r="H1162" s="65">
        <f t="shared" si="90"/>
        <v>5662</v>
      </c>
      <c r="I1162" s="79">
        <f t="shared" si="87"/>
        <v>0</v>
      </c>
      <c r="J1162" s="79">
        <f t="shared" si="88"/>
        <v>5662</v>
      </c>
      <c r="K1162" s="79">
        <f t="shared" si="89"/>
        <v>5662</v>
      </c>
      <c r="L1162" s="121"/>
    </row>
    <row r="1163" spans="2:12" x14ac:dyDescent="0.35">
      <c r="B1163" s="111">
        <f t="shared" si="86"/>
        <v>1153</v>
      </c>
      <c r="C1163" s="82" t="s">
        <v>110</v>
      </c>
      <c r="D1163" s="81" t="s">
        <v>32</v>
      </c>
      <c r="E1163" s="78">
        <v>1</v>
      </c>
      <c r="F1163" s="65">
        <f>4500*1.2</f>
        <v>5400</v>
      </c>
      <c r="G1163" s="123"/>
      <c r="H1163" s="65">
        <f t="shared" si="90"/>
        <v>5400</v>
      </c>
      <c r="I1163" s="79">
        <f t="shared" si="87"/>
        <v>5400</v>
      </c>
      <c r="J1163" s="79">
        <f t="shared" si="88"/>
        <v>0</v>
      </c>
      <c r="K1163" s="79">
        <f t="shared" si="89"/>
        <v>5400</v>
      </c>
      <c r="L1163" s="121"/>
    </row>
    <row r="1164" spans="2:12" ht="31" x14ac:dyDescent="0.35">
      <c r="B1164" s="111">
        <f t="shared" si="86"/>
        <v>1154</v>
      </c>
      <c r="C1164" s="64" t="s">
        <v>85</v>
      </c>
      <c r="D1164" s="81" t="s">
        <v>32</v>
      </c>
      <c r="E1164" s="78">
        <v>1</v>
      </c>
      <c r="F1164" s="65"/>
      <c r="G1164" s="65">
        <v>2500</v>
      </c>
      <c r="H1164" s="65">
        <f t="shared" si="90"/>
        <v>2500</v>
      </c>
      <c r="I1164" s="79">
        <f t="shared" si="87"/>
        <v>0</v>
      </c>
      <c r="J1164" s="79">
        <f t="shared" si="88"/>
        <v>2500</v>
      </c>
      <c r="K1164" s="79">
        <f t="shared" si="89"/>
        <v>2500</v>
      </c>
      <c r="L1164" s="121"/>
    </row>
    <row r="1165" spans="2:12" x14ac:dyDescent="0.35">
      <c r="B1165" s="111">
        <f t="shared" ref="B1165:B1228" si="91">B1164+1</f>
        <v>1155</v>
      </c>
      <c r="C1165" s="82" t="s">
        <v>154</v>
      </c>
      <c r="D1165" s="81" t="s">
        <v>32</v>
      </c>
      <c r="E1165" s="78">
        <v>1</v>
      </c>
      <c r="F1165" s="65">
        <f>5500*1.2</f>
        <v>6600</v>
      </c>
      <c r="G1165" s="123"/>
      <c r="H1165" s="65">
        <f t="shared" si="90"/>
        <v>6600</v>
      </c>
      <c r="I1165" s="79">
        <f t="shared" ref="I1165:I1228" si="92">ROUND(F1165*E1165,2)</f>
        <v>6600</v>
      </c>
      <c r="J1165" s="79">
        <f t="shared" ref="J1165:J1228" si="93">ROUND(G1165*E1165,2)</f>
        <v>0</v>
      </c>
      <c r="K1165" s="79">
        <f t="shared" ref="K1165:K1228" si="94">I1165+J1165</f>
        <v>6600</v>
      </c>
      <c r="L1165" s="121"/>
    </row>
    <row r="1166" spans="2:12" ht="31" x14ac:dyDescent="0.35">
      <c r="B1166" s="111">
        <f t="shared" si="91"/>
        <v>1156</v>
      </c>
      <c r="C1166" s="64" t="s">
        <v>316</v>
      </c>
      <c r="D1166" s="81" t="s">
        <v>32</v>
      </c>
      <c r="E1166" s="78">
        <v>1</v>
      </c>
      <c r="F1166" s="65"/>
      <c r="G1166" s="65"/>
      <c r="H1166" s="65">
        <f t="shared" si="90"/>
        <v>0</v>
      </c>
      <c r="I1166" s="79">
        <f t="shared" si="92"/>
        <v>0</v>
      </c>
      <c r="J1166" s="79">
        <f t="shared" si="93"/>
        <v>0</v>
      </c>
      <c r="K1166" s="79">
        <f t="shared" si="94"/>
        <v>0</v>
      </c>
      <c r="L1166" s="121"/>
    </row>
    <row r="1167" spans="2:12" x14ac:dyDescent="0.35">
      <c r="B1167" s="111">
        <f t="shared" si="91"/>
        <v>1157</v>
      </c>
      <c r="C1167" s="88" t="s">
        <v>84</v>
      </c>
      <c r="D1167" s="81" t="s">
        <v>32</v>
      </c>
      <c r="E1167" s="78">
        <v>2</v>
      </c>
      <c r="F1167" s="65">
        <v>1300</v>
      </c>
      <c r="G1167" s="65">
        <v>990</v>
      </c>
      <c r="H1167" s="65">
        <f t="shared" ref="H1167:H1230" si="95">F1167+G1167</f>
        <v>2290</v>
      </c>
      <c r="I1167" s="79">
        <f t="shared" si="92"/>
        <v>2600</v>
      </c>
      <c r="J1167" s="79">
        <f t="shared" si="93"/>
        <v>1980</v>
      </c>
      <c r="K1167" s="79">
        <f t="shared" si="94"/>
        <v>4580</v>
      </c>
      <c r="L1167" s="121"/>
    </row>
    <row r="1168" spans="2:12" x14ac:dyDescent="0.35">
      <c r="B1168" s="111">
        <f t="shared" si="91"/>
        <v>1158</v>
      </c>
      <c r="C1168" s="80" t="s">
        <v>301</v>
      </c>
      <c r="D1168" s="81" t="s">
        <v>32</v>
      </c>
      <c r="E1168" s="78">
        <v>1</v>
      </c>
      <c r="F1168" s="65">
        <v>6000</v>
      </c>
      <c r="G1168" s="65">
        <v>1464.09</v>
      </c>
      <c r="H1168" s="65">
        <f t="shared" si="95"/>
        <v>7464.09</v>
      </c>
      <c r="I1168" s="79">
        <f t="shared" si="92"/>
        <v>6000</v>
      </c>
      <c r="J1168" s="79">
        <f t="shared" si="93"/>
        <v>1464.09</v>
      </c>
      <c r="K1168" s="79">
        <f t="shared" si="94"/>
        <v>7464.09</v>
      </c>
      <c r="L1168" s="121"/>
    </row>
    <row r="1169" spans="2:12" ht="31" x14ac:dyDescent="0.35">
      <c r="B1169" s="111">
        <f t="shared" si="91"/>
        <v>1159</v>
      </c>
      <c r="C1169" s="64" t="s">
        <v>156</v>
      </c>
      <c r="D1169" s="81" t="s">
        <v>25</v>
      </c>
      <c r="E1169" s="78">
        <f>(3.14*1.68)*1.27+2.22</f>
        <v>8.9195039999999999</v>
      </c>
      <c r="F1169" s="65">
        <v>68.5</v>
      </c>
      <c r="G1169" s="65">
        <v>150</v>
      </c>
      <c r="H1169" s="65">
        <f t="shared" si="95"/>
        <v>218.5</v>
      </c>
      <c r="I1169" s="79">
        <f t="shared" si="92"/>
        <v>610.99</v>
      </c>
      <c r="J1169" s="79">
        <f t="shared" si="93"/>
        <v>1337.93</v>
      </c>
      <c r="K1169" s="79">
        <f t="shared" si="94"/>
        <v>1948.92</v>
      </c>
      <c r="L1169" s="121"/>
    </row>
    <row r="1170" spans="2:12" ht="46.5" x14ac:dyDescent="0.35">
      <c r="B1170" s="111">
        <f t="shared" si="91"/>
        <v>1160</v>
      </c>
      <c r="C1170" s="64" t="s">
        <v>157</v>
      </c>
      <c r="D1170" s="81" t="s">
        <v>25</v>
      </c>
      <c r="E1170" s="78">
        <f>E1169</f>
        <v>8.9195039999999999</v>
      </c>
      <c r="F1170" s="65">
        <v>927</v>
      </c>
      <c r="G1170" s="65">
        <v>400</v>
      </c>
      <c r="H1170" s="65">
        <f t="shared" si="95"/>
        <v>1327</v>
      </c>
      <c r="I1170" s="79">
        <f t="shared" si="92"/>
        <v>8268.3799999999992</v>
      </c>
      <c r="J1170" s="79">
        <f t="shared" si="93"/>
        <v>3567.8</v>
      </c>
      <c r="K1170" s="79">
        <f t="shared" si="94"/>
        <v>11836.18</v>
      </c>
      <c r="L1170" s="121"/>
    </row>
    <row r="1171" spans="2:12" x14ac:dyDescent="0.35">
      <c r="B1171" s="111">
        <f t="shared" si="91"/>
        <v>1161</v>
      </c>
      <c r="C1171" s="64" t="s">
        <v>93</v>
      </c>
      <c r="D1171" s="81" t="s">
        <v>32</v>
      </c>
      <c r="E1171" s="83">
        <v>1</v>
      </c>
      <c r="F1171" s="65"/>
      <c r="G1171" s="123"/>
      <c r="H1171" s="65">
        <f t="shared" si="95"/>
        <v>0</v>
      </c>
      <c r="I1171" s="79">
        <f t="shared" si="92"/>
        <v>0</v>
      </c>
      <c r="J1171" s="79">
        <f t="shared" si="93"/>
        <v>0</v>
      </c>
      <c r="K1171" s="79">
        <f t="shared" si="94"/>
        <v>0</v>
      </c>
      <c r="L1171" s="121"/>
    </row>
    <row r="1172" spans="2:12" x14ac:dyDescent="0.35">
      <c r="B1172" s="111">
        <f t="shared" si="91"/>
        <v>1162</v>
      </c>
      <c r="C1172" s="82" t="s">
        <v>94</v>
      </c>
      <c r="D1172" s="81" t="s">
        <v>31</v>
      </c>
      <c r="E1172" s="78">
        <f>0.82*E1171</f>
        <v>0.82</v>
      </c>
      <c r="F1172" s="68">
        <v>71</v>
      </c>
      <c r="G1172" s="65">
        <v>97.61</v>
      </c>
      <c r="H1172" s="65">
        <f t="shared" si="95"/>
        <v>168.61</v>
      </c>
      <c r="I1172" s="79">
        <f t="shared" si="92"/>
        <v>58.22</v>
      </c>
      <c r="J1172" s="79">
        <f t="shared" si="93"/>
        <v>80.040000000000006</v>
      </c>
      <c r="K1172" s="79">
        <f t="shared" si="94"/>
        <v>138.26</v>
      </c>
      <c r="L1172" s="121"/>
    </row>
    <row r="1173" spans="2:12" ht="31" x14ac:dyDescent="0.35">
      <c r="B1173" s="111">
        <f t="shared" si="91"/>
        <v>1163</v>
      </c>
      <c r="C1173" s="64" t="s">
        <v>153</v>
      </c>
      <c r="D1173" s="81" t="s">
        <v>32</v>
      </c>
      <c r="E1173" s="83">
        <v>3</v>
      </c>
      <c r="F1173" s="65"/>
      <c r="G1173" s="65">
        <v>1464</v>
      </c>
      <c r="H1173" s="65">
        <f t="shared" si="95"/>
        <v>1464</v>
      </c>
      <c r="I1173" s="79">
        <f t="shared" si="92"/>
        <v>0</v>
      </c>
      <c r="J1173" s="79">
        <f t="shared" si="93"/>
        <v>4392</v>
      </c>
      <c r="K1173" s="79">
        <f t="shared" si="94"/>
        <v>4392</v>
      </c>
      <c r="L1173" s="121"/>
    </row>
    <row r="1174" spans="2:12" x14ac:dyDescent="0.35">
      <c r="B1174" s="111">
        <f t="shared" si="91"/>
        <v>1164</v>
      </c>
      <c r="C1174" s="64" t="s">
        <v>331</v>
      </c>
      <c r="D1174" s="81"/>
      <c r="E1174" s="83"/>
      <c r="F1174" s="65"/>
      <c r="G1174" s="123"/>
      <c r="H1174" s="65">
        <f t="shared" si="95"/>
        <v>0</v>
      </c>
      <c r="I1174" s="79">
        <f t="shared" si="92"/>
        <v>0</v>
      </c>
      <c r="J1174" s="79">
        <f t="shared" si="93"/>
        <v>0</v>
      </c>
      <c r="K1174" s="79">
        <f t="shared" si="94"/>
        <v>0</v>
      </c>
      <c r="L1174" s="121">
        <v>1</v>
      </c>
    </row>
    <row r="1175" spans="2:12" ht="31" x14ac:dyDescent="0.35">
      <c r="B1175" s="111">
        <f t="shared" si="91"/>
        <v>1165</v>
      </c>
      <c r="C1175" s="80" t="s">
        <v>309</v>
      </c>
      <c r="D1175" s="81" t="s">
        <v>32</v>
      </c>
      <c r="E1175" s="83">
        <v>1</v>
      </c>
      <c r="F1175" s="65">
        <v>2263</v>
      </c>
      <c r="G1175" s="65">
        <v>1700</v>
      </c>
      <c r="H1175" s="65">
        <f t="shared" si="95"/>
        <v>3963</v>
      </c>
      <c r="I1175" s="79">
        <f t="shared" si="92"/>
        <v>2263</v>
      </c>
      <c r="J1175" s="79">
        <f t="shared" si="93"/>
        <v>1700</v>
      </c>
      <c r="K1175" s="79">
        <f t="shared" si="94"/>
        <v>3963</v>
      </c>
      <c r="L1175" s="121"/>
    </row>
    <row r="1176" spans="2:12" ht="31" x14ac:dyDescent="0.35">
      <c r="B1176" s="111">
        <f t="shared" si="91"/>
        <v>1166</v>
      </c>
      <c r="C1176" s="80" t="s">
        <v>310</v>
      </c>
      <c r="D1176" s="81" t="s">
        <v>32</v>
      </c>
      <c r="E1176" s="83">
        <v>1</v>
      </c>
      <c r="F1176" s="65">
        <v>1303</v>
      </c>
      <c r="G1176" s="65">
        <v>1700</v>
      </c>
      <c r="H1176" s="65">
        <f t="shared" si="95"/>
        <v>3003</v>
      </c>
      <c r="I1176" s="79">
        <f t="shared" si="92"/>
        <v>1303</v>
      </c>
      <c r="J1176" s="79">
        <f t="shared" si="93"/>
        <v>1700</v>
      </c>
      <c r="K1176" s="79">
        <f t="shared" si="94"/>
        <v>3003</v>
      </c>
      <c r="L1176" s="121"/>
    </row>
    <row r="1177" spans="2:12" ht="31" x14ac:dyDescent="0.35">
      <c r="B1177" s="111">
        <f t="shared" si="91"/>
        <v>1167</v>
      </c>
      <c r="C1177" s="80" t="s">
        <v>63</v>
      </c>
      <c r="D1177" s="81" t="s">
        <v>27</v>
      </c>
      <c r="E1177" s="83">
        <f>0.32*1.1</f>
        <v>0.35200000000000004</v>
      </c>
      <c r="F1177" s="65">
        <v>855</v>
      </c>
      <c r="G1177" s="65">
        <v>1700</v>
      </c>
      <c r="H1177" s="65">
        <f t="shared" si="95"/>
        <v>2555</v>
      </c>
      <c r="I1177" s="79">
        <f t="shared" si="92"/>
        <v>300.95999999999998</v>
      </c>
      <c r="J1177" s="79">
        <f t="shared" si="93"/>
        <v>598.4</v>
      </c>
      <c r="K1177" s="79">
        <f t="shared" si="94"/>
        <v>899.3599999999999</v>
      </c>
      <c r="L1177" s="121"/>
    </row>
    <row r="1178" spans="2:12" ht="33" x14ac:dyDescent="0.35">
      <c r="B1178" s="111">
        <f t="shared" si="91"/>
        <v>1168</v>
      </c>
      <c r="C1178" s="64" t="s">
        <v>362</v>
      </c>
      <c r="D1178" s="81" t="s">
        <v>26</v>
      </c>
      <c r="E1178" s="78">
        <f>6.17-2.8</f>
        <v>3.37</v>
      </c>
      <c r="F1178" s="65"/>
      <c r="G1178" s="65">
        <v>439</v>
      </c>
      <c r="H1178" s="65">
        <f t="shared" si="95"/>
        <v>439</v>
      </c>
      <c r="I1178" s="79">
        <f t="shared" si="92"/>
        <v>0</v>
      </c>
      <c r="J1178" s="79">
        <f t="shared" si="93"/>
        <v>1479.43</v>
      </c>
      <c r="K1178" s="79">
        <f t="shared" si="94"/>
        <v>1479.43</v>
      </c>
      <c r="L1178" s="121"/>
    </row>
    <row r="1179" spans="2:12" ht="38" customHeight="1" x14ac:dyDescent="0.35">
      <c r="B1179" s="111">
        <f t="shared" si="91"/>
        <v>1169</v>
      </c>
      <c r="C1179" s="98" t="s">
        <v>248</v>
      </c>
      <c r="D1179" s="99" t="s">
        <v>27</v>
      </c>
      <c r="E1179" s="100">
        <v>3.8</v>
      </c>
      <c r="F1179" s="101"/>
      <c r="G1179" s="106"/>
      <c r="H1179" s="101">
        <f t="shared" si="95"/>
        <v>0</v>
      </c>
      <c r="I1179" s="101">
        <f t="shared" si="92"/>
        <v>0</v>
      </c>
      <c r="J1179" s="101">
        <f t="shared" si="93"/>
        <v>0</v>
      </c>
      <c r="K1179" s="101">
        <f t="shared" si="94"/>
        <v>0</v>
      </c>
      <c r="L1179" s="121"/>
    </row>
    <row r="1180" spans="2:12" ht="31" x14ac:dyDescent="0.35">
      <c r="B1180" s="111">
        <f t="shared" si="91"/>
        <v>1170</v>
      </c>
      <c r="C1180" s="64" t="s">
        <v>348</v>
      </c>
      <c r="D1180" s="77" t="s">
        <v>26</v>
      </c>
      <c r="E1180" s="78">
        <f>0.97*0.86</f>
        <v>0.83419999999999994</v>
      </c>
      <c r="F1180" s="65"/>
      <c r="G1180" s="65">
        <v>300</v>
      </c>
      <c r="H1180" s="65">
        <f t="shared" si="95"/>
        <v>300</v>
      </c>
      <c r="I1180" s="79">
        <f t="shared" si="92"/>
        <v>0</v>
      </c>
      <c r="J1180" s="79">
        <f t="shared" si="93"/>
        <v>250.26</v>
      </c>
      <c r="K1180" s="79">
        <f t="shared" si="94"/>
        <v>250.26</v>
      </c>
      <c r="L1180" s="121"/>
    </row>
    <row r="1181" spans="2:12" x14ac:dyDescent="0.35">
      <c r="B1181" s="111">
        <f t="shared" si="91"/>
        <v>1171</v>
      </c>
      <c r="C1181" s="64" t="s">
        <v>19</v>
      </c>
      <c r="D1181" s="77" t="s">
        <v>26</v>
      </c>
      <c r="E1181" s="78">
        <f>E1180/97*3</f>
        <v>2.58E-2</v>
      </c>
      <c r="F1181" s="65"/>
      <c r="G1181" s="65">
        <v>1500</v>
      </c>
      <c r="H1181" s="65">
        <f t="shared" si="95"/>
        <v>1500</v>
      </c>
      <c r="I1181" s="79">
        <f t="shared" si="92"/>
        <v>0</v>
      </c>
      <c r="J1181" s="79">
        <f t="shared" si="93"/>
        <v>38.700000000000003</v>
      </c>
      <c r="K1181" s="79">
        <f t="shared" si="94"/>
        <v>38.700000000000003</v>
      </c>
      <c r="L1181" s="121"/>
    </row>
    <row r="1182" spans="2:12" x14ac:dyDescent="0.35">
      <c r="B1182" s="111">
        <f t="shared" si="91"/>
        <v>1172</v>
      </c>
      <c r="C1182" s="64" t="s">
        <v>184</v>
      </c>
      <c r="D1182" s="77" t="s">
        <v>25</v>
      </c>
      <c r="E1182" s="78">
        <f>E1179*0.75</f>
        <v>2.8499999999999996</v>
      </c>
      <c r="F1182" s="65"/>
      <c r="G1182" s="123"/>
      <c r="H1182" s="65">
        <f t="shared" si="95"/>
        <v>0</v>
      </c>
      <c r="I1182" s="79">
        <f t="shared" si="92"/>
        <v>0</v>
      </c>
      <c r="J1182" s="79">
        <f t="shared" si="93"/>
        <v>0</v>
      </c>
      <c r="K1182" s="79">
        <f t="shared" si="94"/>
        <v>0</v>
      </c>
      <c r="L1182" s="121"/>
    </row>
    <row r="1183" spans="2:12" ht="31" x14ac:dyDescent="0.35">
      <c r="B1183" s="111">
        <f t="shared" si="91"/>
        <v>1173</v>
      </c>
      <c r="C1183" s="64" t="s">
        <v>194</v>
      </c>
      <c r="D1183" s="77" t="s">
        <v>25</v>
      </c>
      <c r="E1183" s="78">
        <f>E1179*0.48</f>
        <v>1.8239999999999998</v>
      </c>
      <c r="F1183" s="65">
        <f>1973*0.15</f>
        <v>295.95</v>
      </c>
      <c r="G1183" s="65">
        <f>1500*0.15</f>
        <v>225</v>
      </c>
      <c r="H1183" s="65">
        <f t="shared" si="95"/>
        <v>520.95000000000005</v>
      </c>
      <c r="I1183" s="79">
        <f t="shared" si="92"/>
        <v>539.80999999999995</v>
      </c>
      <c r="J1183" s="79">
        <f t="shared" si="93"/>
        <v>410.4</v>
      </c>
      <c r="K1183" s="79">
        <f t="shared" si="94"/>
        <v>950.20999999999992</v>
      </c>
      <c r="L1183" s="121"/>
    </row>
    <row r="1184" spans="2:12" x14ac:dyDescent="0.35">
      <c r="B1184" s="111">
        <f t="shared" si="91"/>
        <v>1174</v>
      </c>
      <c r="C1184" s="64" t="s">
        <v>20</v>
      </c>
      <c r="D1184" s="77" t="s">
        <v>26</v>
      </c>
      <c r="E1184" s="78">
        <f>0.34*E1179*0.1</f>
        <v>0.12920000000000001</v>
      </c>
      <c r="F1184" s="65"/>
      <c r="G1184" s="65">
        <v>5860</v>
      </c>
      <c r="H1184" s="65">
        <f t="shared" si="95"/>
        <v>5860</v>
      </c>
      <c r="I1184" s="79">
        <f t="shared" si="92"/>
        <v>0</v>
      </c>
      <c r="J1184" s="79">
        <f t="shared" si="93"/>
        <v>757.11</v>
      </c>
      <c r="K1184" s="79">
        <f t="shared" si="94"/>
        <v>757.11</v>
      </c>
      <c r="L1184" s="121"/>
    </row>
    <row r="1185" spans="2:12" x14ac:dyDescent="0.35">
      <c r="B1185" s="111">
        <f t="shared" si="91"/>
        <v>1175</v>
      </c>
      <c r="C1185" s="80" t="s">
        <v>159</v>
      </c>
      <c r="D1185" s="77" t="s">
        <v>26</v>
      </c>
      <c r="E1185" s="78">
        <f>E1184*1.02</f>
        <v>0.13178400000000001</v>
      </c>
      <c r="F1185" s="65">
        <v>6700</v>
      </c>
      <c r="G1185" s="123"/>
      <c r="H1185" s="65">
        <f t="shared" si="95"/>
        <v>6700</v>
      </c>
      <c r="I1185" s="79">
        <f t="shared" si="92"/>
        <v>882.95</v>
      </c>
      <c r="J1185" s="79">
        <f t="shared" si="93"/>
        <v>0</v>
      </c>
      <c r="K1185" s="79">
        <f t="shared" si="94"/>
        <v>882.95</v>
      </c>
      <c r="L1185" s="121"/>
    </row>
    <row r="1186" spans="2:12" x14ac:dyDescent="0.35">
      <c r="B1186" s="111">
        <f t="shared" si="91"/>
        <v>1176</v>
      </c>
      <c r="C1186" s="64" t="s">
        <v>28</v>
      </c>
      <c r="D1186" s="77" t="s">
        <v>26</v>
      </c>
      <c r="E1186" s="78">
        <f>E1179*0.8/10</f>
        <v>0.30399999999999999</v>
      </c>
      <c r="F1186" s="65"/>
      <c r="G1186" s="65">
        <v>5860</v>
      </c>
      <c r="H1186" s="65">
        <f t="shared" si="95"/>
        <v>5860</v>
      </c>
      <c r="I1186" s="79">
        <f t="shared" si="92"/>
        <v>0</v>
      </c>
      <c r="J1186" s="79">
        <f t="shared" si="93"/>
        <v>1781.44</v>
      </c>
      <c r="K1186" s="79">
        <f t="shared" si="94"/>
        <v>1781.44</v>
      </c>
      <c r="L1186" s="121"/>
    </row>
    <row r="1187" spans="2:12" x14ac:dyDescent="0.35">
      <c r="B1187" s="111">
        <f t="shared" si="91"/>
        <v>1177</v>
      </c>
      <c r="C1187" s="80" t="s">
        <v>29</v>
      </c>
      <c r="D1187" s="77" t="s">
        <v>26</v>
      </c>
      <c r="E1187" s="78">
        <f>E1186*1.02</f>
        <v>0.31008000000000002</v>
      </c>
      <c r="F1187" s="65">
        <v>7100</v>
      </c>
      <c r="G1187" s="123"/>
      <c r="H1187" s="65">
        <f t="shared" si="95"/>
        <v>7100</v>
      </c>
      <c r="I1187" s="79">
        <f t="shared" si="92"/>
        <v>2201.5700000000002</v>
      </c>
      <c r="J1187" s="79">
        <f t="shared" si="93"/>
        <v>0</v>
      </c>
      <c r="K1187" s="79">
        <f t="shared" si="94"/>
        <v>2201.5700000000002</v>
      </c>
      <c r="L1187" s="121"/>
    </row>
    <row r="1188" spans="2:12" x14ac:dyDescent="0.35">
      <c r="B1188" s="111">
        <f t="shared" si="91"/>
        <v>1178</v>
      </c>
      <c r="C1188" s="80" t="s">
        <v>30</v>
      </c>
      <c r="D1188" s="77" t="s">
        <v>31</v>
      </c>
      <c r="E1188" s="78">
        <f>E1179*1.22</f>
        <v>4.6360000000000001</v>
      </c>
      <c r="F1188" s="65">
        <v>118.9</v>
      </c>
      <c r="G1188" s="123"/>
      <c r="H1188" s="65">
        <f t="shared" si="95"/>
        <v>118.9</v>
      </c>
      <c r="I1188" s="79">
        <f t="shared" si="92"/>
        <v>551.22</v>
      </c>
      <c r="J1188" s="79">
        <f t="shared" si="93"/>
        <v>0</v>
      </c>
      <c r="K1188" s="79">
        <f t="shared" si="94"/>
        <v>551.22</v>
      </c>
      <c r="L1188" s="121"/>
    </row>
    <row r="1189" spans="2:12" x14ac:dyDescent="0.35">
      <c r="B1189" s="111">
        <f t="shared" si="91"/>
        <v>1179</v>
      </c>
      <c r="C1189" s="64" t="s">
        <v>189</v>
      </c>
      <c r="D1189" s="77" t="s">
        <v>27</v>
      </c>
      <c r="E1189" s="78">
        <f>E1179</f>
        <v>3.8</v>
      </c>
      <c r="F1189" s="65"/>
      <c r="G1189" s="65">
        <v>2928</v>
      </c>
      <c r="H1189" s="65">
        <f t="shared" si="95"/>
        <v>2928</v>
      </c>
      <c r="I1189" s="79">
        <f t="shared" si="92"/>
        <v>0</v>
      </c>
      <c r="J1189" s="79">
        <f t="shared" si="93"/>
        <v>11126.4</v>
      </c>
      <c r="K1189" s="79">
        <f t="shared" si="94"/>
        <v>11126.4</v>
      </c>
      <c r="L1189" s="121"/>
    </row>
    <row r="1190" spans="2:12" ht="31" x14ac:dyDescent="0.35">
      <c r="B1190" s="111">
        <f t="shared" si="91"/>
        <v>1180</v>
      </c>
      <c r="C1190" s="80" t="s">
        <v>195</v>
      </c>
      <c r="D1190" s="77" t="s">
        <v>27</v>
      </c>
      <c r="E1190" s="78">
        <f>E1189*1.1</f>
        <v>4.18</v>
      </c>
      <c r="F1190" s="65">
        <v>855</v>
      </c>
      <c r="G1190" s="65"/>
      <c r="H1190" s="65">
        <f t="shared" si="95"/>
        <v>855</v>
      </c>
      <c r="I1190" s="79">
        <f t="shared" si="92"/>
        <v>3573.9</v>
      </c>
      <c r="J1190" s="79">
        <f t="shared" si="93"/>
        <v>0</v>
      </c>
      <c r="K1190" s="79">
        <f t="shared" si="94"/>
        <v>3573.9</v>
      </c>
      <c r="L1190" s="121"/>
    </row>
    <row r="1191" spans="2:12" ht="33" x14ac:dyDescent="0.35">
      <c r="B1191" s="111">
        <f t="shared" si="91"/>
        <v>1181</v>
      </c>
      <c r="C1191" s="64" t="s">
        <v>355</v>
      </c>
      <c r="D1191" s="81" t="s">
        <v>26</v>
      </c>
      <c r="E1191" s="78">
        <v>1.27</v>
      </c>
      <c r="F1191" s="65"/>
      <c r="G1191" s="65">
        <v>439</v>
      </c>
      <c r="H1191" s="65">
        <f t="shared" si="95"/>
        <v>439</v>
      </c>
      <c r="I1191" s="79">
        <f t="shared" si="92"/>
        <v>0</v>
      </c>
      <c r="J1191" s="79">
        <f t="shared" si="93"/>
        <v>557.53</v>
      </c>
      <c r="K1191" s="79">
        <f t="shared" si="94"/>
        <v>557.53</v>
      </c>
      <c r="L1191" s="121"/>
    </row>
    <row r="1192" spans="2:12" ht="27" customHeight="1" x14ac:dyDescent="0.35">
      <c r="B1192" s="111">
        <f t="shared" si="91"/>
        <v>1182</v>
      </c>
      <c r="C1192" s="98" t="s">
        <v>250</v>
      </c>
      <c r="D1192" s="103" t="s">
        <v>32</v>
      </c>
      <c r="E1192" s="100">
        <v>1</v>
      </c>
      <c r="F1192" s="101"/>
      <c r="G1192" s="106"/>
      <c r="H1192" s="101">
        <f t="shared" si="95"/>
        <v>0</v>
      </c>
      <c r="I1192" s="101">
        <f t="shared" si="92"/>
        <v>0</v>
      </c>
      <c r="J1192" s="101">
        <f t="shared" si="93"/>
        <v>0</v>
      </c>
      <c r="K1192" s="101">
        <f t="shared" si="94"/>
        <v>0</v>
      </c>
      <c r="L1192" s="121"/>
    </row>
    <row r="1193" spans="2:12" ht="31" x14ac:dyDescent="0.35">
      <c r="B1193" s="111">
        <f t="shared" si="91"/>
        <v>1183</v>
      </c>
      <c r="C1193" s="64" t="s">
        <v>348</v>
      </c>
      <c r="D1193" s="81" t="s">
        <v>26</v>
      </c>
      <c r="E1193" s="78">
        <f>3.71*0.97</f>
        <v>3.5987</v>
      </c>
      <c r="F1193" s="65"/>
      <c r="G1193" s="65">
        <v>300</v>
      </c>
      <c r="H1193" s="65">
        <f t="shared" si="95"/>
        <v>300</v>
      </c>
      <c r="I1193" s="79">
        <f t="shared" si="92"/>
        <v>0</v>
      </c>
      <c r="J1193" s="79">
        <f t="shared" si="93"/>
        <v>1079.6099999999999</v>
      </c>
      <c r="K1193" s="79">
        <f t="shared" si="94"/>
        <v>1079.6099999999999</v>
      </c>
      <c r="L1193" s="121"/>
    </row>
    <row r="1194" spans="2:12" x14ac:dyDescent="0.35">
      <c r="B1194" s="111">
        <f t="shared" si="91"/>
        <v>1184</v>
      </c>
      <c r="C1194" s="64" t="s">
        <v>19</v>
      </c>
      <c r="D1194" s="81" t="s">
        <v>26</v>
      </c>
      <c r="E1194" s="78">
        <f>E1193/9</f>
        <v>0.39985555555555558</v>
      </c>
      <c r="F1194" s="65"/>
      <c r="G1194" s="65">
        <v>1500</v>
      </c>
      <c r="H1194" s="65">
        <f t="shared" si="95"/>
        <v>1500</v>
      </c>
      <c r="I1194" s="79">
        <f t="shared" si="92"/>
        <v>0</v>
      </c>
      <c r="J1194" s="79">
        <f t="shared" si="93"/>
        <v>599.78</v>
      </c>
      <c r="K1194" s="79">
        <f t="shared" si="94"/>
        <v>599.78</v>
      </c>
      <c r="L1194" s="121"/>
    </row>
    <row r="1195" spans="2:12" x14ac:dyDescent="0.35">
      <c r="B1195" s="111">
        <f t="shared" si="91"/>
        <v>1185</v>
      </c>
      <c r="C1195" s="64" t="s">
        <v>67</v>
      </c>
      <c r="D1195" s="81" t="s">
        <v>25</v>
      </c>
      <c r="E1195" s="78">
        <f>(3.14*2.4^2)/4</f>
        <v>4.5216000000000003</v>
      </c>
      <c r="F1195" s="65"/>
      <c r="G1195" s="123"/>
      <c r="H1195" s="65">
        <f t="shared" si="95"/>
        <v>0</v>
      </c>
      <c r="I1195" s="79">
        <f t="shared" si="92"/>
        <v>0</v>
      </c>
      <c r="J1195" s="79">
        <f t="shared" si="93"/>
        <v>0</v>
      </c>
      <c r="K1195" s="79">
        <f t="shared" si="94"/>
        <v>0</v>
      </c>
      <c r="L1195" s="121"/>
    </row>
    <row r="1196" spans="2:12" x14ac:dyDescent="0.35">
      <c r="B1196" s="111">
        <f t="shared" si="91"/>
        <v>1186</v>
      </c>
      <c r="C1196" s="64" t="s">
        <v>68</v>
      </c>
      <c r="D1196" s="81" t="s">
        <v>26</v>
      </c>
      <c r="E1196" s="78">
        <f>(3.14*2.2^2)/4*0.1</f>
        <v>0.37994000000000011</v>
      </c>
      <c r="F1196" s="65"/>
      <c r="G1196" s="65">
        <v>5860</v>
      </c>
      <c r="H1196" s="65">
        <f t="shared" si="95"/>
        <v>5860</v>
      </c>
      <c r="I1196" s="79">
        <f t="shared" si="92"/>
        <v>0</v>
      </c>
      <c r="J1196" s="79">
        <f t="shared" si="93"/>
        <v>2226.4499999999998</v>
      </c>
      <c r="K1196" s="79">
        <f t="shared" si="94"/>
        <v>2226.4499999999998</v>
      </c>
      <c r="L1196" s="121"/>
    </row>
    <row r="1197" spans="2:12" x14ac:dyDescent="0.35">
      <c r="B1197" s="111">
        <f t="shared" si="91"/>
        <v>1187</v>
      </c>
      <c r="C1197" s="80" t="s">
        <v>159</v>
      </c>
      <c r="D1197" s="81" t="s">
        <v>26</v>
      </c>
      <c r="E1197" s="78">
        <f>E1196*1.02</f>
        <v>0.38753880000000013</v>
      </c>
      <c r="F1197" s="65">
        <v>6700</v>
      </c>
      <c r="G1197" s="123"/>
      <c r="H1197" s="65">
        <f t="shared" si="95"/>
        <v>6700</v>
      </c>
      <c r="I1197" s="79">
        <f t="shared" si="92"/>
        <v>2596.5100000000002</v>
      </c>
      <c r="J1197" s="79">
        <f t="shared" si="93"/>
        <v>0</v>
      </c>
      <c r="K1197" s="79">
        <f t="shared" si="94"/>
        <v>2596.5100000000002</v>
      </c>
      <c r="L1197" s="121"/>
    </row>
    <row r="1198" spans="2:12" x14ac:dyDescent="0.35">
      <c r="B1198" s="111">
        <f t="shared" si="91"/>
        <v>1188</v>
      </c>
      <c r="C1198" s="64" t="s">
        <v>151</v>
      </c>
      <c r="D1198" s="81" t="s">
        <v>25</v>
      </c>
      <c r="E1198" s="78">
        <f>(3.14*2^2)/4</f>
        <v>3.14</v>
      </c>
      <c r="F1198" s="65">
        <v>68.5</v>
      </c>
      <c r="G1198" s="65">
        <v>150</v>
      </c>
      <c r="H1198" s="65">
        <f t="shared" si="95"/>
        <v>218.5</v>
      </c>
      <c r="I1198" s="79">
        <f t="shared" si="92"/>
        <v>215.09</v>
      </c>
      <c r="J1198" s="79">
        <f t="shared" si="93"/>
        <v>471</v>
      </c>
      <c r="K1198" s="79">
        <f t="shared" si="94"/>
        <v>686.09</v>
      </c>
      <c r="L1198" s="121"/>
    </row>
    <row r="1199" spans="2:12" ht="31" x14ac:dyDescent="0.35">
      <c r="B1199" s="111">
        <f t="shared" si="91"/>
        <v>1189</v>
      </c>
      <c r="C1199" s="64" t="s">
        <v>152</v>
      </c>
      <c r="D1199" s="81" t="s">
        <v>25</v>
      </c>
      <c r="E1199" s="78">
        <f>E1198</f>
        <v>3.14</v>
      </c>
      <c r="F1199" s="65">
        <v>927</v>
      </c>
      <c r="G1199" s="65">
        <v>400</v>
      </c>
      <c r="H1199" s="65">
        <f t="shared" si="95"/>
        <v>1327</v>
      </c>
      <c r="I1199" s="79">
        <f t="shared" si="92"/>
        <v>2910.78</v>
      </c>
      <c r="J1199" s="79">
        <f t="shared" si="93"/>
        <v>1256</v>
      </c>
      <c r="K1199" s="79">
        <f t="shared" si="94"/>
        <v>4166.7800000000007</v>
      </c>
      <c r="L1199" s="121"/>
    </row>
    <row r="1200" spans="2:12" ht="31" x14ac:dyDescent="0.35">
      <c r="B1200" s="111">
        <f t="shared" si="91"/>
        <v>1190</v>
      </c>
      <c r="C1200" s="64" t="s">
        <v>107</v>
      </c>
      <c r="D1200" s="81" t="s">
        <v>32</v>
      </c>
      <c r="E1200" s="78">
        <v>1</v>
      </c>
      <c r="F1200" s="65"/>
      <c r="G1200" s="65">
        <v>5662</v>
      </c>
      <c r="H1200" s="65">
        <f t="shared" si="95"/>
        <v>5662</v>
      </c>
      <c r="I1200" s="79">
        <f t="shared" si="92"/>
        <v>0</v>
      </c>
      <c r="J1200" s="79">
        <f t="shared" si="93"/>
        <v>5662</v>
      </c>
      <c r="K1200" s="79">
        <f t="shared" si="94"/>
        <v>5662</v>
      </c>
      <c r="L1200" s="121"/>
    </row>
    <row r="1201" spans="2:12" x14ac:dyDescent="0.35">
      <c r="B1201" s="111">
        <f t="shared" si="91"/>
        <v>1191</v>
      </c>
      <c r="C1201" s="82" t="s">
        <v>108</v>
      </c>
      <c r="D1201" s="81" t="s">
        <v>32</v>
      </c>
      <c r="E1201" s="78">
        <v>1</v>
      </c>
      <c r="F1201" s="65">
        <f>6000*1.2</f>
        <v>7200</v>
      </c>
      <c r="G1201" s="123"/>
      <c r="H1201" s="65">
        <f t="shared" si="95"/>
        <v>7200</v>
      </c>
      <c r="I1201" s="79">
        <f t="shared" si="92"/>
        <v>7200</v>
      </c>
      <c r="J1201" s="79">
        <f t="shared" si="93"/>
        <v>0</v>
      </c>
      <c r="K1201" s="79">
        <f t="shared" si="94"/>
        <v>7200</v>
      </c>
      <c r="L1201" s="121"/>
    </row>
    <row r="1202" spans="2:12" x14ac:dyDescent="0.35">
      <c r="B1202" s="111">
        <f t="shared" si="91"/>
        <v>1192</v>
      </c>
      <c r="C1202" s="82" t="s">
        <v>101</v>
      </c>
      <c r="D1202" s="81" t="s">
        <v>26</v>
      </c>
      <c r="E1202" s="78">
        <f>((3.14*2^2)/4*0.02)*1.02</f>
        <v>6.4056000000000016E-2</v>
      </c>
      <c r="F1202" s="65">
        <v>7300</v>
      </c>
      <c r="G1202" s="123"/>
      <c r="H1202" s="65">
        <f t="shared" si="95"/>
        <v>7300</v>
      </c>
      <c r="I1202" s="79">
        <f t="shared" si="92"/>
        <v>467.61</v>
      </c>
      <c r="J1202" s="79">
        <f t="shared" si="93"/>
        <v>0</v>
      </c>
      <c r="K1202" s="79">
        <f t="shared" si="94"/>
        <v>467.61</v>
      </c>
      <c r="L1202" s="121"/>
    </row>
    <row r="1203" spans="2:12" ht="31" x14ac:dyDescent="0.35">
      <c r="B1203" s="111">
        <f t="shared" si="91"/>
        <v>1193</v>
      </c>
      <c r="C1203" s="64" t="s">
        <v>179</v>
      </c>
      <c r="D1203" s="81" t="s">
        <v>26</v>
      </c>
      <c r="E1203" s="78">
        <v>1.2</v>
      </c>
      <c r="F1203" s="65"/>
      <c r="G1203" s="65">
        <v>5860</v>
      </c>
      <c r="H1203" s="65">
        <f t="shared" si="95"/>
        <v>5860</v>
      </c>
      <c r="I1203" s="79">
        <f t="shared" si="92"/>
        <v>0</v>
      </c>
      <c r="J1203" s="79">
        <f t="shared" si="93"/>
        <v>7032</v>
      </c>
      <c r="K1203" s="79">
        <f t="shared" si="94"/>
        <v>7032</v>
      </c>
      <c r="L1203" s="121"/>
    </row>
    <row r="1204" spans="2:12" x14ac:dyDescent="0.35">
      <c r="B1204" s="111">
        <f t="shared" si="91"/>
        <v>1194</v>
      </c>
      <c r="C1204" s="82" t="s">
        <v>75</v>
      </c>
      <c r="D1204" s="81" t="s">
        <v>26</v>
      </c>
      <c r="E1204" s="78">
        <f>E1203*1.02</f>
        <v>1.224</v>
      </c>
      <c r="F1204" s="65">
        <v>7100</v>
      </c>
      <c r="G1204" s="123"/>
      <c r="H1204" s="65">
        <f t="shared" si="95"/>
        <v>7100</v>
      </c>
      <c r="I1204" s="79">
        <f t="shared" si="92"/>
        <v>8690.4</v>
      </c>
      <c r="J1204" s="79">
        <f t="shared" si="93"/>
        <v>0</v>
      </c>
      <c r="K1204" s="79">
        <f t="shared" si="94"/>
        <v>8690.4</v>
      </c>
      <c r="L1204" s="121"/>
    </row>
    <row r="1205" spans="2:12" ht="31" x14ac:dyDescent="0.35">
      <c r="B1205" s="111">
        <f t="shared" si="91"/>
        <v>1195</v>
      </c>
      <c r="C1205" s="64" t="s">
        <v>85</v>
      </c>
      <c r="D1205" s="81" t="s">
        <v>32</v>
      </c>
      <c r="E1205" s="78">
        <v>1</v>
      </c>
      <c r="F1205" s="65"/>
      <c r="G1205" s="65">
        <v>2500</v>
      </c>
      <c r="H1205" s="65">
        <f t="shared" si="95"/>
        <v>2500</v>
      </c>
      <c r="I1205" s="79">
        <f t="shared" si="92"/>
        <v>0</v>
      </c>
      <c r="J1205" s="79">
        <f t="shared" si="93"/>
        <v>2500</v>
      </c>
      <c r="K1205" s="79">
        <f t="shared" si="94"/>
        <v>2500</v>
      </c>
      <c r="L1205" s="121"/>
    </row>
    <row r="1206" spans="2:12" x14ac:dyDescent="0.35">
      <c r="B1206" s="111">
        <f t="shared" si="91"/>
        <v>1196</v>
      </c>
      <c r="C1206" s="82" t="s">
        <v>111</v>
      </c>
      <c r="D1206" s="81" t="s">
        <v>32</v>
      </c>
      <c r="E1206" s="78">
        <v>1</v>
      </c>
      <c r="F1206" s="65">
        <f>6000*1.2</f>
        <v>7200</v>
      </c>
      <c r="G1206" s="123"/>
      <c r="H1206" s="65">
        <f t="shared" si="95"/>
        <v>7200</v>
      </c>
      <c r="I1206" s="79">
        <f t="shared" si="92"/>
        <v>7200</v>
      </c>
      <c r="J1206" s="79">
        <f t="shared" si="93"/>
        <v>0</v>
      </c>
      <c r="K1206" s="79">
        <f t="shared" si="94"/>
        <v>7200</v>
      </c>
      <c r="L1206" s="121"/>
    </row>
    <row r="1207" spans="2:12" ht="31" x14ac:dyDescent="0.35">
      <c r="B1207" s="111">
        <f t="shared" si="91"/>
        <v>1197</v>
      </c>
      <c r="C1207" s="64" t="s">
        <v>332</v>
      </c>
      <c r="D1207" s="81" t="s">
        <v>32</v>
      </c>
      <c r="E1207" s="78">
        <v>1</v>
      </c>
      <c r="F1207" s="65"/>
      <c r="G1207" s="65">
        <v>5662</v>
      </c>
      <c r="H1207" s="65">
        <f t="shared" si="95"/>
        <v>5662</v>
      </c>
      <c r="I1207" s="79">
        <f t="shared" si="92"/>
        <v>0</v>
      </c>
      <c r="J1207" s="79">
        <f t="shared" si="93"/>
        <v>5662</v>
      </c>
      <c r="K1207" s="79">
        <f t="shared" si="94"/>
        <v>5662</v>
      </c>
      <c r="L1207" s="121"/>
    </row>
    <row r="1208" spans="2:12" x14ac:dyDescent="0.35">
      <c r="B1208" s="111">
        <f t="shared" si="91"/>
        <v>1198</v>
      </c>
      <c r="C1208" s="82" t="s">
        <v>333</v>
      </c>
      <c r="D1208" s="81" t="s">
        <v>32</v>
      </c>
      <c r="E1208" s="78">
        <v>1</v>
      </c>
      <c r="F1208" s="65">
        <f>19000+13500</f>
        <v>32500</v>
      </c>
      <c r="G1208" s="123"/>
      <c r="H1208" s="65">
        <f t="shared" si="95"/>
        <v>32500</v>
      </c>
      <c r="I1208" s="79">
        <f t="shared" si="92"/>
        <v>32500</v>
      </c>
      <c r="J1208" s="79">
        <f t="shared" si="93"/>
        <v>0</v>
      </c>
      <c r="K1208" s="79">
        <f t="shared" si="94"/>
        <v>32500</v>
      </c>
      <c r="L1208" s="121"/>
    </row>
    <row r="1209" spans="2:12" ht="31" x14ac:dyDescent="0.35">
      <c r="B1209" s="111">
        <f t="shared" si="91"/>
        <v>1199</v>
      </c>
      <c r="C1209" s="64" t="s">
        <v>156</v>
      </c>
      <c r="D1209" s="81" t="s">
        <v>25</v>
      </c>
      <c r="E1209" s="78">
        <f>(3.14*1.68)*0.8+2.22</f>
        <v>6.4401600000000006</v>
      </c>
      <c r="F1209" s="65">
        <v>68.5</v>
      </c>
      <c r="G1209" s="65">
        <v>150</v>
      </c>
      <c r="H1209" s="65">
        <f t="shared" si="95"/>
        <v>218.5</v>
      </c>
      <c r="I1209" s="79">
        <f t="shared" si="92"/>
        <v>441.15</v>
      </c>
      <c r="J1209" s="79">
        <f t="shared" si="93"/>
        <v>966.02</v>
      </c>
      <c r="K1209" s="79">
        <f t="shared" si="94"/>
        <v>1407.17</v>
      </c>
      <c r="L1209" s="121"/>
    </row>
    <row r="1210" spans="2:12" ht="46.5" x14ac:dyDescent="0.35">
      <c r="B1210" s="111">
        <f t="shared" si="91"/>
        <v>1200</v>
      </c>
      <c r="C1210" s="64" t="s">
        <v>157</v>
      </c>
      <c r="D1210" s="81" t="s">
        <v>25</v>
      </c>
      <c r="E1210" s="78">
        <f>E1209</f>
        <v>6.4401600000000006</v>
      </c>
      <c r="F1210" s="65">
        <v>927</v>
      </c>
      <c r="G1210" s="65">
        <v>400</v>
      </c>
      <c r="H1210" s="65">
        <f t="shared" si="95"/>
        <v>1327</v>
      </c>
      <c r="I1210" s="79">
        <f t="shared" si="92"/>
        <v>5970.03</v>
      </c>
      <c r="J1210" s="79">
        <f t="shared" si="93"/>
        <v>2576.06</v>
      </c>
      <c r="K1210" s="79">
        <f t="shared" si="94"/>
        <v>8546.09</v>
      </c>
      <c r="L1210" s="121"/>
    </row>
    <row r="1211" spans="2:12" x14ac:dyDescent="0.35">
      <c r="B1211" s="111">
        <f t="shared" si="91"/>
        <v>1201</v>
      </c>
      <c r="C1211" s="64" t="s">
        <v>93</v>
      </c>
      <c r="D1211" s="81" t="s">
        <v>32</v>
      </c>
      <c r="E1211" s="83">
        <v>2</v>
      </c>
      <c r="F1211" s="65"/>
      <c r="G1211" s="123"/>
      <c r="H1211" s="65">
        <f t="shared" si="95"/>
        <v>0</v>
      </c>
      <c r="I1211" s="79">
        <f t="shared" si="92"/>
        <v>0</v>
      </c>
      <c r="J1211" s="79">
        <f t="shared" si="93"/>
        <v>0</v>
      </c>
      <c r="K1211" s="79">
        <f t="shared" si="94"/>
        <v>0</v>
      </c>
      <c r="L1211" s="121"/>
    </row>
    <row r="1212" spans="2:12" x14ac:dyDescent="0.35">
      <c r="B1212" s="111">
        <f t="shared" si="91"/>
        <v>1202</v>
      </c>
      <c r="C1212" s="82" t="s">
        <v>94</v>
      </c>
      <c r="D1212" s="81" t="s">
        <v>31</v>
      </c>
      <c r="E1212" s="78">
        <f>0.82*E1211</f>
        <v>1.64</v>
      </c>
      <c r="F1212" s="68">
        <v>71</v>
      </c>
      <c r="G1212" s="65">
        <v>97.61</v>
      </c>
      <c r="H1212" s="65">
        <f t="shared" si="95"/>
        <v>168.61</v>
      </c>
      <c r="I1212" s="79">
        <f t="shared" si="92"/>
        <v>116.44</v>
      </c>
      <c r="J1212" s="79">
        <f t="shared" si="93"/>
        <v>160.08000000000001</v>
      </c>
      <c r="K1212" s="79">
        <f t="shared" si="94"/>
        <v>276.52</v>
      </c>
      <c r="L1212" s="121"/>
    </row>
    <row r="1213" spans="2:12" ht="31" x14ac:dyDescent="0.35">
      <c r="B1213" s="111">
        <f t="shared" si="91"/>
        <v>1203</v>
      </c>
      <c r="C1213" s="64" t="s">
        <v>153</v>
      </c>
      <c r="D1213" s="81" t="s">
        <v>32</v>
      </c>
      <c r="E1213" s="83">
        <v>2</v>
      </c>
      <c r="F1213" s="65"/>
      <c r="G1213" s="65">
        <v>1464</v>
      </c>
      <c r="H1213" s="65">
        <f t="shared" si="95"/>
        <v>1464</v>
      </c>
      <c r="I1213" s="79">
        <f t="shared" si="92"/>
        <v>0</v>
      </c>
      <c r="J1213" s="79">
        <f t="shared" si="93"/>
        <v>2928</v>
      </c>
      <c r="K1213" s="79">
        <f t="shared" si="94"/>
        <v>2928</v>
      </c>
      <c r="L1213" s="121"/>
    </row>
    <row r="1214" spans="2:12" x14ac:dyDescent="0.35">
      <c r="B1214" s="111">
        <f t="shared" si="91"/>
        <v>1204</v>
      </c>
      <c r="C1214" s="64" t="s">
        <v>334</v>
      </c>
      <c r="D1214" s="81"/>
      <c r="E1214" s="83"/>
      <c r="F1214" s="65"/>
      <c r="G1214" s="123"/>
      <c r="H1214" s="65">
        <f t="shared" si="95"/>
        <v>0</v>
      </c>
      <c r="I1214" s="79">
        <f t="shared" si="92"/>
        <v>0</v>
      </c>
      <c r="J1214" s="79">
        <f t="shared" si="93"/>
        <v>0</v>
      </c>
      <c r="K1214" s="79">
        <f t="shared" si="94"/>
        <v>0</v>
      </c>
      <c r="L1214" s="121">
        <v>1</v>
      </c>
    </row>
    <row r="1215" spans="2:12" ht="31" x14ac:dyDescent="0.35">
      <c r="B1215" s="111">
        <f t="shared" si="91"/>
        <v>1205</v>
      </c>
      <c r="C1215" s="80" t="s">
        <v>309</v>
      </c>
      <c r="D1215" s="81" t="s">
        <v>32</v>
      </c>
      <c r="E1215" s="83">
        <v>1</v>
      </c>
      <c r="F1215" s="65">
        <v>2263</v>
      </c>
      <c r="G1215" s="65">
        <v>1700</v>
      </c>
      <c r="H1215" s="65">
        <f t="shared" si="95"/>
        <v>3963</v>
      </c>
      <c r="I1215" s="79">
        <f t="shared" si="92"/>
        <v>2263</v>
      </c>
      <c r="J1215" s="79">
        <f t="shared" si="93"/>
        <v>1700</v>
      </c>
      <c r="K1215" s="79">
        <f t="shared" si="94"/>
        <v>3963</v>
      </c>
      <c r="L1215" s="121"/>
    </row>
    <row r="1216" spans="2:12" ht="31" x14ac:dyDescent="0.35">
      <c r="B1216" s="111">
        <f t="shared" si="91"/>
        <v>1206</v>
      </c>
      <c r="C1216" s="80" t="s">
        <v>310</v>
      </c>
      <c r="D1216" s="81" t="s">
        <v>32</v>
      </c>
      <c r="E1216" s="83">
        <v>1</v>
      </c>
      <c r="F1216" s="65">
        <v>1303</v>
      </c>
      <c r="G1216" s="65">
        <v>1700</v>
      </c>
      <c r="H1216" s="65">
        <f t="shared" si="95"/>
        <v>3003</v>
      </c>
      <c r="I1216" s="79">
        <f t="shared" si="92"/>
        <v>1303</v>
      </c>
      <c r="J1216" s="79">
        <f t="shared" si="93"/>
        <v>1700</v>
      </c>
      <c r="K1216" s="79">
        <f t="shared" si="94"/>
        <v>3003</v>
      </c>
      <c r="L1216" s="121"/>
    </row>
    <row r="1217" spans="2:12" ht="31" x14ac:dyDescent="0.35">
      <c r="B1217" s="111">
        <f t="shared" si="91"/>
        <v>1207</v>
      </c>
      <c r="C1217" s="80" t="s">
        <v>63</v>
      </c>
      <c r="D1217" s="81" t="s">
        <v>27</v>
      </c>
      <c r="E1217" s="83">
        <f>0.36*1.1</f>
        <v>0.39600000000000002</v>
      </c>
      <c r="F1217" s="65">
        <v>855</v>
      </c>
      <c r="G1217" s="65">
        <v>1700</v>
      </c>
      <c r="H1217" s="65">
        <f t="shared" si="95"/>
        <v>2555</v>
      </c>
      <c r="I1217" s="79">
        <f t="shared" si="92"/>
        <v>338.58</v>
      </c>
      <c r="J1217" s="79">
        <f t="shared" si="93"/>
        <v>673.2</v>
      </c>
      <c r="K1217" s="79">
        <f t="shared" si="94"/>
        <v>1011.78</v>
      </c>
      <c r="L1217" s="121"/>
    </row>
    <row r="1218" spans="2:12" ht="33" x14ac:dyDescent="0.35">
      <c r="B1218" s="111">
        <f t="shared" si="91"/>
        <v>1208</v>
      </c>
      <c r="C1218" s="64" t="s">
        <v>362</v>
      </c>
      <c r="D1218" s="81" t="s">
        <v>26</v>
      </c>
      <c r="E1218" s="78">
        <f>3.86-0.18</f>
        <v>3.6799999999999997</v>
      </c>
      <c r="F1218" s="65"/>
      <c r="G1218" s="65">
        <v>439</v>
      </c>
      <c r="H1218" s="65">
        <f t="shared" si="95"/>
        <v>439</v>
      </c>
      <c r="I1218" s="79">
        <f t="shared" si="92"/>
        <v>0</v>
      </c>
      <c r="J1218" s="79">
        <f t="shared" si="93"/>
        <v>1615.52</v>
      </c>
      <c r="K1218" s="79">
        <f t="shared" si="94"/>
        <v>1615.52</v>
      </c>
      <c r="L1218" s="121"/>
    </row>
    <row r="1219" spans="2:12" ht="35" customHeight="1" x14ac:dyDescent="0.35">
      <c r="B1219" s="111">
        <f t="shared" si="91"/>
        <v>1209</v>
      </c>
      <c r="C1219" s="98" t="s">
        <v>251</v>
      </c>
      <c r="D1219" s="99" t="s">
        <v>27</v>
      </c>
      <c r="E1219" s="100">
        <v>5.3</v>
      </c>
      <c r="F1219" s="101"/>
      <c r="G1219" s="106"/>
      <c r="H1219" s="101">
        <f t="shared" si="95"/>
        <v>0</v>
      </c>
      <c r="I1219" s="101">
        <f t="shared" si="92"/>
        <v>0</v>
      </c>
      <c r="J1219" s="101">
        <f t="shared" si="93"/>
        <v>0</v>
      </c>
      <c r="K1219" s="101">
        <f t="shared" si="94"/>
        <v>0</v>
      </c>
      <c r="L1219" s="121"/>
    </row>
    <row r="1220" spans="2:12" ht="31" x14ac:dyDescent="0.35">
      <c r="B1220" s="111">
        <f t="shared" si="91"/>
        <v>1210</v>
      </c>
      <c r="C1220" s="64" t="s">
        <v>348</v>
      </c>
      <c r="D1220" s="77" t="s">
        <v>26</v>
      </c>
      <c r="E1220" s="78">
        <f>0.97*2.71</f>
        <v>2.6286999999999998</v>
      </c>
      <c r="F1220" s="65"/>
      <c r="G1220" s="65">
        <v>300</v>
      </c>
      <c r="H1220" s="65">
        <f t="shared" si="95"/>
        <v>300</v>
      </c>
      <c r="I1220" s="79">
        <f t="shared" si="92"/>
        <v>0</v>
      </c>
      <c r="J1220" s="79">
        <f t="shared" si="93"/>
        <v>788.61</v>
      </c>
      <c r="K1220" s="79">
        <f t="shared" si="94"/>
        <v>788.61</v>
      </c>
      <c r="L1220" s="121"/>
    </row>
    <row r="1221" spans="2:12" x14ac:dyDescent="0.35">
      <c r="B1221" s="111">
        <f t="shared" si="91"/>
        <v>1211</v>
      </c>
      <c r="C1221" s="64" t="s">
        <v>19</v>
      </c>
      <c r="D1221" s="77" t="s">
        <v>26</v>
      </c>
      <c r="E1221" s="78">
        <f>E1220/97*3</f>
        <v>8.1299999999999997E-2</v>
      </c>
      <c r="F1221" s="65"/>
      <c r="G1221" s="65">
        <v>1500</v>
      </c>
      <c r="H1221" s="65">
        <f t="shared" si="95"/>
        <v>1500</v>
      </c>
      <c r="I1221" s="79">
        <f t="shared" si="92"/>
        <v>0</v>
      </c>
      <c r="J1221" s="79">
        <f t="shared" si="93"/>
        <v>121.95</v>
      </c>
      <c r="K1221" s="79">
        <f t="shared" si="94"/>
        <v>121.95</v>
      </c>
      <c r="L1221" s="121"/>
    </row>
    <row r="1222" spans="2:12" x14ac:dyDescent="0.35">
      <c r="B1222" s="111">
        <f t="shared" si="91"/>
        <v>1212</v>
      </c>
      <c r="C1222" s="64" t="s">
        <v>184</v>
      </c>
      <c r="D1222" s="77" t="s">
        <v>25</v>
      </c>
      <c r="E1222" s="78">
        <f>E1219*0.75</f>
        <v>3.9749999999999996</v>
      </c>
      <c r="F1222" s="65"/>
      <c r="G1222" s="123"/>
      <c r="H1222" s="65">
        <f t="shared" si="95"/>
        <v>0</v>
      </c>
      <c r="I1222" s="79">
        <f t="shared" si="92"/>
        <v>0</v>
      </c>
      <c r="J1222" s="79">
        <f t="shared" si="93"/>
        <v>0</v>
      </c>
      <c r="K1222" s="79">
        <f t="shared" si="94"/>
        <v>0</v>
      </c>
      <c r="L1222" s="121"/>
    </row>
    <row r="1223" spans="2:12" ht="31" x14ac:dyDescent="0.35">
      <c r="B1223" s="111">
        <f t="shared" si="91"/>
        <v>1213</v>
      </c>
      <c r="C1223" s="64" t="s">
        <v>194</v>
      </c>
      <c r="D1223" s="77" t="s">
        <v>25</v>
      </c>
      <c r="E1223" s="78">
        <f>E1219*0.48</f>
        <v>2.544</v>
      </c>
      <c r="F1223" s="65">
        <f>1973*0.15</f>
        <v>295.95</v>
      </c>
      <c r="G1223" s="65">
        <f>1500*0.15</f>
        <v>225</v>
      </c>
      <c r="H1223" s="65">
        <f t="shared" si="95"/>
        <v>520.95000000000005</v>
      </c>
      <c r="I1223" s="79">
        <f t="shared" si="92"/>
        <v>752.9</v>
      </c>
      <c r="J1223" s="79">
        <f t="shared" si="93"/>
        <v>572.4</v>
      </c>
      <c r="K1223" s="79">
        <f t="shared" si="94"/>
        <v>1325.3</v>
      </c>
      <c r="L1223" s="121"/>
    </row>
    <row r="1224" spans="2:12" x14ac:dyDescent="0.35">
      <c r="B1224" s="111">
        <f t="shared" si="91"/>
        <v>1214</v>
      </c>
      <c r="C1224" s="64" t="s">
        <v>20</v>
      </c>
      <c r="D1224" s="77" t="s">
        <v>26</v>
      </c>
      <c r="E1224" s="78">
        <f>0.34*E1219*0.1</f>
        <v>0.18020000000000003</v>
      </c>
      <c r="F1224" s="65"/>
      <c r="G1224" s="65">
        <v>5860</v>
      </c>
      <c r="H1224" s="65">
        <f t="shared" si="95"/>
        <v>5860</v>
      </c>
      <c r="I1224" s="79">
        <f t="shared" si="92"/>
        <v>0</v>
      </c>
      <c r="J1224" s="79">
        <f t="shared" si="93"/>
        <v>1055.97</v>
      </c>
      <c r="K1224" s="79">
        <f t="shared" si="94"/>
        <v>1055.97</v>
      </c>
      <c r="L1224" s="121"/>
    </row>
    <row r="1225" spans="2:12" x14ac:dyDescent="0.35">
      <c r="B1225" s="111">
        <f t="shared" si="91"/>
        <v>1215</v>
      </c>
      <c r="C1225" s="80" t="s">
        <v>159</v>
      </c>
      <c r="D1225" s="77" t="s">
        <v>26</v>
      </c>
      <c r="E1225" s="78">
        <f>E1224*1.02</f>
        <v>0.18380400000000002</v>
      </c>
      <c r="F1225" s="65">
        <v>6700</v>
      </c>
      <c r="G1225" s="123"/>
      <c r="H1225" s="65">
        <f t="shared" si="95"/>
        <v>6700</v>
      </c>
      <c r="I1225" s="79">
        <f t="shared" si="92"/>
        <v>1231.49</v>
      </c>
      <c r="J1225" s="79">
        <f t="shared" si="93"/>
        <v>0</v>
      </c>
      <c r="K1225" s="79">
        <f t="shared" si="94"/>
        <v>1231.49</v>
      </c>
      <c r="L1225" s="121"/>
    </row>
    <row r="1226" spans="2:12" x14ac:dyDescent="0.35">
      <c r="B1226" s="111">
        <f t="shared" si="91"/>
        <v>1216</v>
      </c>
      <c r="C1226" s="64" t="s">
        <v>28</v>
      </c>
      <c r="D1226" s="77" t="s">
        <v>26</v>
      </c>
      <c r="E1226" s="78">
        <f>E1219*0.8/10</f>
        <v>0.42400000000000004</v>
      </c>
      <c r="F1226" s="65"/>
      <c r="G1226" s="65">
        <v>5860</v>
      </c>
      <c r="H1226" s="65">
        <f t="shared" si="95"/>
        <v>5860</v>
      </c>
      <c r="I1226" s="79">
        <f t="shared" si="92"/>
        <v>0</v>
      </c>
      <c r="J1226" s="79">
        <f t="shared" si="93"/>
        <v>2484.64</v>
      </c>
      <c r="K1226" s="79">
        <f t="shared" si="94"/>
        <v>2484.64</v>
      </c>
      <c r="L1226" s="121"/>
    </row>
    <row r="1227" spans="2:12" x14ac:dyDescent="0.35">
      <c r="B1227" s="111">
        <f t="shared" si="91"/>
        <v>1217</v>
      </c>
      <c r="C1227" s="80" t="s">
        <v>29</v>
      </c>
      <c r="D1227" s="77" t="s">
        <v>26</v>
      </c>
      <c r="E1227" s="78">
        <f>E1226*1.02</f>
        <v>0.43248000000000003</v>
      </c>
      <c r="F1227" s="65">
        <v>7100</v>
      </c>
      <c r="G1227" s="123"/>
      <c r="H1227" s="65">
        <f t="shared" si="95"/>
        <v>7100</v>
      </c>
      <c r="I1227" s="79">
        <f t="shared" si="92"/>
        <v>3070.61</v>
      </c>
      <c r="J1227" s="79">
        <f t="shared" si="93"/>
        <v>0</v>
      </c>
      <c r="K1227" s="79">
        <f t="shared" si="94"/>
        <v>3070.61</v>
      </c>
      <c r="L1227" s="121"/>
    </row>
    <row r="1228" spans="2:12" x14ac:dyDescent="0.35">
      <c r="B1228" s="111">
        <f t="shared" si="91"/>
        <v>1218</v>
      </c>
      <c r="C1228" s="80" t="s">
        <v>30</v>
      </c>
      <c r="D1228" s="77" t="s">
        <v>31</v>
      </c>
      <c r="E1228" s="78">
        <f>E1219*1.22</f>
        <v>6.4659999999999993</v>
      </c>
      <c r="F1228" s="65">
        <v>118.9</v>
      </c>
      <c r="G1228" s="123"/>
      <c r="H1228" s="65">
        <f t="shared" si="95"/>
        <v>118.9</v>
      </c>
      <c r="I1228" s="79">
        <f t="shared" si="92"/>
        <v>768.81</v>
      </c>
      <c r="J1228" s="79">
        <f t="shared" si="93"/>
        <v>0</v>
      </c>
      <c r="K1228" s="79">
        <f t="shared" si="94"/>
        <v>768.81</v>
      </c>
      <c r="L1228" s="121"/>
    </row>
    <row r="1229" spans="2:12" x14ac:dyDescent="0.35">
      <c r="B1229" s="111">
        <f t="shared" ref="B1229:B1292" si="96">B1228+1</f>
        <v>1219</v>
      </c>
      <c r="C1229" s="64" t="s">
        <v>189</v>
      </c>
      <c r="D1229" s="77" t="s">
        <v>27</v>
      </c>
      <c r="E1229" s="78">
        <f>E1219</f>
        <v>5.3</v>
      </c>
      <c r="F1229" s="65"/>
      <c r="G1229" s="65">
        <v>2928</v>
      </c>
      <c r="H1229" s="65">
        <f t="shared" si="95"/>
        <v>2928</v>
      </c>
      <c r="I1229" s="79">
        <f t="shared" ref="I1229:I1292" si="97">ROUND(F1229*E1229,2)</f>
        <v>0</v>
      </c>
      <c r="J1229" s="79">
        <f t="shared" ref="J1229:J1292" si="98">ROUND(G1229*E1229,2)</f>
        <v>15518.4</v>
      </c>
      <c r="K1229" s="79">
        <f t="shared" ref="K1229:K1292" si="99">I1229+J1229</f>
        <v>15518.4</v>
      </c>
      <c r="L1229" s="121"/>
    </row>
    <row r="1230" spans="2:12" ht="31" x14ac:dyDescent="0.35">
      <c r="B1230" s="111">
        <f t="shared" si="96"/>
        <v>1220</v>
      </c>
      <c r="C1230" s="80" t="s">
        <v>195</v>
      </c>
      <c r="D1230" s="77" t="s">
        <v>27</v>
      </c>
      <c r="E1230" s="78">
        <f>E1229*1.1</f>
        <v>5.83</v>
      </c>
      <c r="F1230" s="65">
        <v>855</v>
      </c>
      <c r="G1230" s="65"/>
      <c r="H1230" s="65">
        <f t="shared" si="95"/>
        <v>855</v>
      </c>
      <c r="I1230" s="79">
        <f t="shared" si="97"/>
        <v>4984.6499999999996</v>
      </c>
      <c r="J1230" s="79">
        <f t="shared" si="98"/>
        <v>0</v>
      </c>
      <c r="K1230" s="79">
        <f t="shared" si="99"/>
        <v>4984.6499999999996</v>
      </c>
      <c r="L1230" s="121"/>
    </row>
    <row r="1231" spans="2:12" ht="33" x14ac:dyDescent="0.35">
      <c r="B1231" s="111">
        <f t="shared" si="96"/>
        <v>1221</v>
      </c>
      <c r="C1231" s="64" t="s">
        <v>355</v>
      </c>
      <c r="D1231" s="81" t="s">
        <v>26</v>
      </c>
      <c r="E1231" s="78">
        <v>1.87</v>
      </c>
      <c r="F1231" s="65"/>
      <c r="G1231" s="65">
        <v>439</v>
      </c>
      <c r="H1231" s="65">
        <f t="shared" ref="H1231:H1294" si="100">F1231+G1231</f>
        <v>439</v>
      </c>
      <c r="I1231" s="79">
        <f t="shared" si="97"/>
        <v>0</v>
      </c>
      <c r="J1231" s="79">
        <f t="shared" si="98"/>
        <v>820.93</v>
      </c>
      <c r="K1231" s="79">
        <f t="shared" si="99"/>
        <v>820.93</v>
      </c>
      <c r="L1231" s="121"/>
    </row>
    <row r="1232" spans="2:12" ht="26.4" customHeight="1" x14ac:dyDescent="0.35">
      <c r="B1232" s="111">
        <f t="shared" si="96"/>
        <v>1222</v>
      </c>
      <c r="C1232" s="98" t="s">
        <v>252</v>
      </c>
      <c r="D1232" s="103" t="s">
        <v>32</v>
      </c>
      <c r="E1232" s="100">
        <v>1</v>
      </c>
      <c r="F1232" s="101"/>
      <c r="G1232" s="106"/>
      <c r="H1232" s="101">
        <f t="shared" si="100"/>
        <v>0</v>
      </c>
      <c r="I1232" s="101">
        <f t="shared" si="97"/>
        <v>0</v>
      </c>
      <c r="J1232" s="101">
        <f t="shared" si="98"/>
        <v>0</v>
      </c>
      <c r="K1232" s="101">
        <f t="shared" si="99"/>
        <v>0</v>
      </c>
      <c r="L1232" s="121"/>
    </row>
    <row r="1233" spans="2:12" ht="31" x14ac:dyDescent="0.35">
      <c r="B1233" s="111">
        <f t="shared" si="96"/>
        <v>1223</v>
      </c>
      <c r="C1233" s="64" t="s">
        <v>348</v>
      </c>
      <c r="D1233" s="81" t="s">
        <v>26</v>
      </c>
      <c r="E1233" s="85">
        <f>5.26*0.97</f>
        <v>5.1021999999999998</v>
      </c>
      <c r="F1233" s="65"/>
      <c r="G1233" s="65">
        <v>300</v>
      </c>
      <c r="H1233" s="65">
        <f t="shared" si="100"/>
        <v>300</v>
      </c>
      <c r="I1233" s="79">
        <f t="shared" si="97"/>
        <v>0</v>
      </c>
      <c r="J1233" s="79">
        <f t="shared" si="98"/>
        <v>1530.66</v>
      </c>
      <c r="K1233" s="79">
        <f t="shared" si="99"/>
        <v>1530.66</v>
      </c>
      <c r="L1233" s="121"/>
    </row>
    <row r="1234" spans="2:12" x14ac:dyDescent="0.35">
      <c r="B1234" s="111">
        <f t="shared" si="96"/>
        <v>1224</v>
      </c>
      <c r="C1234" s="64" t="s">
        <v>19</v>
      </c>
      <c r="D1234" s="86" t="s">
        <v>26</v>
      </c>
      <c r="E1234" s="87">
        <f>E1233/9</f>
        <v>0.56691111111111114</v>
      </c>
      <c r="F1234" s="65"/>
      <c r="G1234" s="65">
        <v>1500</v>
      </c>
      <c r="H1234" s="65">
        <f t="shared" si="100"/>
        <v>1500</v>
      </c>
      <c r="I1234" s="79">
        <f t="shared" si="97"/>
        <v>0</v>
      </c>
      <c r="J1234" s="79">
        <f t="shared" si="98"/>
        <v>850.37</v>
      </c>
      <c r="K1234" s="79">
        <f t="shared" si="99"/>
        <v>850.37</v>
      </c>
      <c r="L1234" s="121"/>
    </row>
    <row r="1235" spans="2:12" x14ac:dyDescent="0.35">
      <c r="B1235" s="111">
        <f t="shared" si="96"/>
        <v>1225</v>
      </c>
      <c r="C1235" s="64" t="s">
        <v>67</v>
      </c>
      <c r="D1235" s="86" t="s">
        <v>25</v>
      </c>
      <c r="E1235" s="87">
        <v>4.5199999999999996</v>
      </c>
      <c r="F1235" s="65"/>
      <c r="G1235" s="123"/>
      <c r="H1235" s="65">
        <f t="shared" si="100"/>
        <v>0</v>
      </c>
      <c r="I1235" s="79">
        <f t="shared" si="97"/>
        <v>0</v>
      </c>
      <c r="J1235" s="79">
        <f t="shared" si="98"/>
        <v>0</v>
      </c>
      <c r="K1235" s="79">
        <f t="shared" si="99"/>
        <v>0</v>
      </c>
      <c r="L1235" s="121"/>
    </row>
    <row r="1236" spans="2:12" x14ac:dyDescent="0.35">
      <c r="B1236" s="111">
        <f t="shared" si="96"/>
        <v>1226</v>
      </c>
      <c r="C1236" s="64" t="s">
        <v>68</v>
      </c>
      <c r="D1236" s="86" t="s">
        <v>26</v>
      </c>
      <c r="E1236" s="87">
        <v>0.38</v>
      </c>
      <c r="F1236" s="65"/>
      <c r="G1236" s="65">
        <v>5860</v>
      </c>
      <c r="H1236" s="65">
        <f t="shared" si="100"/>
        <v>5860</v>
      </c>
      <c r="I1236" s="79">
        <f t="shared" si="97"/>
        <v>0</v>
      </c>
      <c r="J1236" s="79">
        <f t="shared" si="98"/>
        <v>2226.8000000000002</v>
      </c>
      <c r="K1236" s="79">
        <f t="shared" si="99"/>
        <v>2226.8000000000002</v>
      </c>
      <c r="L1236" s="121"/>
    </row>
    <row r="1237" spans="2:12" x14ac:dyDescent="0.35">
      <c r="B1237" s="111">
        <f t="shared" si="96"/>
        <v>1227</v>
      </c>
      <c r="C1237" s="80" t="s">
        <v>159</v>
      </c>
      <c r="D1237" s="86" t="s">
        <v>26</v>
      </c>
      <c r="E1237" s="87">
        <v>0.39</v>
      </c>
      <c r="F1237" s="65">
        <v>6700</v>
      </c>
      <c r="G1237" s="123"/>
      <c r="H1237" s="65">
        <f t="shared" si="100"/>
        <v>6700</v>
      </c>
      <c r="I1237" s="79">
        <f t="shared" si="97"/>
        <v>2613</v>
      </c>
      <c r="J1237" s="79">
        <f t="shared" si="98"/>
        <v>0</v>
      </c>
      <c r="K1237" s="79">
        <f t="shared" si="99"/>
        <v>2613</v>
      </c>
      <c r="L1237" s="121"/>
    </row>
    <row r="1238" spans="2:12" x14ac:dyDescent="0.35">
      <c r="B1238" s="111">
        <f t="shared" si="96"/>
        <v>1228</v>
      </c>
      <c r="C1238" s="64" t="s">
        <v>151</v>
      </c>
      <c r="D1238" s="86" t="s">
        <v>25</v>
      </c>
      <c r="E1238" s="87">
        <v>3.14</v>
      </c>
      <c r="F1238" s="65">
        <v>68.5</v>
      </c>
      <c r="G1238" s="65">
        <v>150</v>
      </c>
      <c r="H1238" s="65">
        <f t="shared" si="100"/>
        <v>218.5</v>
      </c>
      <c r="I1238" s="79">
        <f t="shared" si="97"/>
        <v>215.09</v>
      </c>
      <c r="J1238" s="79">
        <f t="shared" si="98"/>
        <v>471</v>
      </c>
      <c r="K1238" s="79">
        <f t="shared" si="99"/>
        <v>686.09</v>
      </c>
      <c r="L1238" s="121"/>
    </row>
    <row r="1239" spans="2:12" ht="31" x14ac:dyDescent="0.35">
      <c r="B1239" s="111">
        <f t="shared" si="96"/>
        <v>1229</v>
      </c>
      <c r="C1239" s="64" t="s">
        <v>152</v>
      </c>
      <c r="D1239" s="86" t="s">
        <v>25</v>
      </c>
      <c r="E1239" s="87">
        <v>3.14</v>
      </c>
      <c r="F1239" s="65">
        <v>927</v>
      </c>
      <c r="G1239" s="65">
        <v>400</v>
      </c>
      <c r="H1239" s="65">
        <f t="shared" si="100"/>
        <v>1327</v>
      </c>
      <c r="I1239" s="79">
        <f t="shared" si="97"/>
        <v>2910.78</v>
      </c>
      <c r="J1239" s="79">
        <f t="shared" si="98"/>
        <v>1256</v>
      </c>
      <c r="K1239" s="79">
        <f t="shared" si="99"/>
        <v>4166.7800000000007</v>
      </c>
      <c r="L1239" s="121"/>
    </row>
    <row r="1240" spans="2:12" ht="31" x14ac:dyDescent="0.35">
      <c r="B1240" s="111">
        <f t="shared" si="96"/>
        <v>1230</v>
      </c>
      <c r="C1240" s="64" t="s">
        <v>107</v>
      </c>
      <c r="D1240" s="86" t="s">
        <v>32</v>
      </c>
      <c r="E1240" s="87">
        <v>1</v>
      </c>
      <c r="F1240" s="65"/>
      <c r="G1240" s="65">
        <v>5662</v>
      </c>
      <c r="H1240" s="65">
        <f t="shared" si="100"/>
        <v>5662</v>
      </c>
      <c r="I1240" s="79">
        <f t="shared" si="97"/>
        <v>0</v>
      </c>
      <c r="J1240" s="79">
        <f t="shared" si="98"/>
        <v>5662</v>
      </c>
      <c r="K1240" s="79">
        <f t="shared" si="99"/>
        <v>5662</v>
      </c>
      <c r="L1240" s="121"/>
    </row>
    <row r="1241" spans="2:12" x14ac:dyDescent="0.35">
      <c r="B1241" s="111">
        <f t="shared" si="96"/>
        <v>1231</v>
      </c>
      <c r="C1241" s="88" t="s">
        <v>108</v>
      </c>
      <c r="D1241" s="89" t="s">
        <v>32</v>
      </c>
      <c r="E1241" s="87">
        <v>1</v>
      </c>
      <c r="F1241" s="65">
        <f>6000*1.2</f>
        <v>7200</v>
      </c>
      <c r="G1241" s="123"/>
      <c r="H1241" s="65">
        <f t="shared" si="100"/>
        <v>7200</v>
      </c>
      <c r="I1241" s="79">
        <f t="shared" si="97"/>
        <v>7200</v>
      </c>
      <c r="J1241" s="79">
        <f t="shared" si="98"/>
        <v>0</v>
      </c>
      <c r="K1241" s="79">
        <f t="shared" si="99"/>
        <v>7200</v>
      </c>
      <c r="L1241" s="121"/>
    </row>
    <row r="1242" spans="2:12" x14ac:dyDescent="0.35">
      <c r="B1242" s="111">
        <f t="shared" si="96"/>
        <v>1232</v>
      </c>
      <c r="C1242" s="88" t="s">
        <v>101</v>
      </c>
      <c r="D1242" s="89" t="s">
        <v>26</v>
      </c>
      <c r="E1242" s="87">
        <v>0.06</v>
      </c>
      <c r="F1242" s="65">
        <v>7300</v>
      </c>
      <c r="G1242" s="123"/>
      <c r="H1242" s="65">
        <f t="shared" si="100"/>
        <v>7300</v>
      </c>
      <c r="I1242" s="79">
        <f t="shared" si="97"/>
        <v>438</v>
      </c>
      <c r="J1242" s="79">
        <f t="shared" si="98"/>
        <v>0</v>
      </c>
      <c r="K1242" s="79">
        <f t="shared" si="99"/>
        <v>438</v>
      </c>
      <c r="L1242" s="121"/>
    </row>
    <row r="1243" spans="2:12" ht="31" x14ac:dyDescent="0.35">
      <c r="B1243" s="111">
        <f t="shared" si="96"/>
        <v>1233</v>
      </c>
      <c r="C1243" s="64" t="s">
        <v>179</v>
      </c>
      <c r="D1243" s="86" t="s">
        <v>26</v>
      </c>
      <c r="E1243" s="87">
        <v>1.2</v>
      </c>
      <c r="F1243" s="65"/>
      <c r="G1243" s="65">
        <v>5860</v>
      </c>
      <c r="H1243" s="65">
        <f t="shared" si="100"/>
        <v>5860</v>
      </c>
      <c r="I1243" s="79">
        <f t="shared" si="97"/>
        <v>0</v>
      </c>
      <c r="J1243" s="79">
        <f t="shared" si="98"/>
        <v>7032</v>
      </c>
      <c r="K1243" s="79">
        <f t="shared" si="99"/>
        <v>7032</v>
      </c>
      <c r="L1243" s="121"/>
    </row>
    <row r="1244" spans="2:12" x14ac:dyDescent="0.35">
      <c r="B1244" s="111">
        <f t="shared" si="96"/>
        <v>1234</v>
      </c>
      <c r="C1244" s="88" t="s">
        <v>75</v>
      </c>
      <c r="D1244" s="89" t="s">
        <v>26</v>
      </c>
      <c r="E1244" s="87">
        <v>1.22</v>
      </c>
      <c r="F1244" s="65">
        <v>7100</v>
      </c>
      <c r="G1244" s="123"/>
      <c r="H1244" s="65">
        <f t="shared" si="100"/>
        <v>7100</v>
      </c>
      <c r="I1244" s="79">
        <f t="shared" si="97"/>
        <v>8662</v>
      </c>
      <c r="J1244" s="79">
        <f t="shared" si="98"/>
        <v>0</v>
      </c>
      <c r="K1244" s="79">
        <f t="shared" si="99"/>
        <v>8662</v>
      </c>
      <c r="L1244" s="121"/>
    </row>
    <row r="1245" spans="2:12" ht="31" x14ac:dyDescent="0.35">
      <c r="B1245" s="111">
        <f t="shared" si="96"/>
        <v>1235</v>
      </c>
      <c r="C1245" s="64" t="s">
        <v>85</v>
      </c>
      <c r="D1245" s="86" t="s">
        <v>32</v>
      </c>
      <c r="E1245" s="87">
        <v>1</v>
      </c>
      <c r="F1245" s="65"/>
      <c r="G1245" s="65">
        <v>2500</v>
      </c>
      <c r="H1245" s="65">
        <f t="shared" si="100"/>
        <v>2500</v>
      </c>
      <c r="I1245" s="79">
        <f t="shared" si="97"/>
        <v>0</v>
      </c>
      <c r="J1245" s="79">
        <f t="shared" si="98"/>
        <v>2500</v>
      </c>
      <c r="K1245" s="79">
        <f t="shared" si="99"/>
        <v>2500</v>
      </c>
      <c r="L1245" s="121"/>
    </row>
    <row r="1246" spans="2:12" x14ac:dyDescent="0.35">
      <c r="B1246" s="111">
        <f t="shared" si="96"/>
        <v>1236</v>
      </c>
      <c r="C1246" s="88" t="s">
        <v>154</v>
      </c>
      <c r="D1246" s="89" t="s">
        <v>32</v>
      </c>
      <c r="E1246" s="87">
        <v>1</v>
      </c>
      <c r="F1246" s="65">
        <f>5500*1.2</f>
        <v>6600</v>
      </c>
      <c r="G1246" s="123"/>
      <c r="H1246" s="65">
        <f t="shared" si="100"/>
        <v>6600</v>
      </c>
      <c r="I1246" s="79">
        <f t="shared" si="97"/>
        <v>6600</v>
      </c>
      <c r="J1246" s="79">
        <f t="shared" si="98"/>
        <v>0</v>
      </c>
      <c r="K1246" s="79">
        <f t="shared" si="99"/>
        <v>6600</v>
      </c>
      <c r="L1246" s="121"/>
    </row>
    <row r="1247" spans="2:12" x14ac:dyDescent="0.35">
      <c r="B1247" s="111">
        <f t="shared" si="96"/>
        <v>1237</v>
      </c>
      <c r="C1247" s="80" t="s">
        <v>301</v>
      </c>
      <c r="D1247" s="86" t="s">
        <v>32</v>
      </c>
      <c r="E1247" s="87">
        <v>1</v>
      </c>
      <c r="F1247" s="65">
        <v>6000</v>
      </c>
      <c r="G1247" s="65">
        <v>1464.09</v>
      </c>
      <c r="H1247" s="65">
        <f t="shared" si="100"/>
        <v>7464.09</v>
      </c>
      <c r="I1247" s="79">
        <f t="shared" si="97"/>
        <v>6000</v>
      </c>
      <c r="J1247" s="79">
        <f t="shared" si="98"/>
        <v>1464.09</v>
      </c>
      <c r="K1247" s="79">
        <f t="shared" si="99"/>
        <v>7464.09</v>
      </c>
      <c r="L1247" s="121"/>
    </row>
    <row r="1248" spans="2:12" ht="31" x14ac:dyDescent="0.35">
      <c r="B1248" s="111">
        <f t="shared" si="96"/>
        <v>1238</v>
      </c>
      <c r="C1248" s="64" t="s">
        <v>156</v>
      </c>
      <c r="D1248" s="86" t="s">
        <v>25</v>
      </c>
      <c r="E1248" s="78">
        <f>(3.14*1.68)*0.84+2.22</f>
        <v>6.6511680000000002</v>
      </c>
      <c r="F1248" s="65">
        <v>68.5</v>
      </c>
      <c r="G1248" s="65">
        <v>150</v>
      </c>
      <c r="H1248" s="65">
        <f t="shared" si="100"/>
        <v>218.5</v>
      </c>
      <c r="I1248" s="79">
        <f t="shared" si="97"/>
        <v>455.61</v>
      </c>
      <c r="J1248" s="79">
        <f t="shared" si="98"/>
        <v>997.68</v>
      </c>
      <c r="K1248" s="79">
        <f t="shared" si="99"/>
        <v>1453.29</v>
      </c>
      <c r="L1248" s="121"/>
    </row>
    <row r="1249" spans="2:12" ht="46.5" x14ac:dyDescent="0.35">
      <c r="B1249" s="111">
        <f t="shared" si="96"/>
        <v>1239</v>
      </c>
      <c r="C1249" s="64" t="s">
        <v>157</v>
      </c>
      <c r="D1249" s="86" t="s">
        <v>25</v>
      </c>
      <c r="E1249" s="78">
        <f>E1248</f>
        <v>6.6511680000000002</v>
      </c>
      <c r="F1249" s="65">
        <v>927</v>
      </c>
      <c r="G1249" s="65">
        <v>400</v>
      </c>
      <c r="H1249" s="65">
        <f t="shared" si="100"/>
        <v>1327</v>
      </c>
      <c r="I1249" s="79">
        <f t="shared" si="97"/>
        <v>6165.63</v>
      </c>
      <c r="J1249" s="79">
        <f t="shared" si="98"/>
        <v>2660.47</v>
      </c>
      <c r="K1249" s="79">
        <f t="shared" si="99"/>
        <v>8826.1</v>
      </c>
      <c r="L1249" s="121"/>
    </row>
    <row r="1250" spans="2:12" x14ac:dyDescent="0.35">
      <c r="B1250" s="111">
        <f t="shared" si="96"/>
        <v>1240</v>
      </c>
      <c r="C1250" s="64" t="s">
        <v>93</v>
      </c>
      <c r="D1250" s="86" t="s">
        <v>32</v>
      </c>
      <c r="E1250" s="87">
        <v>2</v>
      </c>
      <c r="F1250" s="65"/>
      <c r="G1250" s="123"/>
      <c r="H1250" s="65">
        <f t="shared" si="100"/>
        <v>0</v>
      </c>
      <c r="I1250" s="79">
        <f t="shared" si="97"/>
        <v>0</v>
      </c>
      <c r="J1250" s="79">
        <f t="shared" si="98"/>
        <v>0</v>
      </c>
      <c r="K1250" s="79">
        <f t="shared" si="99"/>
        <v>0</v>
      </c>
      <c r="L1250" s="121"/>
    </row>
    <row r="1251" spans="2:12" x14ac:dyDescent="0.35">
      <c r="B1251" s="111">
        <f t="shared" si="96"/>
        <v>1241</v>
      </c>
      <c r="C1251" s="88" t="s">
        <v>94</v>
      </c>
      <c r="D1251" s="89" t="s">
        <v>31</v>
      </c>
      <c r="E1251" s="87">
        <f>0.82*E1250</f>
        <v>1.64</v>
      </c>
      <c r="F1251" s="68">
        <v>71</v>
      </c>
      <c r="G1251" s="65">
        <v>97.61</v>
      </c>
      <c r="H1251" s="65">
        <f t="shared" si="100"/>
        <v>168.61</v>
      </c>
      <c r="I1251" s="79">
        <f t="shared" si="97"/>
        <v>116.44</v>
      </c>
      <c r="J1251" s="79">
        <f t="shared" si="98"/>
        <v>160.08000000000001</v>
      </c>
      <c r="K1251" s="79">
        <f t="shared" si="99"/>
        <v>276.52</v>
      </c>
      <c r="L1251" s="121"/>
    </row>
    <row r="1252" spans="2:12" ht="31" x14ac:dyDescent="0.35">
      <c r="B1252" s="111">
        <f t="shared" si="96"/>
        <v>1242</v>
      </c>
      <c r="C1252" s="64" t="s">
        <v>153</v>
      </c>
      <c r="D1252" s="86" t="s">
        <v>32</v>
      </c>
      <c r="E1252" s="87">
        <v>2</v>
      </c>
      <c r="F1252" s="65"/>
      <c r="G1252" s="65">
        <v>1464</v>
      </c>
      <c r="H1252" s="65">
        <f t="shared" si="100"/>
        <v>1464</v>
      </c>
      <c r="I1252" s="79">
        <f t="shared" si="97"/>
        <v>0</v>
      </c>
      <c r="J1252" s="79">
        <f t="shared" si="98"/>
        <v>2928</v>
      </c>
      <c r="K1252" s="79">
        <f t="shared" si="99"/>
        <v>2928</v>
      </c>
      <c r="L1252" s="121"/>
    </row>
    <row r="1253" spans="2:12" ht="33" x14ac:dyDescent="0.35">
      <c r="B1253" s="111">
        <f t="shared" si="96"/>
        <v>1243</v>
      </c>
      <c r="C1253" s="64" t="s">
        <v>362</v>
      </c>
      <c r="D1253" s="86" t="s">
        <v>26</v>
      </c>
      <c r="E1253" s="87">
        <f>5.16-1.86</f>
        <v>3.3</v>
      </c>
      <c r="F1253" s="65"/>
      <c r="G1253" s="65">
        <v>439</v>
      </c>
      <c r="H1253" s="65">
        <f t="shared" si="100"/>
        <v>439</v>
      </c>
      <c r="I1253" s="79">
        <f t="shared" si="97"/>
        <v>0</v>
      </c>
      <c r="J1253" s="79">
        <f t="shared" si="98"/>
        <v>1448.7</v>
      </c>
      <c r="K1253" s="79">
        <f t="shared" si="99"/>
        <v>1448.7</v>
      </c>
      <c r="L1253" s="121"/>
    </row>
    <row r="1254" spans="2:12" ht="30" x14ac:dyDescent="0.35">
      <c r="B1254" s="111">
        <f t="shared" si="96"/>
        <v>1244</v>
      </c>
      <c r="C1254" s="98" t="s">
        <v>253</v>
      </c>
      <c r="D1254" s="99" t="s">
        <v>27</v>
      </c>
      <c r="E1254" s="100">
        <v>9.1</v>
      </c>
      <c r="F1254" s="101"/>
      <c r="G1254" s="106"/>
      <c r="H1254" s="101">
        <f t="shared" si="100"/>
        <v>0</v>
      </c>
      <c r="I1254" s="101">
        <f t="shared" si="97"/>
        <v>0</v>
      </c>
      <c r="J1254" s="101">
        <f t="shared" si="98"/>
        <v>0</v>
      </c>
      <c r="K1254" s="101">
        <f t="shared" si="99"/>
        <v>0</v>
      </c>
      <c r="L1254" s="121"/>
    </row>
    <row r="1255" spans="2:12" ht="31" x14ac:dyDescent="0.35">
      <c r="B1255" s="111">
        <f t="shared" si="96"/>
        <v>1245</v>
      </c>
      <c r="C1255" s="64" t="s">
        <v>348</v>
      </c>
      <c r="D1255" s="77" t="s">
        <v>26</v>
      </c>
      <c r="E1255" s="78">
        <f>0.97*12.07</f>
        <v>11.7079</v>
      </c>
      <c r="F1255" s="65"/>
      <c r="G1255" s="65">
        <v>300</v>
      </c>
      <c r="H1255" s="65">
        <f t="shared" si="100"/>
        <v>300</v>
      </c>
      <c r="I1255" s="79">
        <f t="shared" si="97"/>
        <v>0</v>
      </c>
      <c r="J1255" s="79">
        <f t="shared" si="98"/>
        <v>3512.37</v>
      </c>
      <c r="K1255" s="79">
        <f t="shared" si="99"/>
        <v>3512.37</v>
      </c>
      <c r="L1255" s="121"/>
    </row>
    <row r="1256" spans="2:12" x14ac:dyDescent="0.35">
      <c r="B1256" s="111">
        <f t="shared" si="96"/>
        <v>1246</v>
      </c>
      <c r="C1256" s="64" t="s">
        <v>19</v>
      </c>
      <c r="D1256" s="77" t="s">
        <v>26</v>
      </c>
      <c r="E1256" s="78">
        <f>E1255/97*3</f>
        <v>0.36209999999999998</v>
      </c>
      <c r="F1256" s="65"/>
      <c r="G1256" s="65">
        <v>1500</v>
      </c>
      <c r="H1256" s="65">
        <f t="shared" si="100"/>
        <v>1500</v>
      </c>
      <c r="I1256" s="79">
        <f t="shared" si="97"/>
        <v>0</v>
      </c>
      <c r="J1256" s="79">
        <f t="shared" si="98"/>
        <v>543.15</v>
      </c>
      <c r="K1256" s="79">
        <f t="shared" si="99"/>
        <v>543.15</v>
      </c>
      <c r="L1256" s="121"/>
    </row>
    <row r="1257" spans="2:12" x14ac:dyDescent="0.35">
      <c r="B1257" s="111">
        <f t="shared" si="96"/>
        <v>1247</v>
      </c>
      <c r="C1257" s="64" t="s">
        <v>184</v>
      </c>
      <c r="D1257" s="77" t="s">
        <v>25</v>
      </c>
      <c r="E1257" s="78">
        <f>E1254*0.75</f>
        <v>6.8249999999999993</v>
      </c>
      <c r="F1257" s="65"/>
      <c r="G1257" s="123"/>
      <c r="H1257" s="65">
        <f t="shared" si="100"/>
        <v>0</v>
      </c>
      <c r="I1257" s="79">
        <f t="shared" si="97"/>
        <v>0</v>
      </c>
      <c r="J1257" s="79">
        <f t="shared" si="98"/>
        <v>0</v>
      </c>
      <c r="K1257" s="79">
        <f t="shared" si="99"/>
        <v>0</v>
      </c>
      <c r="L1257" s="121"/>
    </row>
    <row r="1258" spans="2:12" ht="31" x14ac:dyDescent="0.35">
      <c r="B1258" s="111">
        <f t="shared" si="96"/>
        <v>1248</v>
      </c>
      <c r="C1258" s="64" t="s">
        <v>194</v>
      </c>
      <c r="D1258" s="77" t="s">
        <v>25</v>
      </c>
      <c r="E1258" s="78">
        <f>E1254*0.48</f>
        <v>4.3679999999999994</v>
      </c>
      <c r="F1258" s="65">
        <f>1973*0.15</f>
        <v>295.95</v>
      </c>
      <c r="G1258" s="65">
        <f>1500*0.15</f>
        <v>225</v>
      </c>
      <c r="H1258" s="65">
        <f t="shared" si="100"/>
        <v>520.95000000000005</v>
      </c>
      <c r="I1258" s="79">
        <f t="shared" si="97"/>
        <v>1292.71</v>
      </c>
      <c r="J1258" s="79">
        <f t="shared" si="98"/>
        <v>982.8</v>
      </c>
      <c r="K1258" s="79">
        <f t="shared" si="99"/>
        <v>2275.5100000000002</v>
      </c>
      <c r="L1258" s="121"/>
    </row>
    <row r="1259" spans="2:12" x14ac:dyDescent="0.35">
      <c r="B1259" s="111">
        <f t="shared" si="96"/>
        <v>1249</v>
      </c>
      <c r="C1259" s="64" t="s">
        <v>20</v>
      </c>
      <c r="D1259" s="77" t="s">
        <v>26</v>
      </c>
      <c r="E1259" s="78">
        <f>0.34*E1254*0.1</f>
        <v>0.30940000000000006</v>
      </c>
      <c r="F1259" s="65"/>
      <c r="G1259" s="65">
        <v>5860</v>
      </c>
      <c r="H1259" s="65">
        <f t="shared" si="100"/>
        <v>5860</v>
      </c>
      <c r="I1259" s="79">
        <f t="shared" si="97"/>
        <v>0</v>
      </c>
      <c r="J1259" s="79">
        <f t="shared" si="98"/>
        <v>1813.08</v>
      </c>
      <c r="K1259" s="79">
        <f t="shared" si="99"/>
        <v>1813.08</v>
      </c>
      <c r="L1259" s="121"/>
    </row>
    <row r="1260" spans="2:12" x14ac:dyDescent="0.35">
      <c r="B1260" s="111">
        <f t="shared" si="96"/>
        <v>1250</v>
      </c>
      <c r="C1260" s="80" t="s">
        <v>159</v>
      </c>
      <c r="D1260" s="77" t="s">
        <v>26</v>
      </c>
      <c r="E1260" s="78">
        <f>E1259*1.02</f>
        <v>0.31558800000000009</v>
      </c>
      <c r="F1260" s="65">
        <v>6700</v>
      </c>
      <c r="G1260" s="123"/>
      <c r="H1260" s="65">
        <f t="shared" si="100"/>
        <v>6700</v>
      </c>
      <c r="I1260" s="79">
        <f t="shared" si="97"/>
        <v>2114.44</v>
      </c>
      <c r="J1260" s="79">
        <f t="shared" si="98"/>
        <v>0</v>
      </c>
      <c r="K1260" s="79">
        <f t="shared" si="99"/>
        <v>2114.44</v>
      </c>
      <c r="L1260" s="121"/>
    </row>
    <row r="1261" spans="2:12" x14ac:dyDescent="0.35">
      <c r="B1261" s="111">
        <f t="shared" si="96"/>
        <v>1251</v>
      </c>
      <c r="C1261" s="64" t="s">
        <v>28</v>
      </c>
      <c r="D1261" s="77" t="s">
        <v>26</v>
      </c>
      <c r="E1261" s="78">
        <f>E1254*0.8/10</f>
        <v>0.72799999999999998</v>
      </c>
      <c r="F1261" s="65"/>
      <c r="G1261" s="65">
        <v>5860</v>
      </c>
      <c r="H1261" s="65">
        <f t="shared" si="100"/>
        <v>5860</v>
      </c>
      <c r="I1261" s="79">
        <f t="shared" si="97"/>
        <v>0</v>
      </c>
      <c r="J1261" s="79">
        <f t="shared" si="98"/>
        <v>4266.08</v>
      </c>
      <c r="K1261" s="79">
        <f t="shared" si="99"/>
        <v>4266.08</v>
      </c>
      <c r="L1261" s="121"/>
    </row>
    <row r="1262" spans="2:12" x14ac:dyDescent="0.35">
      <c r="B1262" s="111">
        <f t="shared" si="96"/>
        <v>1252</v>
      </c>
      <c r="C1262" s="80" t="s">
        <v>29</v>
      </c>
      <c r="D1262" s="77" t="s">
        <v>26</v>
      </c>
      <c r="E1262" s="78">
        <f>E1261*1.02</f>
        <v>0.74256</v>
      </c>
      <c r="F1262" s="65">
        <v>7100</v>
      </c>
      <c r="G1262" s="123"/>
      <c r="H1262" s="65">
        <f t="shared" si="100"/>
        <v>7100</v>
      </c>
      <c r="I1262" s="79">
        <f t="shared" si="97"/>
        <v>5272.18</v>
      </c>
      <c r="J1262" s="79">
        <f t="shared" si="98"/>
        <v>0</v>
      </c>
      <c r="K1262" s="79">
        <f t="shared" si="99"/>
        <v>5272.18</v>
      </c>
      <c r="L1262" s="121"/>
    </row>
    <row r="1263" spans="2:12" x14ac:dyDescent="0.35">
      <c r="B1263" s="111">
        <f t="shared" si="96"/>
        <v>1253</v>
      </c>
      <c r="C1263" s="80" t="s">
        <v>30</v>
      </c>
      <c r="D1263" s="77" t="s">
        <v>31</v>
      </c>
      <c r="E1263" s="78">
        <f>E1254*1.22</f>
        <v>11.101999999999999</v>
      </c>
      <c r="F1263" s="65">
        <v>118.9</v>
      </c>
      <c r="G1263" s="123"/>
      <c r="H1263" s="65">
        <f t="shared" si="100"/>
        <v>118.9</v>
      </c>
      <c r="I1263" s="79">
        <f t="shared" si="97"/>
        <v>1320.03</v>
      </c>
      <c r="J1263" s="79">
        <f t="shared" si="98"/>
        <v>0</v>
      </c>
      <c r="K1263" s="79">
        <f t="shared" si="99"/>
        <v>1320.03</v>
      </c>
      <c r="L1263" s="121"/>
    </row>
    <row r="1264" spans="2:12" x14ac:dyDescent="0.35">
      <c r="B1264" s="111">
        <f t="shared" si="96"/>
        <v>1254</v>
      </c>
      <c r="C1264" s="64" t="s">
        <v>189</v>
      </c>
      <c r="D1264" s="77" t="s">
        <v>27</v>
      </c>
      <c r="E1264" s="78">
        <f>E1254</f>
        <v>9.1</v>
      </c>
      <c r="F1264" s="65"/>
      <c r="G1264" s="65">
        <v>2928</v>
      </c>
      <c r="H1264" s="65">
        <f t="shared" si="100"/>
        <v>2928</v>
      </c>
      <c r="I1264" s="79">
        <f t="shared" si="97"/>
        <v>0</v>
      </c>
      <c r="J1264" s="79">
        <f t="shared" si="98"/>
        <v>26644.799999999999</v>
      </c>
      <c r="K1264" s="79">
        <f t="shared" si="99"/>
        <v>26644.799999999999</v>
      </c>
      <c r="L1264" s="121"/>
    </row>
    <row r="1265" spans="2:12" ht="31" x14ac:dyDescent="0.35">
      <c r="B1265" s="111">
        <f t="shared" si="96"/>
        <v>1255</v>
      </c>
      <c r="C1265" s="80" t="s">
        <v>195</v>
      </c>
      <c r="D1265" s="77" t="s">
        <v>27</v>
      </c>
      <c r="E1265" s="78">
        <f>E1264*1.1</f>
        <v>10.01</v>
      </c>
      <c r="F1265" s="65">
        <v>855</v>
      </c>
      <c r="G1265" s="65"/>
      <c r="H1265" s="65">
        <f t="shared" si="100"/>
        <v>855</v>
      </c>
      <c r="I1265" s="79">
        <f t="shared" si="97"/>
        <v>8558.5499999999993</v>
      </c>
      <c r="J1265" s="79">
        <f t="shared" si="98"/>
        <v>0</v>
      </c>
      <c r="K1265" s="79">
        <f t="shared" si="99"/>
        <v>8558.5499999999993</v>
      </c>
      <c r="L1265" s="121"/>
    </row>
    <row r="1266" spans="2:12" ht="33" x14ac:dyDescent="0.35">
      <c r="B1266" s="111">
        <f t="shared" si="96"/>
        <v>1256</v>
      </c>
      <c r="C1266" s="64" t="s">
        <v>355</v>
      </c>
      <c r="D1266" s="81" t="s">
        <v>26</v>
      </c>
      <c r="E1266" s="78">
        <v>15</v>
      </c>
      <c r="F1266" s="65"/>
      <c r="G1266" s="65">
        <v>439</v>
      </c>
      <c r="H1266" s="65">
        <f t="shared" si="100"/>
        <v>439</v>
      </c>
      <c r="I1266" s="79">
        <f t="shared" si="97"/>
        <v>0</v>
      </c>
      <c r="J1266" s="79">
        <f t="shared" si="98"/>
        <v>6585</v>
      </c>
      <c r="K1266" s="79">
        <f t="shared" si="99"/>
        <v>6585</v>
      </c>
      <c r="L1266" s="121"/>
    </row>
    <row r="1267" spans="2:12" ht="23.4" customHeight="1" x14ac:dyDescent="0.35">
      <c r="B1267" s="111">
        <f t="shared" si="96"/>
        <v>1257</v>
      </c>
      <c r="C1267" s="98" t="s">
        <v>254</v>
      </c>
      <c r="D1267" s="103" t="s">
        <v>32</v>
      </c>
      <c r="E1267" s="100">
        <v>1</v>
      </c>
      <c r="F1267" s="101"/>
      <c r="G1267" s="106"/>
      <c r="H1267" s="101">
        <f t="shared" si="100"/>
        <v>0</v>
      </c>
      <c r="I1267" s="101">
        <f t="shared" si="97"/>
        <v>0</v>
      </c>
      <c r="J1267" s="101">
        <f t="shared" si="98"/>
        <v>0</v>
      </c>
      <c r="K1267" s="101">
        <f t="shared" si="99"/>
        <v>0</v>
      </c>
      <c r="L1267" s="121"/>
    </row>
    <row r="1268" spans="2:12" ht="31" x14ac:dyDescent="0.35">
      <c r="B1268" s="111">
        <f t="shared" si="96"/>
        <v>1258</v>
      </c>
      <c r="C1268" s="64" t="s">
        <v>348</v>
      </c>
      <c r="D1268" s="81" t="s">
        <v>26</v>
      </c>
      <c r="E1268" s="85">
        <f>7.91*0.97</f>
        <v>7.6726999999999999</v>
      </c>
      <c r="F1268" s="65"/>
      <c r="G1268" s="65">
        <v>300</v>
      </c>
      <c r="H1268" s="65">
        <f t="shared" si="100"/>
        <v>300</v>
      </c>
      <c r="I1268" s="79">
        <f t="shared" si="97"/>
        <v>0</v>
      </c>
      <c r="J1268" s="79">
        <f t="shared" si="98"/>
        <v>2301.81</v>
      </c>
      <c r="K1268" s="79">
        <f t="shared" si="99"/>
        <v>2301.81</v>
      </c>
      <c r="L1268" s="121"/>
    </row>
    <row r="1269" spans="2:12" x14ac:dyDescent="0.35">
      <c r="B1269" s="111">
        <f t="shared" si="96"/>
        <v>1259</v>
      </c>
      <c r="C1269" s="64" t="s">
        <v>19</v>
      </c>
      <c r="D1269" s="86" t="s">
        <v>26</v>
      </c>
      <c r="E1269" s="87">
        <f>E1268/9</f>
        <v>0.85252222222222218</v>
      </c>
      <c r="F1269" s="65"/>
      <c r="G1269" s="65">
        <v>1500</v>
      </c>
      <c r="H1269" s="65">
        <f t="shared" si="100"/>
        <v>1500</v>
      </c>
      <c r="I1269" s="79">
        <f t="shared" si="97"/>
        <v>0</v>
      </c>
      <c r="J1269" s="79">
        <f t="shared" si="98"/>
        <v>1278.78</v>
      </c>
      <c r="K1269" s="79">
        <f t="shared" si="99"/>
        <v>1278.78</v>
      </c>
      <c r="L1269" s="121"/>
    </row>
    <row r="1270" spans="2:12" x14ac:dyDescent="0.35">
      <c r="B1270" s="111">
        <f t="shared" si="96"/>
        <v>1260</v>
      </c>
      <c r="C1270" s="64" t="s">
        <v>67</v>
      </c>
      <c r="D1270" s="86" t="s">
        <v>25</v>
      </c>
      <c r="E1270" s="87">
        <v>4.5199999999999996</v>
      </c>
      <c r="F1270" s="65"/>
      <c r="G1270" s="123"/>
      <c r="H1270" s="65">
        <f t="shared" si="100"/>
        <v>0</v>
      </c>
      <c r="I1270" s="79">
        <f t="shared" si="97"/>
        <v>0</v>
      </c>
      <c r="J1270" s="79">
        <f t="shared" si="98"/>
        <v>0</v>
      </c>
      <c r="K1270" s="79">
        <f t="shared" si="99"/>
        <v>0</v>
      </c>
      <c r="L1270" s="121"/>
    </row>
    <row r="1271" spans="2:12" x14ac:dyDescent="0.35">
      <c r="B1271" s="111">
        <f t="shared" si="96"/>
        <v>1261</v>
      </c>
      <c r="C1271" s="64" t="s">
        <v>68</v>
      </c>
      <c r="D1271" s="86" t="s">
        <v>26</v>
      </c>
      <c r="E1271" s="87">
        <v>0.38</v>
      </c>
      <c r="F1271" s="65"/>
      <c r="G1271" s="65">
        <v>5860</v>
      </c>
      <c r="H1271" s="65">
        <f t="shared" si="100"/>
        <v>5860</v>
      </c>
      <c r="I1271" s="79">
        <f t="shared" si="97"/>
        <v>0</v>
      </c>
      <c r="J1271" s="79">
        <f t="shared" si="98"/>
        <v>2226.8000000000002</v>
      </c>
      <c r="K1271" s="79">
        <f t="shared" si="99"/>
        <v>2226.8000000000002</v>
      </c>
      <c r="L1271" s="121"/>
    </row>
    <row r="1272" spans="2:12" x14ac:dyDescent="0.35">
      <c r="B1272" s="111">
        <f t="shared" si="96"/>
        <v>1262</v>
      </c>
      <c r="C1272" s="80" t="s">
        <v>159</v>
      </c>
      <c r="D1272" s="86" t="s">
        <v>26</v>
      </c>
      <c r="E1272" s="87">
        <v>0.39</v>
      </c>
      <c r="F1272" s="65">
        <v>6700</v>
      </c>
      <c r="G1272" s="123"/>
      <c r="H1272" s="65">
        <f t="shared" si="100"/>
        <v>6700</v>
      </c>
      <c r="I1272" s="79">
        <f t="shared" si="97"/>
        <v>2613</v>
      </c>
      <c r="J1272" s="79">
        <f t="shared" si="98"/>
        <v>0</v>
      </c>
      <c r="K1272" s="79">
        <f t="shared" si="99"/>
        <v>2613</v>
      </c>
      <c r="L1272" s="121"/>
    </row>
    <row r="1273" spans="2:12" x14ac:dyDescent="0.35">
      <c r="B1273" s="111">
        <f t="shared" si="96"/>
        <v>1263</v>
      </c>
      <c r="C1273" s="64" t="s">
        <v>151</v>
      </c>
      <c r="D1273" s="86" t="s">
        <v>25</v>
      </c>
      <c r="E1273" s="87">
        <v>3.14</v>
      </c>
      <c r="F1273" s="65">
        <v>68.5</v>
      </c>
      <c r="G1273" s="65">
        <v>150</v>
      </c>
      <c r="H1273" s="65">
        <f t="shared" si="100"/>
        <v>218.5</v>
      </c>
      <c r="I1273" s="79">
        <f t="shared" si="97"/>
        <v>215.09</v>
      </c>
      <c r="J1273" s="79">
        <f t="shared" si="98"/>
        <v>471</v>
      </c>
      <c r="K1273" s="79">
        <f t="shared" si="99"/>
        <v>686.09</v>
      </c>
      <c r="L1273" s="121"/>
    </row>
    <row r="1274" spans="2:12" ht="31" x14ac:dyDescent="0.35">
      <c r="B1274" s="111">
        <f t="shared" si="96"/>
        <v>1264</v>
      </c>
      <c r="C1274" s="64" t="s">
        <v>152</v>
      </c>
      <c r="D1274" s="86" t="s">
        <v>25</v>
      </c>
      <c r="E1274" s="87">
        <v>3.14</v>
      </c>
      <c r="F1274" s="65">
        <v>927</v>
      </c>
      <c r="G1274" s="65">
        <v>400</v>
      </c>
      <c r="H1274" s="65">
        <f t="shared" si="100"/>
        <v>1327</v>
      </c>
      <c r="I1274" s="79">
        <f t="shared" si="97"/>
        <v>2910.78</v>
      </c>
      <c r="J1274" s="79">
        <f t="shared" si="98"/>
        <v>1256</v>
      </c>
      <c r="K1274" s="79">
        <f t="shared" si="99"/>
        <v>4166.7800000000007</v>
      </c>
      <c r="L1274" s="121"/>
    </row>
    <row r="1275" spans="2:12" ht="31" x14ac:dyDescent="0.35">
      <c r="B1275" s="111">
        <f t="shared" si="96"/>
        <v>1265</v>
      </c>
      <c r="C1275" s="64" t="s">
        <v>107</v>
      </c>
      <c r="D1275" s="86" t="s">
        <v>32</v>
      </c>
      <c r="E1275" s="87">
        <v>1</v>
      </c>
      <c r="F1275" s="65"/>
      <c r="G1275" s="65">
        <v>5662</v>
      </c>
      <c r="H1275" s="65">
        <f t="shared" si="100"/>
        <v>5662</v>
      </c>
      <c r="I1275" s="79">
        <f t="shared" si="97"/>
        <v>0</v>
      </c>
      <c r="J1275" s="79">
        <f t="shared" si="98"/>
        <v>5662</v>
      </c>
      <c r="K1275" s="79">
        <f t="shared" si="99"/>
        <v>5662</v>
      </c>
      <c r="L1275" s="121"/>
    </row>
    <row r="1276" spans="2:12" x14ac:dyDescent="0.35">
      <c r="B1276" s="111">
        <f t="shared" si="96"/>
        <v>1266</v>
      </c>
      <c r="C1276" s="88" t="s">
        <v>108</v>
      </c>
      <c r="D1276" s="89" t="s">
        <v>32</v>
      </c>
      <c r="E1276" s="87">
        <v>1</v>
      </c>
      <c r="F1276" s="65">
        <f>6000*1.2</f>
        <v>7200</v>
      </c>
      <c r="G1276" s="123"/>
      <c r="H1276" s="65">
        <f t="shared" si="100"/>
        <v>7200</v>
      </c>
      <c r="I1276" s="79">
        <f t="shared" si="97"/>
        <v>7200</v>
      </c>
      <c r="J1276" s="79">
        <f t="shared" si="98"/>
        <v>0</v>
      </c>
      <c r="K1276" s="79">
        <f t="shared" si="99"/>
        <v>7200</v>
      </c>
      <c r="L1276" s="121"/>
    </row>
    <row r="1277" spans="2:12" x14ac:dyDescent="0.35">
      <c r="B1277" s="111">
        <f t="shared" si="96"/>
        <v>1267</v>
      </c>
      <c r="C1277" s="88" t="s">
        <v>101</v>
      </c>
      <c r="D1277" s="89" t="s">
        <v>26</v>
      </c>
      <c r="E1277" s="87">
        <v>0.06</v>
      </c>
      <c r="F1277" s="65">
        <v>7300</v>
      </c>
      <c r="G1277" s="123"/>
      <c r="H1277" s="65">
        <f t="shared" si="100"/>
        <v>7300</v>
      </c>
      <c r="I1277" s="79">
        <f t="shared" si="97"/>
        <v>438</v>
      </c>
      <c r="J1277" s="79">
        <f t="shared" si="98"/>
        <v>0</v>
      </c>
      <c r="K1277" s="79">
        <f t="shared" si="99"/>
        <v>438</v>
      </c>
      <c r="L1277" s="121"/>
    </row>
    <row r="1278" spans="2:12" ht="31" x14ac:dyDescent="0.35">
      <c r="B1278" s="111">
        <f t="shared" si="96"/>
        <v>1268</v>
      </c>
      <c r="C1278" s="64" t="s">
        <v>179</v>
      </c>
      <c r="D1278" s="86" t="s">
        <v>26</v>
      </c>
      <c r="E1278" s="87">
        <v>1.2</v>
      </c>
      <c r="F1278" s="65"/>
      <c r="G1278" s="65">
        <v>5860</v>
      </c>
      <c r="H1278" s="65">
        <f t="shared" si="100"/>
        <v>5860</v>
      </c>
      <c r="I1278" s="79">
        <f t="shared" si="97"/>
        <v>0</v>
      </c>
      <c r="J1278" s="79">
        <f t="shared" si="98"/>
        <v>7032</v>
      </c>
      <c r="K1278" s="79">
        <f t="shared" si="99"/>
        <v>7032</v>
      </c>
      <c r="L1278" s="121"/>
    </row>
    <row r="1279" spans="2:12" x14ac:dyDescent="0.35">
      <c r="B1279" s="111">
        <f t="shared" si="96"/>
        <v>1269</v>
      </c>
      <c r="C1279" s="88" t="s">
        <v>75</v>
      </c>
      <c r="D1279" s="89" t="s">
        <v>26</v>
      </c>
      <c r="E1279" s="87">
        <v>1.22</v>
      </c>
      <c r="F1279" s="65">
        <v>7100</v>
      </c>
      <c r="G1279" s="123"/>
      <c r="H1279" s="65">
        <f t="shared" si="100"/>
        <v>7100</v>
      </c>
      <c r="I1279" s="79">
        <f t="shared" si="97"/>
        <v>8662</v>
      </c>
      <c r="J1279" s="79">
        <f t="shared" si="98"/>
        <v>0</v>
      </c>
      <c r="K1279" s="79">
        <f t="shared" si="99"/>
        <v>8662</v>
      </c>
      <c r="L1279" s="121"/>
    </row>
    <row r="1280" spans="2:12" ht="31" x14ac:dyDescent="0.35">
      <c r="B1280" s="111">
        <f t="shared" si="96"/>
        <v>1270</v>
      </c>
      <c r="C1280" s="64" t="s">
        <v>78</v>
      </c>
      <c r="D1280" s="86" t="s">
        <v>32</v>
      </c>
      <c r="E1280" s="87">
        <v>3</v>
      </c>
      <c r="F1280" s="65"/>
      <c r="G1280" s="65">
        <v>5662</v>
      </c>
      <c r="H1280" s="65">
        <f t="shared" si="100"/>
        <v>5662</v>
      </c>
      <c r="I1280" s="79">
        <f t="shared" si="97"/>
        <v>0</v>
      </c>
      <c r="J1280" s="79">
        <f t="shared" si="98"/>
        <v>16986</v>
      </c>
      <c r="K1280" s="79">
        <f t="shared" si="99"/>
        <v>16986</v>
      </c>
      <c r="L1280" s="121"/>
    </row>
    <row r="1281" spans="2:12" x14ac:dyDescent="0.35">
      <c r="B1281" s="111">
        <f t="shared" si="96"/>
        <v>1271</v>
      </c>
      <c r="C1281" s="88" t="s">
        <v>110</v>
      </c>
      <c r="D1281" s="89" t="s">
        <v>32</v>
      </c>
      <c r="E1281" s="87">
        <v>2</v>
      </c>
      <c r="F1281" s="65">
        <f>4500*1.2</f>
        <v>5400</v>
      </c>
      <c r="G1281" s="123"/>
      <c r="H1281" s="65">
        <f t="shared" si="100"/>
        <v>5400</v>
      </c>
      <c r="I1281" s="79">
        <f t="shared" si="97"/>
        <v>10800</v>
      </c>
      <c r="J1281" s="79">
        <f t="shared" si="98"/>
        <v>0</v>
      </c>
      <c r="K1281" s="79">
        <f t="shared" si="99"/>
        <v>10800</v>
      </c>
      <c r="L1281" s="121"/>
    </row>
    <row r="1282" spans="2:12" x14ac:dyDescent="0.35">
      <c r="B1282" s="111">
        <f t="shared" si="96"/>
        <v>1272</v>
      </c>
      <c r="C1282" s="88" t="s">
        <v>109</v>
      </c>
      <c r="D1282" s="89" t="s">
        <v>32</v>
      </c>
      <c r="E1282" s="87">
        <v>1</v>
      </c>
      <c r="F1282" s="65">
        <f>6000*1.2</f>
        <v>7200</v>
      </c>
      <c r="G1282" s="123"/>
      <c r="H1282" s="65">
        <f t="shared" si="100"/>
        <v>7200</v>
      </c>
      <c r="I1282" s="79">
        <f t="shared" si="97"/>
        <v>7200</v>
      </c>
      <c r="J1282" s="79">
        <f t="shared" si="98"/>
        <v>0</v>
      </c>
      <c r="K1282" s="79">
        <f t="shared" si="99"/>
        <v>7200</v>
      </c>
      <c r="L1282" s="121"/>
    </row>
    <row r="1283" spans="2:12" x14ac:dyDescent="0.35">
      <c r="B1283" s="111">
        <f t="shared" si="96"/>
        <v>1273</v>
      </c>
      <c r="C1283" s="88" t="s">
        <v>98</v>
      </c>
      <c r="D1283" s="89" t="s">
        <v>32</v>
      </c>
      <c r="E1283" s="87">
        <v>2</v>
      </c>
      <c r="F1283" s="65">
        <f>700*1.2</f>
        <v>840</v>
      </c>
      <c r="G1283" s="123"/>
      <c r="H1283" s="65">
        <f t="shared" si="100"/>
        <v>840</v>
      </c>
      <c r="I1283" s="79">
        <f t="shared" si="97"/>
        <v>1680</v>
      </c>
      <c r="J1283" s="79">
        <f t="shared" si="98"/>
        <v>0</v>
      </c>
      <c r="K1283" s="79">
        <f t="shared" si="99"/>
        <v>1680</v>
      </c>
      <c r="L1283" s="121"/>
    </row>
    <row r="1284" spans="2:12" ht="31" x14ac:dyDescent="0.35">
      <c r="B1284" s="111">
        <f t="shared" si="96"/>
        <v>1274</v>
      </c>
      <c r="C1284" s="64" t="s">
        <v>85</v>
      </c>
      <c r="D1284" s="86" t="s">
        <v>32</v>
      </c>
      <c r="E1284" s="87">
        <v>1</v>
      </c>
      <c r="F1284" s="65"/>
      <c r="G1284" s="65">
        <v>2500</v>
      </c>
      <c r="H1284" s="65">
        <f t="shared" si="100"/>
        <v>2500</v>
      </c>
      <c r="I1284" s="79">
        <f t="shared" si="97"/>
        <v>0</v>
      </c>
      <c r="J1284" s="79">
        <f t="shared" si="98"/>
        <v>2500</v>
      </c>
      <c r="K1284" s="79">
        <f t="shared" si="99"/>
        <v>2500</v>
      </c>
      <c r="L1284" s="121"/>
    </row>
    <row r="1285" spans="2:12" x14ac:dyDescent="0.35">
      <c r="B1285" s="111">
        <f t="shared" si="96"/>
        <v>1275</v>
      </c>
      <c r="C1285" s="88" t="s">
        <v>154</v>
      </c>
      <c r="D1285" s="89" t="s">
        <v>32</v>
      </c>
      <c r="E1285" s="87">
        <v>1</v>
      </c>
      <c r="F1285" s="65">
        <f>5500*1.2</f>
        <v>6600</v>
      </c>
      <c r="G1285" s="123"/>
      <c r="H1285" s="65">
        <f t="shared" si="100"/>
        <v>6600</v>
      </c>
      <c r="I1285" s="79">
        <f t="shared" si="97"/>
        <v>6600</v>
      </c>
      <c r="J1285" s="79">
        <f t="shared" si="98"/>
        <v>0</v>
      </c>
      <c r="K1285" s="79">
        <f t="shared" si="99"/>
        <v>6600</v>
      </c>
      <c r="L1285" s="121"/>
    </row>
    <row r="1286" spans="2:12" ht="31" x14ac:dyDescent="0.35">
      <c r="B1286" s="111">
        <f t="shared" si="96"/>
        <v>1276</v>
      </c>
      <c r="C1286" s="64" t="s">
        <v>316</v>
      </c>
      <c r="D1286" s="86" t="s">
        <v>32</v>
      </c>
      <c r="E1286" s="87">
        <v>1</v>
      </c>
      <c r="F1286" s="65"/>
      <c r="G1286" s="65"/>
      <c r="H1286" s="65">
        <f t="shared" si="100"/>
        <v>0</v>
      </c>
      <c r="I1286" s="79">
        <f t="shared" si="97"/>
        <v>0</v>
      </c>
      <c r="J1286" s="79">
        <f t="shared" si="98"/>
        <v>0</v>
      </c>
      <c r="K1286" s="79">
        <f t="shared" si="99"/>
        <v>0</v>
      </c>
      <c r="L1286" s="121"/>
    </row>
    <row r="1287" spans="2:12" x14ac:dyDescent="0.35">
      <c r="B1287" s="111">
        <f t="shared" si="96"/>
        <v>1277</v>
      </c>
      <c r="C1287" s="88" t="s">
        <v>84</v>
      </c>
      <c r="D1287" s="89" t="s">
        <v>32</v>
      </c>
      <c r="E1287" s="87">
        <v>1</v>
      </c>
      <c r="F1287" s="65">
        <v>1300</v>
      </c>
      <c r="G1287" s="65">
        <v>990</v>
      </c>
      <c r="H1287" s="65">
        <f t="shared" si="100"/>
        <v>2290</v>
      </c>
      <c r="I1287" s="79">
        <f t="shared" si="97"/>
        <v>1300</v>
      </c>
      <c r="J1287" s="79">
        <f t="shared" si="98"/>
        <v>990</v>
      </c>
      <c r="K1287" s="79">
        <f t="shared" si="99"/>
        <v>2290</v>
      </c>
      <c r="L1287" s="121"/>
    </row>
    <row r="1288" spans="2:12" x14ac:dyDescent="0.35">
      <c r="B1288" s="111">
        <f t="shared" si="96"/>
        <v>1278</v>
      </c>
      <c r="C1288" s="80" t="s">
        <v>301</v>
      </c>
      <c r="D1288" s="86" t="s">
        <v>32</v>
      </c>
      <c r="E1288" s="87">
        <v>1</v>
      </c>
      <c r="F1288" s="65">
        <v>6000</v>
      </c>
      <c r="G1288" s="65">
        <v>1464.09</v>
      </c>
      <c r="H1288" s="65">
        <f t="shared" si="100"/>
        <v>7464.09</v>
      </c>
      <c r="I1288" s="79">
        <f t="shared" si="97"/>
        <v>6000</v>
      </c>
      <c r="J1288" s="79">
        <f t="shared" si="98"/>
        <v>1464.09</v>
      </c>
      <c r="K1288" s="79">
        <f t="shared" si="99"/>
        <v>7464.09</v>
      </c>
      <c r="L1288" s="121"/>
    </row>
    <row r="1289" spans="2:12" ht="31" x14ac:dyDescent="0.35">
      <c r="B1289" s="111">
        <f t="shared" si="96"/>
        <v>1279</v>
      </c>
      <c r="C1289" s="64" t="s">
        <v>156</v>
      </c>
      <c r="D1289" s="86" t="s">
        <v>25</v>
      </c>
      <c r="E1289" s="78">
        <f>(3.14*1.68)*2.91+2.22</f>
        <v>17.570831999999999</v>
      </c>
      <c r="F1289" s="65">
        <v>68.5</v>
      </c>
      <c r="G1289" s="65">
        <v>150</v>
      </c>
      <c r="H1289" s="65">
        <f t="shared" si="100"/>
        <v>218.5</v>
      </c>
      <c r="I1289" s="79">
        <f t="shared" si="97"/>
        <v>1203.5999999999999</v>
      </c>
      <c r="J1289" s="79">
        <f t="shared" si="98"/>
        <v>2635.62</v>
      </c>
      <c r="K1289" s="79">
        <f t="shared" si="99"/>
        <v>3839.22</v>
      </c>
      <c r="L1289" s="121"/>
    </row>
    <row r="1290" spans="2:12" ht="46.5" x14ac:dyDescent="0.35">
      <c r="B1290" s="111">
        <f t="shared" si="96"/>
        <v>1280</v>
      </c>
      <c r="C1290" s="64" t="s">
        <v>157</v>
      </c>
      <c r="D1290" s="86" t="s">
        <v>25</v>
      </c>
      <c r="E1290" s="87">
        <f>E1289</f>
        <v>17.570831999999999</v>
      </c>
      <c r="F1290" s="65">
        <v>927</v>
      </c>
      <c r="G1290" s="65">
        <v>400</v>
      </c>
      <c r="H1290" s="65">
        <f t="shared" si="100"/>
        <v>1327</v>
      </c>
      <c r="I1290" s="79">
        <f t="shared" si="97"/>
        <v>16288.16</v>
      </c>
      <c r="J1290" s="79">
        <f t="shared" si="98"/>
        <v>7028.33</v>
      </c>
      <c r="K1290" s="79">
        <f t="shared" si="99"/>
        <v>23316.489999999998</v>
      </c>
      <c r="L1290" s="121"/>
    </row>
    <row r="1291" spans="2:12" x14ac:dyDescent="0.35">
      <c r="B1291" s="111">
        <f t="shared" si="96"/>
        <v>1281</v>
      </c>
      <c r="C1291" s="64" t="s">
        <v>307</v>
      </c>
      <c r="D1291" s="86" t="s">
        <v>32</v>
      </c>
      <c r="E1291" s="87">
        <v>1</v>
      </c>
      <c r="F1291" s="65"/>
      <c r="G1291" s="123"/>
      <c r="H1291" s="65">
        <f t="shared" si="100"/>
        <v>0</v>
      </c>
      <c r="I1291" s="79">
        <f t="shared" si="97"/>
        <v>0</v>
      </c>
      <c r="J1291" s="79">
        <f t="shared" si="98"/>
        <v>0</v>
      </c>
      <c r="K1291" s="79">
        <f t="shared" si="99"/>
        <v>0</v>
      </c>
      <c r="L1291" s="121"/>
    </row>
    <row r="1292" spans="2:12" x14ac:dyDescent="0.35">
      <c r="B1292" s="111">
        <f t="shared" si="96"/>
        <v>1282</v>
      </c>
      <c r="C1292" s="88" t="s">
        <v>308</v>
      </c>
      <c r="D1292" s="89" t="s">
        <v>31</v>
      </c>
      <c r="E1292" s="87">
        <v>23.52</v>
      </c>
      <c r="F1292" s="68">
        <v>71</v>
      </c>
      <c r="G1292" s="65">
        <v>97.61</v>
      </c>
      <c r="H1292" s="65">
        <f t="shared" si="100"/>
        <v>168.61</v>
      </c>
      <c r="I1292" s="79">
        <f t="shared" si="97"/>
        <v>1669.92</v>
      </c>
      <c r="J1292" s="79">
        <f t="shared" si="98"/>
        <v>2295.79</v>
      </c>
      <c r="K1292" s="79">
        <f t="shared" si="99"/>
        <v>3965.71</v>
      </c>
      <c r="L1292" s="121"/>
    </row>
    <row r="1293" spans="2:12" x14ac:dyDescent="0.35">
      <c r="B1293" s="111">
        <f t="shared" ref="B1293:B1356" si="101">B1292+1</f>
        <v>1283</v>
      </c>
      <c r="C1293" s="64" t="s">
        <v>93</v>
      </c>
      <c r="D1293" s="86" t="s">
        <v>32</v>
      </c>
      <c r="E1293" s="87">
        <v>1</v>
      </c>
      <c r="F1293" s="65"/>
      <c r="G1293" s="123"/>
      <c r="H1293" s="65">
        <f t="shared" si="100"/>
        <v>0</v>
      </c>
      <c r="I1293" s="79">
        <f t="shared" ref="I1293:I1356" si="102">ROUND(F1293*E1293,2)</f>
        <v>0</v>
      </c>
      <c r="J1293" s="79">
        <f t="shared" ref="J1293:J1356" si="103">ROUND(G1293*E1293,2)</f>
        <v>0</v>
      </c>
      <c r="K1293" s="79">
        <f t="shared" ref="K1293:K1356" si="104">I1293+J1293</f>
        <v>0</v>
      </c>
      <c r="L1293" s="121"/>
    </row>
    <row r="1294" spans="2:12" x14ac:dyDescent="0.35">
      <c r="B1294" s="111">
        <f t="shared" si="101"/>
        <v>1284</v>
      </c>
      <c r="C1294" s="88" t="s">
        <v>94</v>
      </c>
      <c r="D1294" s="89" t="s">
        <v>31</v>
      </c>
      <c r="E1294" s="87">
        <v>0.82</v>
      </c>
      <c r="F1294" s="68">
        <v>71</v>
      </c>
      <c r="G1294" s="65">
        <v>97.61</v>
      </c>
      <c r="H1294" s="65">
        <f t="shared" si="100"/>
        <v>168.61</v>
      </c>
      <c r="I1294" s="79">
        <f t="shared" si="102"/>
        <v>58.22</v>
      </c>
      <c r="J1294" s="79">
        <f t="shared" si="103"/>
        <v>80.040000000000006</v>
      </c>
      <c r="K1294" s="79">
        <f t="shared" si="104"/>
        <v>138.26</v>
      </c>
      <c r="L1294" s="121"/>
    </row>
    <row r="1295" spans="2:12" ht="31" x14ac:dyDescent="0.35">
      <c r="B1295" s="111">
        <f t="shared" si="101"/>
        <v>1285</v>
      </c>
      <c r="C1295" s="64" t="s">
        <v>153</v>
      </c>
      <c r="D1295" s="86" t="s">
        <v>32</v>
      </c>
      <c r="E1295" s="87">
        <v>3</v>
      </c>
      <c r="F1295" s="65"/>
      <c r="G1295" s="65">
        <v>1464</v>
      </c>
      <c r="H1295" s="65">
        <f t="shared" ref="H1295:H1358" si="105">F1295+G1295</f>
        <v>1464</v>
      </c>
      <c r="I1295" s="79">
        <f t="shared" si="102"/>
        <v>0</v>
      </c>
      <c r="J1295" s="79">
        <f t="shared" si="103"/>
        <v>4392</v>
      </c>
      <c r="K1295" s="79">
        <f t="shared" si="104"/>
        <v>4392</v>
      </c>
      <c r="L1295" s="121"/>
    </row>
    <row r="1296" spans="2:12" x14ac:dyDescent="0.35">
      <c r="B1296" s="111">
        <f t="shared" si="101"/>
        <v>1286</v>
      </c>
      <c r="C1296" s="64" t="s">
        <v>329</v>
      </c>
      <c r="D1296" s="86"/>
      <c r="E1296" s="87"/>
      <c r="F1296" s="65"/>
      <c r="G1296" s="123"/>
      <c r="H1296" s="65">
        <f t="shared" si="105"/>
        <v>0</v>
      </c>
      <c r="I1296" s="79">
        <f t="shared" si="102"/>
        <v>0</v>
      </c>
      <c r="J1296" s="79">
        <f t="shared" si="103"/>
        <v>0</v>
      </c>
      <c r="K1296" s="79">
        <f t="shared" si="104"/>
        <v>0</v>
      </c>
      <c r="L1296" s="121">
        <v>1</v>
      </c>
    </row>
    <row r="1297" spans="2:12" ht="31" x14ac:dyDescent="0.35">
      <c r="B1297" s="111">
        <f t="shared" si="101"/>
        <v>1287</v>
      </c>
      <c r="C1297" s="80" t="s">
        <v>309</v>
      </c>
      <c r="D1297" s="86" t="s">
        <v>32</v>
      </c>
      <c r="E1297" s="87">
        <v>1</v>
      </c>
      <c r="F1297" s="65">
        <v>2263</v>
      </c>
      <c r="G1297" s="65">
        <v>1700</v>
      </c>
      <c r="H1297" s="65">
        <f t="shared" si="105"/>
        <v>3963</v>
      </c>
      <c r="I1297" s="79">
        <f t="shared" si="102"/>
        <v>2263</v>
      </c>
      <c r="J1297" s="79">
        <f t="shared" si="103"/>
        <v>1700</v>
      </c>
      <c r="K1297" s="79">
        <f t="shared" si="104"/>
        <v>3963</v>
      </c>
      <c r="L1297" s="121"/>
    </row>
    <row r="1298" spans="2:12" ht="31" x14ac:dyDescent="0.35">
      <c r="B1298" s="111">
        <f t="shared" si="101"/>
        <v>1288</v>
      </c>
      <c r="C1298" s="80" t="s">
        <v>310</v>
      </c>
      <c r="D1298" s="86" t="s">
        <v>32</v>
      </c>
      <c r="E1298" s="87">
        <v>1</v>
      </c>
      <c r="F1298" s="65">
        <v>1303</v>
      </c>
      <c r="G1298" s="65">
        <v>1700</v>
      </c>
      <c r="H1298" s="65">
        <f t="shared" si="105"/>
        <v>3003</v>
      </c>
      <c r="I1298" s="79">
        <f t="shared" si="102"/>
        <v>1303</v>
      </c>
      <c r="J1298" s="79">
        <f t="shared" si="103"/>
        <v>1700</v>
      </c>
      <c r="K1298" s="79">
        <f t="shared" si="104"/>
        <v>3003</v>
      </c>
      <c r="L1298" s="121"/>
    </row>
    <row r="1299" spans="2:12" ht="31" x14ac:dyDescent="0.35">
      <c r="B1299" s="111">
        <f t="shared" si="101"/>
        <v>1289</v>
      </c>
      <c r="C1299" s="80" t="s">
        <v>63</v>
      </c>
      <c r="D1299" s="86" t="s">
        <v>27</v>
      </c>
      <c r="E1299" s="87">
        <f>0.43*1.1</f>
        <v>0.47300000000000003</v>
      </c>
      <c r="F1299" s="65">
        <v>855</v>
      </c>
      <c r="G1299" s="65">
        <v>1700</v>
      </c>
      <c r="H1299" s="65">
        <f t="shared" si="105"/>
        <v>2555</v>
      </c>
      <c r="I1299" s="79">
        <f t="shared" si="102"/>
        <v>404.42</v>
      </c>
      <c r="J1299" s="79">
        <f t="shared" si="103"/>
        <v>804.1</v>
      </c>
      <c r="K1299" s="79">
        <f t="shared" si="104"/>
        <v>1208.52</v>
      </c>
      <c r="L1299" s="121"/>
    </row>
    <row r="1300" spans="2:12" ht="33" x14ac:dyDescent="0.35">
      <c r="B1300" s="111">
        <f t="shared" si="101"/>
        <v>1290</v>
      </c>
      <c r="C1300" s="64" t="s">
        <v>362</v>
      </c>
      <c r="D1300" s="86" t="s">
        <v>26</v>
      </c>
      <c r="E1300" s="87">
        <f>13.1-6.45</f>
        <v>6.6499999999999995</v>
      </c>
      <c r="F1300" s="65"/>
      <c r="G1300" s="65">
        <v>439</v>
      </c>
      <c r="H1300" s="65">
        <f t="shared" si="105"/>
        <v>439</v>
      </c>
      <c r="I1300" s="79">
        <f t="shared" si="102"/>
        <v>0</v>
      </c>
      <c r="J1300" s="79">
        <f t="shared" si="103"/>
        <v>2919.35</v>
      </c>
      <c r="K1300" s="79">
        <f t="shared" si="104"/>
        <v>2919.35</v>
      </c>
      <c r="L1300" s="121"/>
    </row>
    <row r="1301" spans="2:12" ht="30" x14ac:dyDescent="0.35">
      <c r="B1301" s="111">
        <f t="shared" si="101"/>
        <v>1291</v>
      </c>
      <c r="C1301" s="98" t="s">
        <v>256</v>
      </c>
      <c r="D1301" s="99" t="s">
        <v>27</v>
      </c>
      <c r="E1301" s="100">
        <v>1.7</v>
      </c>
      <c r="F1301" s="101"/>
      <c r="G1301" s="106"/>
      <c r="H1301" s="101">
        <f t="shared" si="105"/>
        <v>0</v>
      </c>
      <c r="I1301" s="101">
        <f t="shared" si="102"/>
        <v>0</v>
      </c>
      <c r="J1301" s="101">
        <f t="shared" si="103"/>
        <v>0</v>
      </c>
      <c r="K1301" s="101">
        <f t="shared" si="104"/>
        <v>0</v>
      </c>
      <c r="L1301" s="121"/>
    </row>
    <row r="1302" spans="2:12" x14ac:dyDescent="0.35">
      <c r="B1302" s="111">
        <f t="shared" si="101"/>
        <v>1292</v>
      </c>
      <c r="C1302" s="64" t="s">
        <v>184</v>
      </c>
      <c r="D1302" s="77" t="s">
        <v>25</v>
      </c>
      <c r="E1302" s="78">
        <f>E1301*0.75</f>
        <v>1.2749999999999999</v>
      </c>
      <c r="F1302" s="65"/>
      <c r="G1302" s="123"/>
      <c r="H1302" s="65">
        <f t="shared" si="105"/>
        <v>0</v>
      </c>
      <c r="I1302" s="79">
        <f t="shared" si="102"/>
        <v>0</v>
      </c>
      <c r="J1302" s="79">
        <f t="shared" si="103"/>
        <v>0</v>
      </c>
      <c r="K1302" s="79">
        <f t="shared" si="104"/>
        <v>0</v>
      </c>
      <c r="L1302" s="121"/>
    </row>
    <row r="1303" spans="2:12" ht="31" x14ac:dyDescent="0.35">
      <c r="B1303" s="111">
        <f t="shared" si="101"/>
        <v>1293</v>
      </c>
      <c r="C1303" s="64" t="s">
        <v>194</v>
      </c>
      <c r="D1303" s="77" t="s">
        <v>25</v>
      </c>
      <c r="E1303" s="78">
        <f>E1301*0.48</f>
        <v>0.81599999999999995</v>
      </c>
      <c r="F1303" s="65">
        <f>1973*0.15</f>
        <v>295.95</v>
      </c>
      <c r="G1303" s="65">
        <f>1500*0.15</f>
        <v>225</v>
      </c>
      <c r="H1303" s="65">
        <f t="shared" si="105"/>
        <v>520.95000000000005</v>
      </c>
      <c r="I1303" s="79">
        <f t="shared" si="102"/>
        <v>241.5</v>
      </c>
      <c r="J1303" s="79">
        <f t="shared" si="103"/>
        <v>183.6</v>
      </c>
      <c r="K1303" s="79">
        <f t="shared" si="104"/>
        <v>425.1</v>
      </c>
      <c r="L1303" s="121"/>
    </row>
    <row r="1304" spans="2:12" x14ac:dyDescent="0.35">
      <c r="B1304" s="111">
        <f t="shared" si="101"/>
        <v>1294</v>
      </c>
      <c r="C1304" s="64" t="s">
        <v>20</v>
      </c>
      <c r="D1304" s="77" t="s">
        <v>26</v>
      </c>
      <c r="E1304" s="78">
        <f>0.34*E1301*0.1</f>
        <v>5.7800000000000011E-2</v>
      </c>
      <c r="F1304" s="65"/>
      <c r="G1304" s="65">
        <v>5860</v>
      </c>
      <c r="H1304" s="65">
        <f t="shared" si="105"/>
        <v>5860</v>
      </c>
      <c r="I1304" s="79">
        <f t="shared" si="102"/>
        <v>0</v>
      </c>
      <c r="J1304" s="79">
        <f t="shared" si="103"/>
        <v>338.71</v>
      </c>
      <c r="K1304" s="79">
        <f t="shared" si="104"/>
        <v>338.71</v>
      </c>
      <c r="L1304" s="121"/>
    </row>
    <row r="1305" spans="2:12" x14ac:dyDescent="0.35">
      <c r="B1305" s="111">
        <f t="shared" si="101"/>
        <v>1295</v>
      </c>
      <c r="C1305" s="80" t="s">
        <v>159</v>
      </c>
      <c r="D1305" s="77" t="s">
        <v>26</v>
      </c>
      <c r="E1305" s="78">
        <f>E1304*1.02</f>
        <v>5.8956000000000015E-2</v>
      </c>
      <c r="F1305" s="65">
        <v>6700</v>
      </c>
      <c r="G1305" s="123"/>
      <c r="H1305" s="65">
        <f t="shared" si="105"/>
        <v>6700</v>
      </c>
      <c r="I1305" s="79">
        <f t="shared" si="102"/>
        <v>395.01</v>
      </c>
      <c r="J1305" s="79">
        <f t="shared" si="103"/>
        <v>0</v>
      </c>
      <c r="K1305" s="79">
        <f t="shared" si="104"/>
        <v>395.01</v>
      </c>
      <c r="L1305" s="121"/>
    </row>
    <row r="1306" spans="2:12" x14ac:dyDescent="0.35">
      <c r="B1306" s="111">
        <f t="shared" si="101"/>
        <v>1296</v>
      </c>
      <c r="C1306" s="64" t="s">
        <v>28</v>
      </c>
      <c r="D1306" s="77" t="s">
        <v>26</v>
      </c>
      <c r="E1306" s="78">
        <f>E1301*0.8/10</f>
        <v>0.13600000000000001</v>
      </c>
      <c r="F1306" s="65"/>
      <c r="G1306" s="65">
        <v>5860</v>
      </c>
      <c r="H1306" s="65">
        <f t="shared" si="105"/>
        <v>5860</v>
      </c>
      <c r="I1306" s="79">
        <f t="shared" si="102"/>
        <v>0</v>
      </c>
      <c r="J1306" s="79">
        <f t="shared" si="103"/>
        <v>796.96</v>
      </c>
      <c r="K1306" s="79">
        <f t="shared" si="104"/>
        <v>796.96</v>
      </c>
      <c r="L1306" s="121"/>
    </row>
    <row r="1307" spans="2:12" x14ac:dyDescent="0.35">
      <c r="B1307" s="111">
        <f t="shared" si="101"/>
        <v>1297</v>
      </c>
      <c r="C1307" s="80" t="s">
        <v>29</v>
      </c>
      <c r="D1307" s="77" t="s">
        <v>26</v>
      </c>
      <c r="E1307" s="78">
        <f>E1306*1.02</f>
        <v>0.13872000000000001</v>
      </c>
      <c r="F1307" s="65">
        <v>7100</v>
      </c>
      <c r="G1307" s="123"/>
      <c r="H1307" s="65">
        <f t="shared" si="105"/>
        <v>7100</v>
      </c>
      <c r="I1307" s="79">
        <f t="shared" si="102"/>
        <v>984.91</v>
      </c>
      <c r="J1307" s="79">
        <f t="shared" si="103"/>
        <v>0</v>
      </c>
      <c r="K1307" s="79">
        <f t="shared" si="104"/>
        <v>984.91</v>
      </c>
      <c r="L1307" s="121"/>
    </row>
    <row r="1308" spans="2:12" x14ac:dyDescent="0.35">
      <c r="B1308" s="111">
        <f t="shared" si="101"/>
        <v>1298</v>
      </c>
      <c r="C1308" s="80" t="s">
        <v>30</v>
      </c>
      <c r="D1308" s="77" t="s">
        <v>31</v>
      </c>
      <c r="E1308" s="78">
        <f>E1301*1.22</f>
        <v>2.0739999999999998</v>
      </c>
      <c r="F1308" s="65">
        <v>118.9</v>
      </c>
      <c r="G1308" s="123"/>
      <c r="H1308" s="65">
        <f t="shared" si="105"/>
        <v>118.9</v>
      </c>
      <c r="I1308" s="79">
        <f t="shared" si="102"/>
        <v>246.6</v>
      </c>
      <c r="J1308" s="79">
        <f t="shared" si="103"/>
        <v>0</v>
      </c>
      <c r="K1308" s="79">
        <f t="shared" si="104"/>
        <v>246.6</v>
      </c>
      <c r="L1308" s="121"/>
    </row>
    <row r="1309" spans="2:12" x14ac:dyDescent="0.35">
      <c r="B1309" s="111">
        <f t="shared" si="101"/>
        <v>1299</v>
      </c>
      <c r="C1309" s="64" t="s">
        <v>189</v>
      </c>
      <c r="D1309" s="77" t="s">
        <v>27</v>
      </c>
      <c r="E1309" s="78">
        <f>E1301</f>
        <v>1.7</v>
      </c>
      <c r="F1309" s="65"/>
      <c r="G1309" s="65">
        <v>2928</v>
      </c>
      <c r="H1309" s="65">
        <f t="shared" si="105"/>
        <v>2928</v>
      </c>
      <c r="I1309" s="79">
        <f t="shared" si="102"/>
        <v>0</v>
      </c>
      <c r="J1309" s="79">
        <f t="shared" si="103"/>
        <v>4977.6000000000004</v>
      </c>
      <c r="K1309" s="79">
        <f t="shared" si="104"/>
        <v>4977.6000000000004</v>
      </c>
      <c r="L1309" s="121"/>
    </row>
    <row r="1310" spans="2:12" ht="31" x14ac:dyDescent="0.35">
      <c r="B1310" s="111">
        <f t="shared" si="101"/>
        <v>1300</v>
      </c>
      <c r="C1310" s="80" t="s">
        <v>195</v>
      </c>
      <c r="D1310" s="77" t="s">
        <v>27</v>
      </c>
      <c r="E1310" s="78">
        <f>E1309*1.1</f>
        <v>1.87</v>
      </c>
      <c r="F1310" s="65">
        <v>855</v>
      </c>
      <c r="G1310" s="65"/>
      <c r="H1310" s="65">
        <f t="shared" si="105"/>
        <v>855</v>
      </c>
      <c r="I1310" s="79">
        <f t="shared" si="102"/>
        <v>1598.85</v>
      </c>
      <c r="J1310" s="79">
        <f t="shared" si="103"/>
        <v>0</v>
      </c>
      <c r="K1310" s="79">
        <f t="shared" si="104"/>
        <v>1598.85</v>
      </c>
      <c r="L1310" s="121"/>
    </row>
    <row r="1311" spans="2:12" ht="27.65" customHeight="1" x14ac:dyDescent="0.35">
      <c r="B1311" s="111">
        <f t="shared" si="101"/>
        <v>1301</v>
      </c>
      <c r="C1311" s="98" t="s">
        <v>255</v>
      </c>
      <c r="D1311" s="103" t="s">
        <v>32</v>
      </c>
      <c r="E1311" s="100">
        <v>1</v>
      </c>
      <c r="F1311" s="101"/>
      <c r="G1311" s="106"/>
      <c r="H1311" s="101">
        <f t="shared" si="105"/>
        <v>0</v>
      </c>
      <c r="I1311" s="101">
        <f t="shared" si="102"/>
        <v>0</v>
      </c>
      <c r="J1311" s="101">
        <f t="shared" si="103"/>
        <v>0</v>
      </c>
      <c r="K1311" s="101">
        <f t="shared" si="104"/>
        <v>0</v>
      </c>
      <c r="L1311" s="121"/>
    </row>
    <row r="1312" spans="2:12" ht="31" x14ac:dyDescent="0.35">
      <c r="B1312" s="111">
        <f t="shared" si="101"/>
        <v>1302</v>
      </c>
      <c r="C1312" s="64" t="s">
        <v>348</v>
      </c>
      <c r="D1312" s="81" t="s">
        <v>26</v>
      </c>
      <c r="E1312" s="78">
        <f>12.97*0.97</f>
        <v>12.5809</v>
      </c>
      <c r="F1312" s="65"/>
      <c r="G1312" s="65">
        <v>300</v>
      </c>
      <c r="H1312" s="65">
        <f t="shared" si="105"/>
        <v>300</v>
      </c>
      <c r="I1312" s="79">
        <f t="shared" si="102"/>
        <v>0</v>
      </c>
      <c r="J1312" s="79">
        <f t="shared" si="103"/>
        <v>3774.27</v>
      </c>
      <c r="K1312" s="79">
        <f t="shared" si="104"/>
        <v>3774.27</v>
      </c>
      <c r="L1312" s="121"/>
    </row>
    <row r="1313" spans="2:12" x14ac:dyDescent="0.35">
      <c r="B1313" s="111">
        <f t="shared" si="101"/>
        <v>1303</v>
      </c>
      <c r="C1313" s="64" t="s">
        <v>19</v>
      </c>
      <c r="D1313" s="81" t="s">
        <v>26</v>
      </c>
      <c r="E1313" s="78">
        <f>E1312/9</f>
        <v>1.3978777777777778</v>
      </c>
      <c r="F1313" s="65"/>
      <c r="G1313" s="65">
        <v>1500</v>
      </c>
      <c r="H1313" s="65">
        <f t="shared" si="105"/>
        <v>1500</v>
      </c>
      <c r="I1313" s="79">
        <f t="shared" si="102"/>
        <v>0</v>
      </c>
      <c r="J1313" s="79">
        <f t="shared" si="103"/>
        <v>2096.8200000000002</v>
      </c>
      <c r="K1313" s="79">
        <f t="shared" si="104"/>
        <v>2096.8200000000002</v>
      </c>
      <c r="L1313" s="121"/>
    </row>
    <row r="1314" spans="2:12" x14ac:dyDescent="0.35">
      <c r="B1314" s="111">
        <f t="shared" si="101"/>
        <v>1304</v>
      </c>
      <c r="C1314" s="64" t="s">
        <v>67</v>
      </c>
      <c r="D1314" s="81" t="s">
        <v>25</v>
      </c>
      <c r="E1314" s="78">
        <f>(3.14*2.7^2)/4</f>
        <v>5.7226500000000007</v>
      </c>
      <c r="F1314" s="65"/>
      <c r="G1314" s="123"/>
      <c r="H1314" s="65">
        <f t="shared" si="105"/>
        <v>0</v>
      </c>
      <c r="I1314" s="79">
        <f t="shared" si="102"/>
        <v>0</v>
      </c>
      <c r="J1314" s="79">
        <f t="shared" si="103"/>
        <v>0</v>
      </c>
      <c r="K1314" s="79">
        <f t="shared" si="104"/>
        <v>0</v>
      </c>
      <c r="L1314" s="121"/>
    </row>
    <row r="1315" spans="2:12" x14ac:dyDescent="0.35">
      <c r="B1315" s="111">
        <f t="shared" si="101"/>
        <v>1305</v>
      </c>
      <c r="C1315" s="64" t="s">
        <v>68</v>
      </c>
      <c r="D1315" s="81" t="s">
        <v>26</v>
      </c>
      <c r="E1315" s="78">
        <f>E1314*0.1</f>
        <v>0.57226500000000013</v>
      </c>
      <c r="F1315" s="65"/>
      <c r="G1315" s="65">
        <v>5860</v>
      </c>
      <c r="H1315" s="65">
        <f t="shared" si="105"/>
        <v>5860</v>
      </c>
      <c r="I1315" s="79">
        <f t="shared" si="102"/>
        <v>0</v>
      </c>
      <c r="J1315" s="79">
        <f t="shared" si="103"/>
        <v>3353.47</v>
      </c>
      <c r="K1315" s="79">
        <f t="shared" si="104"/>
        <v>3353.47</v>
      </c>
      <c r="L1315" s="121"/>
    </row>
    <row r="1316" spans="2:12" x14ac:dyDescent="0.35">
      <c r="B1316" s="111">
        <f t="shared" si="101"/>
        <v>1306</v>
      </c>
      <c r="C1316" s="80" t="s">
        <v>159</v>
      </c>
      <c r="D1316" s="81" t="s">
        <v>26</v>
      </c>
      <c r="E1316" s="78">
        <f>E1315*1.02</f>
        <v>0.58371030000000013</v>
      </c>
      <c r="F1316" s="65">
        <v>6700</v>
      </c>
      <c r="G1316" s="123"/>
      <c r="H1316" s="65">
        <f t="shared" si="105"/>
        <v>6700</v>
      </c>
      <c r="I1316" s="79">
        <f t="shared" si="102"/>
        <v>3910.86</v>
      </c>
      <c r="J1316" s="79">
        <f t="shared" si="103"/>
        <v>0</v>
      </c>
      <c r="K1316" s="79">
        <f t="shared" si="104"/>
        <v>3910.86</v>
      </c>
      <c r="L1316" s="121"/>
    </row>
    <row r="1317" spans="2:12" x14ac:dyDescent="0.35">
      <c r="B1317" s="111">
        <f t="shared" si="101"/>
        <v>1307</v>
      </c>
      <c r="C1317" s="64" t="s">
        <v>151</v>
      </c>
      <c r="D1317" s="81" t="s">
        <v>25</v>
      </c>
      <c r="E1317" s="78">
        <f>(3.14*2.5^2)/4</f>
        <v>4.90625</v>
      </c>
      <c r="F1317" s="65">
        <v>68.5</v>
      </c>
      <c r="G1317" s="65">
        <v>150</v>
      </c>
      <c r="H1317" s="65">
        <f t="shared" si="105"/>
        <v>218.5</v>
      </c>
      <c r="I1317" s="79">
        <f t="shared" si="102"/>
        <v>336.08</v>
      </c>
      <c r="J1317" s="79">
        <f t="shared" si="103"/>
        <v>735.94</v>
      </c>
      <c r="K1317" s="79">
        <f t="shared" si="104"/>
        <v>1072.02</v>
      </c>
      <c r="L1317" s="121"/>
    </row>
    <row r="1318" spans="2:12" ht="31" x14ac:dyDescent="0.35">
      <c r="B1318" s="111">
        <f t="shared" si="101"/>
        <v>1308</v>
      </c>
      <c r="C1318" s="64" t="s">
        <v>152</v>
      </c>
      <c r="D1318" s="81" t="s">
        <v>25</v>
      </c>
      <c r="E1318" s="78">
        <f>E1317</f>
        <v>4.90625</v>
      </c>
      <c r="F1318" s="65">
        <v>927</v>
      </c>
      <c r="G1318" s="65">
        <v>400</v>
      </c>
      <c r="H1318" s="65">
        <f t="shared" si="105"/>
        <v>1327</v>
      </c>
      <c r="I1318" s="79">
        <f t="shared" si="102"/>
        <v>4548.09</v>
      </c>
      <c r="J1318" s="79">
        <f t="shared" si="103"/>
        <v>1962.5</v>
      </c>
      <c r="K1318" s="79">
        <f t="shared" si="104"/>
        <v>6510.59</v>
      </c>
      <c r="L1318" s="121"/>
    </row>
    <row r="1319" spans="2:12" ht="31" x14ac:dyDescent="0.35">
      <c r="B1319" s="111">
        <f t="shared" si="101"/>
        <v>1309</v>
      </c>
      <c r="C1319" s="64" t="s">
        <v>69</v>
      </c>
      <c r="D1319" s="81" t="s">
        <v>32</v>
      </c>
      <c r="E1319" s="78">
        <v>1</v>
      </c>
      <c r="F1319" s="65"/>
      <c r="G1319" s="65">
        <v>5662</v>
      </c>
      <c r="H1319" s="65">
        <f t="shared" si="105"/>
        <v>5662</v>
      </c>
      <c r="I1319" s="79">
        <f t="shared" si="102"/>
        <v>0</v>
      </c>
      <c r="J1319" s="79">
        <f t="shared" si="103"/>
        <v>5662</v>
      </c>
      <c r="K1319" s="79">
        <f t="shared" si="104"/>
        <v>5662</v>
      </c>
      <c r="L1319" s="121"/>
    </row>
    <row r="1320" spans="2:12" x14ac:dyDescent="0.35">
      <c r="B1320" s="111">
        <f t="shared" si="101"/>
        <v>1310</v>
      </c>
      <c r="C1320" s="82" t="s">
        <v>71</v>
      </c>
      <c r="D1320" s="81" t="s">
        <v>32</v>
      </c>
      <c r="E1320" s="78">
        <v>1</v>
      </c>
      <c r="F1320" s="65">
        <f>7000*1.2</f>
        <v>8400</v>
      </c>
      <c r="G1320" s="123"/>
      <c r="H1320" s="65">
        <f t="shared" si="105"/>
        <v>8400</v>
      </c>
      <c r="I1320" s="79">
        <f t="shared" si="102"/>
        <v>8400</v>
      </c>
      <c r="J1320" s="79">
        <f t="shared" si="103"/>
        <v>0</v>
      </c>
      <c r="K1320" s="79">
        <f t="shared" si="104"/>
        <v>8400</v>
      </c>
      <c r="L1320" s="121"/>
    </row>
    <row r="1321" spans="2:12" x14ac:dyDescent="0.35">
      <c r="B1321" s="111">
        <f t="shared" si="101"/>
        <v>1311</v>
      </c>
      <c r="C1321" s="82" t="s">
        <v>101</v>
      </c>
      <c r="D1321" s="81" t="s">
        <v>26</v>
      </c>
      <c r="E1321" s="78">
        <f>((3.14*2.5^2)/4*0.02)*1.02</f>
        <v>0.10008750000000001</v>
      </c>
      <c r="F1321" s="65">
        <v>7300</v>
      </c>
      <c r="G1321" s="123"/>
      <c r="H1321" s="65">
        <f t="shared" si="105"/>
        <v>7300</v>
      </c>
      <c r="I1321" s="79">
        <f t="shared" si="102"/>
        <v>730.64</v>
      </c>
      <c r="J1321" s="79">
        <f t="shared" si="103"/>
        <v>0</v>
      </c>
      <c r="K1321" s="79">
        <f t="shared" si="104"/>
        <v>730.64</v>
      </c>
      <c r="L1321" s="121"/>
    </row>
    <row r="1322" spans="2:12" ht="31" x14ac:dyDescent="0.35">
      <c r="B1322" s="111">
        <f t="shared" si="101"/>
        <v>1312</v>
      </c>
      <c r="C1322" s="64" t="s">
        <v>179</v>
      </c>
      <c r="D1322" s="81" t="s">
        <v>26</v>
      </c>
      <c r="E1322" s="78">
        <v>1.2</v>
      </c>
      <c r="F1322" s="65"/>
      <c r="G1322" s="65">
        <v>5860</v>
      </c>
      <c r="H1322" s="65">
        <f t="shared" si="105"/>
        <v>5860</v>
      </c>
      <c r="I1322" s="79">
        <f t="shared" si="102"/>
        <v>0</v>
      </c>
      <c r="J1322" s="79">
        <f t="shared" si="103"/>
        <v>7032</v>
      </c>
      <c r="K1322" s="79">
        <f t="shared" si="104"/>
        <v>7032</v>
      </c>
      <c r="L1322" s="121"/>
    </row>
    <row r="1323" spans="2:12" x14ac:dyDescent="0.35">
      <c r="B1323" s="111">
        <f t="shared" si="101"/>
        <v>1313</v>
      </c>
      <c r="C1323" s="82" t="s">
        <v>75</v>
      </c>
      <c r="D1323" s="81" t="s">
        <v>26</v>
      </c>
      <c r="E1323" s="78">
        <f>E1322*1.02</f>
        <v>1.224</v>
      </c>
      <c r="F1323" s="65">
        <v>7100</v>
      </c>
      <c r="G1323" s="123"/>
      <c r="H1323" s="65">
        <f t="shared" si="105"/>
        <v>7100</v>
      </c>
      <c r="I1323" s="79">
        <f t="shared" si="102"/>
        <v>8690.4</v>
      </c>
      <c r="J1323" s="79">
        <f t="shared" si="103"/>
        <v>0</v>
      </c>
      <c r="K1323" s="79">
        <f t="shared" si="104"/>
        <v>8690.4</v>
      </c>
      <c r="L1323" s="121"/>
    </row>
    <row r="1324" spans="2:12" ht="31" x14ac:dyDescent="0.35">
      <c r="B1324" s="111">
        <f t="shared" si="101"/>
        <v>1314</v>
      </c>
      <c r="C1324" s="64" t="s">
        <v>78</v>
      </c>
      <c r="D1324" s="81" t="s">
        <v>32</v>
      </c>
      <c r="E1324" s="78">
        <f>SUM(E1325:E1328)</f>
        <v>5</v>
      </c>
      <c r="F1324" s="65"/>
      <c r="G1324" s="65">
        <v>5662</v>
      </c>
      <c r="H1324" s="65">
        <f t="shared" si="105"/>
        <v>5662</v>
      </c>
      <c r="I1324" s="79">
        <f t="shared" si="102"/>
        <v>0</v>
      </c>
      <c r="J1324" s="79">
        <f t="shared" si="103"/>
        <v>28310</v>
      </c>
      <c r="K1324" s="79">
        <f t="shared" si="104"/>
        <v>28310</v>
      </c>
      <c r="L1324" s="121"/>
    </row>
    <row r="1325" spans="2:12" x14ac:dyDescent="0.35">
      <c r="B1325" s="111">
        <f t="shared" si="101"/>
        <v>1315</v>
      </c>
      <c r="C1325" s="82" t="s">
        <v>76</v>
      </c>
      <c r="D1325" s="81" t="s">
        <v>32</v>
      </c>
      <c r="E1325" s="78">
        <v>2</v>
      </c>
      <c r="F1325" s="65">
        <f>7000*1.2</f>
        <v>8400</v>
      </c>
      <c r="G1325" s="123"/>
      <c r="H1325" s="65">
        <f t="shared" si="105"/>
        <v>8400</v>
      </c>
      <c r="I1325" s="79">
        <f t="shared" si="102"/>
        <v>16800</v>
      </c>
      <c r="J1325" s="79">
        <f t="shared" si="103"/>
        <v>0</v>
      </c>
      <c r="K1325" s="79">
        <f t="shared" si="104"/>
        <v>16800</v>
      </c>
      <c r="L1325" s="121"/>
    </row>
    <row r="1326" spans="2:12" x14ac:dyDescent="0.35">
      <c r="B1326" s="111">
        <f t="shared" si="101"/>
        <v>1316</v>
      </c>
      <c r="C1326" s="82" t="s">
        <v>77</v>
      </c>
      <c r="D1326" s="81" t="s">
        <v>32</v>
      </c>
      <c r="E1326" s="78">
        <v>1</v>
      </c>
      <c r="F1326" s="65">
        <f>5500*1.2</f>
        <v>6600</v>
      </c>
      <c r="G1326" s="123"/>
      <c r="H1326" s="65">
        <f t="shared" si="105"/>
        <v>6600</v>
      </c>
      <c r="I1326" s="79">
        <f t="shared" si="102"/>
        <v>6600</v>
      </c>
      <c r="J1326" s="79">
        <f t="shared" si="103"/>
        <v>0</v>
      </c>
      <c r="K1326" s="79">
        <f t="shared" si="104"/>
        <v>6600</v>
      </c>
      <c r="L1326" s="121"/>
    </row>
    <row r="1327" spans="2:12" x14ac:dyDescent="0.35">
      <c r="B1327" s="111">
        <f t="shared" si="101"/>
        <v>1317</v>
      </c>
      <c r="C1327" s="82" t="s">
        <v>293</v>
      </c>
      <c r="D1327" s="81" t="s">
        <v>32</v>
      </c>
      <c r="E1327" s="78">
        <v>1</v>
      </c>
      <c r="F1327" s="65">
        <f>900*1.2</f>
        <v>1080</v>
      </c>
      <c r="G1327" s="123"/>
      <c r="H1327" s="65">
        <f t="shared" si="105"/>
        <v>1080</v>
      </c>
      <c r="I1327" s="79">
        <f t="shared" si="102"/>
        <v>1080</v>
      </c>
      <c r="J1327" s="79">
        <f t="shared" si="103"/>
        <v>0</v>
      </c>
      <c r="K1327" s="79">
        <f t="shared" si="104"/>
        <v>1080</v>
      </c>
      <c r="L1327" s="121"/>
    </row>
    <row r="1328" spans="2:12" x14ac:dyDescent="0.35">
      <c r="B1328" s="111">
        <f t="shared" si="101"/>
        <v>1318</v>
      </c>
      <c r="C1328" s="82" t="s">
        <v>294</v>
      </c>
      <c r="D1328" s="81" t="s">
        <v>32</v>
      </c>
      <c r="E1328" s="78">
        <v>1</v>
      </c>
      <c r="F1328" s="65">
        <f>1200*1.2</f>
        <v>1440</v>
      </c>
      <c r="G1328" s="123"/>
      <c r="H1328" s="65">
        <f t="shared" si="105"/>
        <v>1440</v>
      </c>
      <c r="I1328" s="79">
        <f t="shared" si="102"/>
        <v>1440</v>
      </c>
      <c r="J1328" s="79">
        <f t="shared" si="103"/>
        <v>0</v>
      </c>
      <c r="K1328" s="79">
        <f t="shared" si="104"/>
        <v>1440</v>
      </c>
      <c r="L1328" s="121"/>
    </row>
    <row r="1329" spans="2:16" ht="31" x14ac:dyDescent="0.35">
      <c r="B1329" s="111">
        <f t="shared" si="101"/>
        <v>1319</v>
      </c>
      <c r="C1329" s="64" t="s">
        <v>85</v>
      </c>
      <c r="D1329" s="81" t="s">
        <v>32</v>
      </c>
      <c r="E1329" s="78">
        <v>1</v>
      </c>
      <c r="F1329" s="65"/>
      <c r="G1329" s="65">
        <v>2500</v>
      </c>
      <c r="H1329" s="65">
        <f t="shared" si="105"/>
        <v>2500</v>
      </c>
      <c r="I1329" s="79">
        <f t="shared" si="102"/>
        <v>0</v>
      </c>
      <c r="J1329" s="79">
        <f t="shared" si="103"/>
        <v>2500</v>
      </c>
      <c r="K1329" s="79">
        <f t="shared" si="104"/>
        <v>2500</v>
      </c>
      <c r="L1329" s="121"/>
    </row>
    <row r="1330" spans="2:16" x14ac:dyDescent="0.35">
      <c r="B1330" s="111">
        <f t="shared" si="101"/>
        <v>1320</v>
      </c>
      <c r="C1330" s="82" t="s">
        <v>79</v>
      </c>
      <c r="D1330" s="81" t="s">
        <v>32</v>
      </c>
      <c r="E1330" s="78">
        <v>1</v>
      </c>
      <c r="F1330" s="65">
        <f>6500*1.2</f>
        <v>7800</v>
      </c>
      <c r="G1330" s="123"/>
      <c r="H1330" s="65">
        <f t="shared" si="105"/>
        <v>7800</v>
      </c>
      <c r="I1330" s="79">
        <f t="shared" si="102"/>
        <v>7800</v>
      </c>
      <c r="J1330" s="79">
        <f t="shared" si="103"/>
        <v>0</v>
      </c>
      <c r="K1330" s="79">
        <f t="shared" si="104"/>
        <v>7800</v>
      </c>
      <c r="L1330" s="122"/>
      <c r="P1330" s="72"/>
    </row>
    <row r="1331" spans="2:16" ht="31" x14ac:dyDescent="0.35">
      <c r="B1331" s="111">
        <f t="shared" si="101"/>
        <v>1321</v>
      </c>
      <c r="C1331" s="64" t="s">
        <v>316</v>
      </c>
      <c r="D1331" s="81" t="s">
        <v>32</v>
      </c>
      <c r="E1331" s="78">
        <v>1</v>
      </c>
      <c r="F1331" s="65"/>
      <c r="G1331" s="65"/>
      <c r="H1331" s="65">
        <f t="shared" si="105"/>
        <v>0</v>
      </c>
      <c r="I1331" s="79">
        <f t="shared" si="102"/>
        <v>0</v>
      </c>
      <c r="J1331" s="79">
        <f t="shared" si="103"/>
        <v>0</v>
      </c>
      <c r="K1331" s="79">
        <f t="shared" si="104"/>
        <v>0</v>
      </c>
      <c r="L1331" s="121"/>
    </row>
    <row r="1332" spans="2:16" x14ac:dyDescent="0.35">
      <c r="B1332" s="111">
        <f t="shared" si="101"/>
        <v>1322</v>
      </c>
      <c r="C1332" s="88" t="s">
        <v>84</v>
      </c>
      <c r="D1332" s="81" t="s">
        <v>32</v>
      </c>
      <c r="E1332" s="78">
        <v>1</v>
      </c>
      <c r="F1332" s="65">
        <v>1300</v>
      </c>
      <c r="G1332" s="65">
        <v>990</v>
      </c>
      <c r="H1332" s="65">
        <f t="shared" si="105"/>
        <v>2290</v>
      </c>
      <c r="I1332" s="79">
        <f t="shared" si="102"/>
        <v>1300</v>
      </c>
      <c r="J1332" s="79">
        <f t="shared" si="103"/>
        <v>990</v>
      </c>
      <c r="K1332" s="79">
        <f t="shared" si="104"/>
        <v>2290</v>
      </c>
      <c r="L1332" s="121"/>
    </row>
    <row r="1333" spans="2:16" x14ac:dyDescent="0.35">
      <c r="B1333" s="111">
        <f t="shared" si="101"/>
        <v>1323</v>
      </c>
      <c r="C1333" s="80" t="s">
        <v>301</v>
      </c>
      <c r="D1333" s="81" t="s">
        <v>32</v>
      </c>
      <c r="E1333" s="78">
        <v>1</v>
      </c>
      <c r="F1333" s="65">
        <v>6000</v>
      </c>
      <c r="G1333" s="65">
        <v>1464.09</v>
      </c>
      <c r="H1333" s="65">
        <f t="shared" si="105"/>
        <v>7464.09</v>
      </c>
      <c r="I1333" s="79">
        <f t="shared" si="102"/>
        <v>6000</v>
      </c>
      <c r="J1333" s="79">
        <f t="shared" si="103"/>
        <v>1464.09</v>
      </c>
      <c r="K1333" s="79">
        <f t="shared" si="104"/>
        <v>7464.09</v>
      </c>
      <c r="L1333" s="121"/>
    </row>
    <row r="1334" spans="2:16" ht="31" x14ac:dyDescent="0.35">
      <c r="B1334" s="111">
        <f t="shared" si="101"/>
        <v>1324</v>
      </c>
      <c r="C1334" s="64" t="s">
        <v>156</v>
      </c>
      <c r="D1334" s="81" t="s">
        <v>25</v>
      </c>
      <c r="E1334" s="78">
        <f>23.62+3.8</f>
        <v>27.42</v>
      </c>
      <c r="F1334" s="65">
        <v>68.5</v>
      </c>
      <c r="G1334" s="65">
        <v>150</v>
      </c>
      <c r="H1334" s="65">
        <f t="shared" si="105"/>
        <v>218.5</v>
      </c>
      <c r="I1334" s="79">
        <f t="shared" si="102"/>
        <v>1878.27</v>
      </c>
      <c r="J1334" s="79">
        <f t="shared" si="103"/>
        <v>4113</v>
      </c>
      <c r="K1334" s="79">
        <f t="shared" si="104"/>
        <v>5991.27</v>
      </c>
      <c r="L1334" s="121"/>
    </row>
    <row r="1335" spans="2:16" ht="46.5" x14ac:dyDescent="0.35">
      <c r="B1335" s="111">
        <f t="shared" si="101"/>
        <v>1325</v>
      </c>
      <c r="C1335" s="64" t="s">
        <v>157</v>
      </c>
      <c r="D1335" s="81" t="s">
        <v>25</v>
      </c>
      <c r="E1335" s="78">
        <f>23.62+3.8</f>
        <v>27.42</v>
      </c>
      <c r="F1335" s="65">
        <v>927</v>
      </c>
      <c r="G1335" s="65">
        <v>400</v>
      </c>
      <c r="H1335" s="65">
        <f t="shared" si="105"/>
        <v>1327</v>
      </c>
      <c r="I1335" s="79">
        <f t="shared" si="102"/>
        <v>25418.34</v>
      </c>
      <c r="J1335" s="79">
        <f t="shared" si="103"/>
        <v>10968</v>
      </c>
      <c r="K1335" s="79">
        <f t="shared" si="104"/>
        <v>36386.339999999997</v>
      </c>
      <c r="L1335" s="121"/>
    </row>
    <row r="1336" spans="2:16" x14ac:dyDescent="0.35">
      <c r="B1336" s="111">
        <f t="shared" si="101"/>
        <v>1326</v>
      </c>
      <c r="C1336" s="64" t="s">
        <v>324</v>
      </c>
      <c r="D1336" s="81" t="s">
        <v>32</v>
      </c>
      <c r="E1336" s="83">
        <v>1</v>
      </c>
      <c r="F1336" s="68"/>
      <c r="G1336" s="123"/>
      <c r="H1336" s="65">
        <f t="shared" si="105"/>
        <v>0</v>
      </c>
      <c r="I1336" s="79">
        <f t="shared" si="102"/>
        <v>0</v>
      </c>
      <c r="J1336" s="79">
        <f t="shared" si="103"/>
        <v>0</v>
      </c>
      <c r="K1336" s="79">
        <f t="shared" si="104"/>
        <v>0</v>
      </c>
      <c r="L1336" s="121"/>
    </row>
    <row r="1337" spans="2:16" x14ac:dyDescent="0.35">
      <c r="B1337" s="111">
        <f t="shared" si="101"/>
        <v>1327</v>
      </c>
      <c r="C1337" s="82" t="s">
        <v>325</v>
      </c>
      <c r="D1337" s="81" t="s">
        <v>31</v>
      </c>
      <c r="E1337" s="83">
        <v>26.74</v>
      </c>
      <c r="F1337" s="68">
        <v>71</v>
      </c>
      <c r="G1337" s="65">
        <v>97.61</v>
      </c>
      <c r="H1337" s="65">
        <f t="shared" si="105"/>
        <v>168.61</v>
      </c>
      <c r="I1337" s="79">
        <f t="shared" si="102"/>
        <v>1898.54</v>
      </c>
      <c r="J1337" s="79">
        <f t="shared" si="103"/>
        <v>2610.09</v>
      </c>
      <c r="K1337" s="79">
        <f t="shared" si="104"/>
        <v>4508.63</v>
      </c>
      <c r="L1337" s="121"/>
    </row>
    <row r="1338" spans="2:16" x14ac:dyDescent="0.35">
      <c r="B1338" s="111">
        <f t="shared" si="101"/>
        <v>1328</v>
      </c>
      <c r="C1338" s="64" t="s">
        <v>93</v>
      </c>
      <c r="D1338" s="81" t="s">
        <v>32</v>
      </c>
      <c r="E1338" s="83">
        <v>2</v>
      </c>
      <c r="F1338" s="68"/>
      <c r="G1338" s="123"/>
      <c r="H1338" s="65">
        <f t="shared" si="105"/>
        <v>0</v>
      </c>
      <c r="I1338" s="79">
        <f t="shared" si="102"/>
        <v>0</v>
      </c>
      <c r="J1338" s="79">
        <f t="shared" si="103"/>
        <v>0</v>
      </c>
      <c r="K1338" s="79">
        <f t="shared" si="104"/>
        <v>0</v>
      </c>
      <c r="L1338" s="121"/>
    </row>
    <row r="1339" spans="2:16" x14ac:dyDescent="0.35">
      <c r="B1339" s="111">
        <f t="shared" si="101"/>
        <v>1329</v>
      </c>
      <c r="C1339" s="82" t="s">
        <v>94</v>
      </c>
      <c r="D1339" s="81" t="s">
        <v>31</v>
      </c>
      <c r="E1339" s="78">
        <f>0.82*2</f>
        <v>1.64</v>
      </c>
      <c r="F1339" s="68">
        <v>71</v>
      </c>
      <c r="G1339" s="65">
        <v>97.61</v>
      </c>
      <c r="H1339" s="65">
        <f t="shared" si="105"/>
        <v>168.61</v>
      </c>
      <c r="I1339" s="79">
        <f t="shared" si="102"/>
        <v>116.44</v>
      </c>
      <c r="J1339" s="79">
        <f t="shared" si="103"/>
        <v>160.08000000000001</v>
      </c>
      <c r="K1339" s="79">
        <f t="shared" si="104"/>
        <v>276.52</v>
      </c>
      <c r="L1339" s="121"/>
    </row>
    <row r="1340" spans="2:16" ht="31" x14ac:dyDescent="0.35">
      <c r="B1340" s="111">
        <f t="shared" si="101"/>
        <v>1330</v>
      </c>
      <c r="C1340" s="64" t="s">
        <v>297</v>
      </c>
      <c r="D1340" s="81" t="s">
        <v>32</v>
      </c>
      <c r="E1340" s="83">
        <v>3</v>
      </c>
      <c r="F1340" s="68"/>
      <c r="G1340" s="65">
        <v>1464</v>
      </c>
      <c r="H1340" s="65">
        <f t="shared" si="105"/>
        <v>1464</v>
      </c>
      <c r="I1340" s="79">
        <f t="shared" si="102"/>
        <v>0</v>
      </c>
      <c r="J1340" s="79">
        <f t="shared" si="103"/>
        <v>4392</v>
      </c>
      <c r="K1340" s="79">
        <f t="shared" si="104"/>
        <v>4392</v>
      </c>
      <c r="L1340" s="121"/>
    </row>
    <row r="1341" spans="2:16" ht="33" x14ac:dyDescent="0.35">
      <c r="B1341" s="111">
        <f t="shared" si="101"/>
        <v>1331</v>
      </c>
      <c r="C1341" s="64" t="s">
        <v>362</v>
      </c>
      <c r="D1341" s="81" t="s">
        <v>26</v>
      </c>
      <c r="E1341" s="78">
        <f>23.53-12.99</f>
        <v>10.540000000000001</v>
      </c>
      <c r="F1341" s="65"/>
      <c r="G1341" s="65">
        <v>439</v>
      </c>
      <c r="H1341" s="65">
        <f t="shared" si="105"/>
        <v>439</v>
      </c>
      <c r="I1341" s="79">
        <f t="shared" si="102"/>
        <v>0</v>
      </c>
      <c r="J1341" s="79">
        <f t="shared" si="103"/>
        <v>4627.0600000000004</v>
      </c>
      <c r="K1341" s="79">
        <f t="shared" si="104"/>
        <v>4627.0600000000004</v>
      </c>
      <c r="L1341" s="121"/>
    </row>
    <row r="1342" spans="2:16" ht="30" x14ac:dyDescent="0.35">
      <c r="B1342" s="111">
        <f t="shared" si="101"/>
        <v>1332</v>
      </c>
      <c r="C1342" s="98" t="s">
        <v>257</v>
      </c>
      <c r="D1342" s="99" t="s">
        <v>27</v>
      </c>
      <c r="E1342" s="100">
        <v>4</v>
      </c>
      <c r="F1342" s="101"/>
      <c r="G1342" s="106"/>
      <c r="H1342" s="101">
        <f t="shared" si="105"/>
        <v>0</v>
      </c>
      <c r="I1342" s="101">
        <f t="shared" si="102"/>
        <v>0</v>
      </c>
      <c r="J1342" s="101">
        <f t="shared" si="103"/>
        <v>0</v>
      </c>
      <c r="K1342" s="101">
        <f t="shared" si="104"/>
        <v>0</v>
      </c>
      <c r="L1342" s="121"/>
    </row>
    <row r="1343" spans="2:16" ht="31" x14ac:dyDescent="0.35">
      <c r="B1343" s="111">
        <f t="shared" si="101"/>
        <v>1333</v>
      </c>
      <c r="C1343" s="64" t="s">
        <v>348</v>
      </c>
      <c r="D1343" s="77" t="s">
        <v>26</v>
      </c>
      <c r="E1343" s="78">
        <f>0.97*6.58</f>
        <v>6.3826000000000001</v>
      </c>
      <c r="F1343" s="65"/>
      <c r="G1343" s="65">
        <v>300</v>
      </c>
      <c r="H1343" s="65">
        <f t="shared" si="105"/>
        <v>300</v>
      </c>
      <c r="I1343" s="79">
        <f t="shared" si="102"/>
        <v>0</v>
      </c>
      <c r="J1343" s="79">
        <f t="shared" si="103"/>
        <v>1914.78</v>
      </c>
      <c r="K1343" s="79">
        <f t="shared" si="104"/>
        <v>1914.78</v>
      </c>
      <c r="L1343" s="121"/>
    </row>
    <row r="1344" spans="2:16" x14ac:dyDescent="0.35">
      <c r="B1344" s="111">
        <f t="shared" si="101"/>
        <v>1334</v>
      </c>
      <c r="C1344" s="64" t="s">
        <v>19</v>
      </c>
      <c r="D1344" s="77" t="s">
        <v>26</v>
      </c>
      <c r="E1344" s="78">
        <f>E1343/97*3</f>
        <v>0.19739999999999999</v>
      </c>
      <c r="F1344" s="65"/>
      <c r="G1344" s="65">
        <v>1500</v>
      </c>
      <c r="H1344" s="65">
        <f t="shared" si="105"/>
        <v>1500</v>
      </c>
      <c r="I1344" s="79">
        <f t="shared" si="102"/>
        <v>0</v>
      </c>
      <c r="J1344" s="79">
        <f t="shared" si="103"/>
        <v>296.10000000000002</v>
      </c>
      <c r="K1344" s="79">
        <f t="shared" si="104"/>
        <v>296.10000000000002</v>
      </c>
      <c r="L1344" s="121"/>
    </row>
    <row r="1345" spans="2:12" x14ac:dyDescent="0.35">
      <c r="B1345" s="111">
        <f t="shared" si="101"/>
        <v>1335</v>
      </c>
      <c r="C1345" s="64" t="s">
        <v>184</v>
      </c>
      <c r="D1345" s="77" t="s">
        <v>25</v>
      </c>
      <c r="E1345" s="78">
        <f>E1342*0.75</f>
        <v>3</v>
      </c>
      <c r="F1345" s="65"/>
      <c r="G1345" s="123"/>
      <c r="H1345" s="65">
        <f t="shared" si="105"/>
        <v>0</v>
      </c>
      <c r="I1345" s="79">
        <f t="shared" si="102"/>
        <v>0</v>
      </c>
      <c r="J1345" s="79">
        <f t="shared" si="103"/>
        <v>0</v>
      </c>
      <c r="K1345" s="79">
        <f t="shared" si="104"/>
        <v>0</v>
      </c>
      <c r="L1345" s="121"/>
    </row>
    <row r="1346" spans="2:12" ht="31" x14ac:dyDescent="0.35">
      <c r="B1346" s="111">
        <f t="shared" si="101"/>
        <v>1336</v>
      </c>
      <c r="C1346" s="64" t="s">
        <v>194</v>
      </c>
      <c r="D1346" s="77" t="s">
        <v>25</v>
      </c>
      <c r="E1346" s="78">
        <f>E1342*0.48</f>
        <v>1.92</v>
      </c>
      <c r="F1346" s="65">
        <f>1973*0.15</f>
        <v>295.95</v>
      </c>
      <c r="G1346" s="65">
        <f>1500*0.15</f>
        <v>225</v>
      </c>
      <c r="H1346" s="65">
        <f t="shared" si="105"/>
        <v>520.95000000000005</v>
      </c>
      <c r="I1346" s="79">
        <f t="shared" si="102"/>
        <v>568.22</v>
      </c>
      <c r="J1346" s="79">
        <f t="shared" si="103"/>
        <v>432</v>
      </c>
      <c r="K1346" s="79">
        <f t="shared" si="104"/>
        <v>1000.22</v>
      </c>
      <c r="L1346" s="121"/>
    </row>
    <row r="1347" spans="2:12" x14ac:dyDescent="0.35">
      <c r="B1347" s="111">
        <f t="shared" si="101"/>
        <v>1337</v>
      </c>
      <c r="C1347" s="64" t="s">
        <v>20</v>
      </c>
      <c r="D1347" s="77" t="s">
        <v>26</v>
      </c>
      <c r="E1347" s="78">
        <f>0.34*E1342*0.1</f>
        <v>0.13600000000000001</v>
      </c>
      <c r="F1347" s="65"/>
      <c r="G1347" s="65">
        <v>5860</v>
      </c>
      <c r="H1347" s="65">
        <f t="shared" si="105"/>
        <v>5860</v>
      </c>
      <c r="I1347" s="79">
        <f t="shared" si="102"/>
        <v>0</v>
      </c>
      <c r="J1347" s="79">
        <f t="shared" si="103"/>
        <v>796.96</v>
      </c>
      <c r="K1347" s="79">
        <f t="shared" si="104"/>
        <v>796.96</v>
      </c>
      <c r="L1347" s="121"/>
    </row>
    <row r="1348" spans="2:12" x14ac:dyDescent="0.35">
      <c r="B1348" s="111">
        <f t="shared" si="101"/>
        <v>1338</v>
      </c>
      <c r="C1348" s="80" t="s">
        <v>159</v>
      </c>
      <c r="D1348" s="77" t="s">
        <v>26</v>
      </c>
      <c r="E1348" s="78">
        <f>E1347*1.02</f>
        <v>0.13872000000000001</v>
      </c>
      <c r="F1348" s="65">
        <v>6700</v>
      </c>
      <c r="G1348" s="123"/>
      <c r="H1348" s="65">
        <f t="shared" si="105"/>
        <v>6700</v>
      </c>
      <c r="I1348" s="79">
        <f t="shared" si="102"/>
        <v>929.42</v>
      </c>
      <c r="J1348" s="79">
        <f t="shared" si="103"/>
        <v>0</v>
      </c>
      <c r="K1348" s="79">
        <f t="shared" si="104"/>
        <v>929.42</v>
      </c>
      <c r="L1348" s="121"/>
    </row>
    <row r="1349" spans="2:12" x14ac:dyDescent="0.35">
      <c r="B1349" s="111">
        <f t="shared" si="101"/>
        <v>1339</v>
      </c>
      <c r="C1349" s="64" t="s">
        <v>28</v>
      </c>
      <c r="D1349" s="77" t="s">
        <v>26</v>
      </c>
      <c r="E1349" s="78">
        <f>E1342*0.8/10</f>
        <v>0.32</v>
      </c>
      <c r="F1349" s="65"/>
      <c r="G1349" s="65">
        <v>5860</v>
      </c>
      <c r="H1349" s="65">
        <f t="shared" si="105"/>
        <v>5860</v>
      </c>
      <c r="I1349" s="79">
        <f t="shared" si="102"/>
        <v>0</v>
      </c>
      <c r="J1349" s="79">
        <f t="shared" si="103"/>
        <v>1875.2</v>
      </c>
      <c r="K1349" s="79">
        <f t="shared" si="104"/>
        <v>1875.2</v>
      </c>
      <c r="L1349" s="121"/>
    </row>
    <row r="1350" spans="2:12" x14ac:dyDescent="0.35">
      <c r="B1350" s="111">
        <f t="shared" si="101"/>
        <v>1340</v>
      </c>
      <c r="C1350" s="80" t="s">
        <v>29</v>
      </c>
      <c r="D1350" s="77" t="s">
        <v>26</v>
      </c>
      <c r="E1350" s="78">
        <f>E1349*1.02</f>
        <v>0.32640000000000002</v>
      </c>
      <c r="F1350" s="65">
        <v>7100</v>
      </c>
      <c r="G1350" s="123"/>
      <c r="H1350" s="65">
        <f t="shared" si="105"/>
        <v>7100</v>
      </c>
      <c r="I1350" s="79">
        <f t="shared" si="102"/>
        <v>2317.44</v>
      </c>
      <c r="J1350" s="79">
        <f t="shared" si="103"/>
        <v>0</v>
      </c>
      <c r="K1350" s="79">
        <f t="shared" si="104"/>
        <v>2317.44</v>
      </c>
      <c r="L1350" s="121"/>
    </row>
    <row r="1351" spans="2:12" x14ac:dyDescent="0.35">
      <c r="B1351" s="111">
        <f t="shared" si="101"/>
        <v>1341</v>
      </c>
      <c r="C1351" s="80" t="s">
        <v>30</v>
      </c>
      <c r="D1351" s="77" t="s">
        <v>31</v>
      </c>
      <c r="E1351" s="78">
        <f>E1342*1.22</f>
        <v>4.88</v>
      </c>
      <c r="F1351" s="65">
        <v>118.9</v>
      </c>
      <c r="G1351" s="123"/>
      <c r="H1351" s="65">
        <f t="shared" si="105"/>
        <v>118.9</v>
      </c>
      <c r="I1351" s="79">
        <f t="shared" si="102"/>
        <v>580.23</v>
      </c>
      <c r="J1351" s="79">
        <f t="shared" si="103"/>
        <v>0</v>
      </c>
      <c r="K1351" s="79">
        <f t="shared" si="104"/>
        <v>580.23</v>
      </c>
      <c r="L1351" s="121"/>
    </row>
    <row r="1352" spans="2:12" x14ac:dyDescent="0.35">
      <c r="B1352" s="111">
        <f t="shared" si="101"/>
        <v>1342</v>
      </c>
      <c r="C1352" s="64" t="s">
        <v>189</v>
      </c>
      <c r="D1352" s="77" t="s">
        <v>27</v>
      </c>
      <c r="E1352" s="78">
        <f>E1342</f>
        <v>4</v>
      </c>
      <c r="F1352" s="65"/>
      <c r="G1352" s="65">
        <v>2928</v>
      </c>
      <c r="H1352" s="65">
        <f t="shared" si="105"/>
        <v>2928</v>
      </c>
      <c r="I1352" s="79">
        <f t="shared" si="102"/>
        <v>0</v>
      </c>
      <c r="J1352" s="79">
        <f t="shared" si="103"/>
        <v>11712</v>
      </c>
      <c r="K1352" s="79">
        <f t="shared" si="104"/>
        <v>11712</v>
      </c>
      <c r="L1352" s="121"/>
    </row>
    <row r="1353" spans="2:12" ht="31" x14ac:dyDescent="0.35">
      <c r="B1353" s="111">
        <f t="shared" si="101"/>
        <v>1343</v>
      </c>
      <c r="C1353" s="80" t="s">
        <v>195</v>
      </c>
      <c r="D1353" s="77" t="s">
        <v>27</v>
      </c>
      <c r="E1353" s="78">
        <f>E1352*1.1</f>
        <v>4.4000000000000004</v>
      </c>
      <c r="F1353" s="65">
        <v>855</v>
      </c>
      <c r="G1353" s="65"/>
      <c r="H1353" s="65">
        <f t="shared" si="105"/>
        <v>855</v>
      </c>
      <c r="I1353" s="79">
        <f t="shared" si="102"/>
        <v>3762</v>
      </c>
      <c r="J1353" s="79">
        <f t="shared" si="103"/>
        <v>0</v>
      </c>
      <c r="K1353" s="79">
        <f t="shared" si="104"/>
        <v>3762</v>
      </c>
      <c r="L1353" s="121"/>
    </row>
    <row r="1354" spans="2:12" ht="33" x14ac:dyDescent="0.35">
      <c r="B1354" s="111">
        <f t="shared" si="101"/>
        <v>1344</v>
      </c>
      <c r="C1354" s="64" t="s">
        <v>355</v>
      </c>
      <c r="D1354" s="81" t="s">
        <v>26</v>
      </c>
      <c r="E1354" s="78">
        <v>13.37</v>
      </c>
      <c r="F1354" s="65"/>
      <c r="G1354" s="65">
        <v>439</v>
      </c>
      <c r="H1354" s="65">
        <f t="shared" si="105"/>
        <v>439</v>
      </c>
      <c r="I1354" s="79">
        <f t="shared" si="102"/>
        <v>0</v>
      </c>
      <c r="J1354" s="79">
        <f t="shared" si="103"/>
        <v>5869.43</v>
      </c>
      <c r="K1354" s="79">
        <f t="shared" si="104"/>
        <v>5869.43</v>
      </c>
      <c r="L1354" s="121"/>
    </row>
    <row r="1355" spans="2:12" ht="23.4" customHeight="1" x14ac:dyDescent="0.35">
      <c r="B1355" s="111">
        <f t="shared" si="101"/>
        <v>1345</v>
      </c>
      <c r="C1355" s="98" t="s">
        <v>258</v>
      </c>
      <c r="D1355" s="103" t="s">
        <v>32</v>
      </c>
      <c r="E1355" s="100">
        <v>1</v>
      </c>
      <c r="F1355" s="101"/>
      <c r="G1355" s="106"/>
      <c r="H1355" s="101">
        <f t="shared" si="105"/>
        <v>0</v>
      </c>
      <c r="I1355" s="101">
        <f t="shared" si="102"/>
        <v>0</v>
      </c>
      <c r="J1355" s="101">
        <f t="shared" si="103"/>
        <v>0</v>
      </c>
      <c r="K1355" s="101">
        <f t="shared" si="104"/>
        <v>0</v>
      </c>
      <c r="L1355" s="121"/>
    </row>
    <row r="1356" spans="2:12" ht="31" x14ac:dyDescent="0.35">
      <c r="B1356" s="111">
        <f t="shared" si="101"/>
        <v>1346</v>
      </c>
      <c r="C1356" s="64" t="s">
        <v>348</v>
      </c>
      <c r="D1356" s="81" t="s">
        <v>26</v>
      </c>
      <c r="E1356" s="78">
        <f>38.52*0.97</f>
        <v>37.364400000000003</v>
      </c>
      <c r="F1356" s="65"/>
      <c r="G1356" s="65">
        <v>300</v>
      </c>
      <c r="H1356" s="65">
        <f t="shared" si="105"/>
        <v>300</v>
      </c>
      <c r="I1356" s="79">
        <f t="shared" si="102"/>
        <v>0</v>
      </c>
      <c r="J1356" s="79">
        <f t="shared" si="103"/>
        <v>11209.32</v>
      </c>
      <c r="K1356" s="79">
        <f t="shared" si="104"/>
        <v>11209.32</v>
      </c>
      <c r="L1356" s="121"/>
    </row>
    <row r="1357" spans="2:12" x14ac:dyDescent="0.35">
      <c r="B1357" s="111">
        <f t="shared" ref="B1357:B1420" si="106">B1356+1</f>
        <v>1347</v>
      </c>
      <c r="C1357" s="64" t="s">
        <v>19</v>
      </c>
      <c r="D1357" s="81" t="s">
        <v>26</v>
      </c>
      <c r="E1357" s="78">
        <f>E1356/9</f>
        <v>4.1516000000000002</v>
      </c>
      <c r="F1357" s="65"/>
      <c r="G1357" s="65">
        <v>1500</v>
      </c>
      <c r="H1357" s="65">
        <f t="shared" si="105"/>
        <v>1500</v>
      </c>
      <c r="I1357" s="79">
        <f t="shared" ref="I1357:I1420" si="107">ROUND(F1357*E1357,2)</f>
        <v>0</v>
      </c>
      <c r="J1357" s="79">
        <f t="shared" ref="J1357:J1420" si="108">ROUND(G1357*E1357,2)</f>
        <v>6227.4</v>
      </c>
      <c r="K1357" s="79">
        <f t="shared" ref="K1357:K1420" si="109">I1357+J1357</f>
        <v>6227.4</v>
      </c>
      <c r="L1357" s="121"/>
    </row>
    <row r="1358" spans="2:12" x14ac:dyDescent="0.35">
      <c r="B1358" s="111">
        <f t="shared" si="106"/>
        <v>1348</v>
      </c>
      <c r="C1358" s="64" t="s">
        <v>67</v>
      </c>
      <c r="D1358" s="81" t="s">
        <v>25</v>
      </c>
      <c r="E1358" s="78">
        <f>(3.14*2.7^2)/4</f>
        <v>5.7226500000000007</v>
      </c>
      <c r="F1358" s="65"/>
      <c r="G1358" s="123"/>
      <c r="H1358" s="65">
        <f t="shared" si="105"/>
        <v>0</v>
      </c>
      <c r="I1358" s="79">
        <f t="shared" si="107"/>
        <v>0</v>
      </c>
      <c r="J1358" s="79">
        <f t="shared" si="108"/>
        <v>0</v>
      </c>
      <c r="K1358" s="79">
        <f t="shared" si="109"/>
        <v>0</v>
      </c>
      <c r="L1358" s="121"/>
    </row>
    <row r="1359" spans="2:12" x14ac:dyDescent="0.35">
      <c r="B1359" s="111">
        <f t="shared" si="106"/>
        <v>1349</v>
      </c>
      <c r="C1359" s="64" t="s">
        <v>68</v>
      </c>
      <c r="D1359" s="81" t="s">
        <v>26</v>
      </c>
      <c r="E1359" s="78">
        <f>(3.14*2.7^2)/4*0.1</f>
        <v>0.57226500000000013</v>
      </c>
      <c r="F1359" s="65"/>
      <c r="G1359" s="65">
        <v>5860</v>
      </c>
      <c r="H1359" s="65">
        <f t="shared" ref="H1359:H1422" si="110">F1359+G1359</f>
        <v>5860</v>
      </c>
      <c r="I1359" s="79">
        <f t="shared" si="107"/>
        <v>0</v>
      </c>
      <c r="J1359" s="79">
        <f t="shared" si="108"/>
        <v>3353.47</v>
      </c>
      <c r="K1359" s="79">
        <f t="shared" si="109"/>
        <v>3353.47</v>
      </c>
      <c r="L1359" s="121"/>
    </row>
    <row r="1360" spans="2:12" x14ac:dyDescent="0.35">
      <c r="B1360" s="111">
        <f t="shared" si="106"/>
        <v>1350</v>
      </c>
      <c r="C1360" s="80" t="s">
        <v>159</v>
      </c>
      <c r="D1360" s="81" t="s">
        <v>26</v>
      </c>
      <c r="E1360" s="78">
        <f>E1359*1.02</f>
        <v>0.58371030000000013</v>
      </c>
      <c r="F1360" s="65">
        <v>6700</v>
      </c>
      <c r="G1360" s="123"/>
      <c r="H1360" s="65">
        <f t="shared" si="110"/>
        <v>6700</v>
      </c>
      <c r="I1360" s="79">
        <f t="shared" si="107"/>
        <v>3910.86</v>
      </c>
      <c r="J1360" s="79">
        <f t="shared" si="108"/>
        <v>0</v>
      </c>
      <c r="K1360" s="79">
        <f t="shared" si="109"/>
        <v>3910.86</v>
      </c>
      <c r="L1360" s="121"/>
    </row>
    <row r="1361" spans="2:12" x14ac:dyDescent="0.35">
      <c r="B1361" s="111">
        <f t="shared" si="106"/>
        <v>1351</v>
      </c>
      <c r="C1361" s="64" t="s">
        <v>151</v>
      </c>
      <c r="D1361" s="81" t="s">
        <v>25</v>
      </c>
      <c r="E1361" s="78">
        <f>(3.14*2.5^2)/4</f>
        <v>4.90625</v>
      </c>
      <c r="F1361" s="65">
        <v>68.5</v>
      </c>
      <c r="G1361" s="65">
        <v>150</v>
      </c>
      <c r="H1361" s="65">
        <f t="shared" si="110"/>
        <v>218.5</v>
      </c>
      <c r="I1361" s="79">
        <f t="shared" si="107"/>
        <v>336.08</v>
      </c>
      <c r="J1361" s="79">
        <f t="shared" si="108"/>
        <v>735.94</v>
      </c>
      <c r="K1361" s="79">
        <f t="shared" si="109"/>
        <v>1072.02</v>
      </c>
      <c r="L1361" s="121"/>
    </row>
    <row r="1362" spans="2:12" ht="31" x14ac:dyDescent="0.35">
      <c r="B1362" s="111">
        <f t="shared" si="106"/>
        <v>1352</v>
      </c>
      <c r="C1362" s="64" t="s">
        <v>152</v>
      </c>
      <c r="D1362" s="81" t="s">
        <v>25</v>
      </c>
      <c r="E1362" s="78">
        <f>E1361</f>
        <v>4.90625</v>
      </c>
      <c r="F1362" s="65">
        <v>927</v>
      </c>
      <c r="G1362" s="65">
        <v>400</v>
      </c>
      <c r="H1362" s="65">
        <f t="shared" si="110"/>
        <v>1327</v>
      </c>
      <c r="I1362" s="79">
        <f t="shared" si="107"/>
        <v>4548.09</v>
      </c>
      <c r="J1362" s="79">
        <f t="shared" si="108"/>
        <v>1962.5</v>
      </c>
      <c r="K1362" s="79">
        <f t="shared" si="109"/>
        <v>6510.59</v>
      </c>
      <c r="L1362" s="121"/>
    </row>
    <row r="1363" spans="2:12" ht="31" x14ac:dyDescent="0.35">
      <c r="B1363" s="111">
        <f t="shared" si="106"/>
        <v>1353</v>
      </c>
      <c r="C1363" s="64" t="s">
        <v>69</v>
      </c>
      <c r="D1363" s="81" t="s">
        <v>32</v>
      </c>
      <c r="E1363" s="78">
        <v>1</v>
      </c>
      <c r="F1363" s="65"/>
      <c r="G1363" s="65">
        <v>5662</v>
      </c>
      <c r="H1363" s="65">
        <f t="shared" si="110"/>
        <v>5662</v>
      </c>
      <c r="I1363" s="79">
        <f t="shared" si="107"/>
        <v>0</v>
      </c>
      <c r="J1363" s="79">
        <f t="shared" si="108"/>
        <v>5662</v>
      </c>
      <c r="K1363" s="79">
        <f t="shared" si="109"/>
        <v>5662</v>
      </c>
      <c r="L1363" s="121"/>
    </row>
    <row r="1364" spans="2:12" x14ac:dyDescent="0.35">
      <c r="B1364" s="111">
        <f t="shared" si="106"/>
        <v>1354</v>
      </c>
      <c r="C1364" s="82" t="s">
        <v>71</v>
      </c>
      <c r="D1364" s="81" t="s">
        <v>32</v>
      </c>
      <c r="E1364" s="78">
        <v>1</v>
      </c>
      <c r="F1364" s="65">
        <f>7000*1.2</f>
        <v>8400</v>
      </c>
      <c r="G1364" s="123"/>
      <c r="H1364" s="65">
        <f t="shared" si="110"/>
        <v>8400</v>
      </c>
      <c r="I1364" s="79">
        <f t="shared" si="107"/>
        <v>8400</v>
      </c>
      <c r="J1364" s="79">
        <f t="shared" si="108"/>
        <v>0</v>
      </c>
      <c r="K1364" s="79">
        <f t="shared" si="109"/>
        <v>8400</v>
      </c>
      <c r="L1364" s="121"/>
    </row>
    <row r="1365" spans="2:12" x14ac:dyDescent="0.35">
      <c r="B1365" s="111">
        <f t="shared" si="106"/>
        <v>1355</v>
      </c>
      <c r="C1365" s="82" t="s">
        <v>101</v>
      </c>
      <c r="D1365" s="81" t="s">
        <v>26</v>
      </c>
      <c r="E1365" s="78">
        <f>((3.14*2^2)/4*0.02)*1.02</f>
        <v>6.4056000000000016E-2</v>
      </c>
      <c r="F1365" s="65">
        <v>7300</v>
      </c>
      <c r="G1365" s="123"/>
      <c r="H1365" s="65">
        <f t="shared" si="110"/>
        <v>7300</v>
      </c>
      <c r="I1365" s="79">
        <f t="shared" si="107"/>
        <v>467.61</v>
      </c>
      <c r="J1365" s="79">
        <f t="shared" si="108"/>
        <v>0</v>
      </c>
      <c r="K1365" s="79">
        <f t="shared" si="109"/>
        <v>467.61</v>
      </c>
      <c r="L1365" s="121"/>
    </row>
    <row r="1366" spans="2:12" ht="31" x14ac:dyDescent="0.35">
      <c r="B1366" s="111">
        <f t="shared" si="106"/>
        <v>1356</v>
      </c>
      <c r="C1366" s="64" t="s">
        <v>179</v>
      </c>
      <c r="D1366" s="81" t="s">
        <v>26</v>
      </c>
      <c r="E1366" s="78">
        <v>1.2</v>
      </c>
      <c r="F1366" s="65"/>
      <c r="G1366" s="65">
        <v>5860</v>
      </c>
      <c r="H1366" s="65">
        <f t="shared" si="110"/>
        <v>5860</v>
      </c>
      <c r="I1366" s="79">
        <f t="shared" si="107"/>
        <v>0</v>
      </c>
      <c r="J1366" s="79">
        <f t="shared" si="108"/>
        <v>7032</v>
      </c>
      <c r="K1366" s="79">
        <f t="shared" si="109"/>
        <v>7032</v>
      </c>
      <c r="L1366" s="121"/>
    </row>
    <row r="1367" spans="2:12" x14ac:dyDescent="0.35">
      <c r="B1367" s="111">
        <f t="shared" si="106"/>
        <v>1357</v>
      </c>
      <c r="C1367" s="82" t="s">
        <v>75</v>
      </c>
      <c r="D1367" s="81" t="s">
        <v>26</v>
      </c>
      <c r="E1367" s="78">
        <f>E1366*1.02</f>
        <v>1.224</v>
      </c>
      <c r="F1367" s="65">
        <v>7100</v>
      </c>
      <c r="G1367" s="123"/>
      <c r="H1367" s="65">
        <f t="shared" si="110"/>
        <v>7100</v>
      </c>
      <c r="I1367" s="79">
        <f t="shared" si="107"/>
        <v>8690.4</v>
      </c>
      <c r="J1367" s="79">
        <f t="shared" si="108"/>
        <v>0</v>
      </c>
      <c r="K1367" s="79">
        <f t="shared" si="109"/>
        <v>8690.4</v>
      </c>
      <c r="L1367" s="121"/>
    </row>
    <row r="1368" spans="2:12" ht="31" x14ac:dyDescent="0.35">
      <c r="B1368" s="111">
        <f t="shared" si="106"/>
        <v>1358</v>
      </c>
      <c r="C1368" s="64" t="s">
        <v>78</v>
      </c>
      <c r="D1368" s="81" t="s">
        <v>32</v>
      </c>
      <c r="E1368" s="78">
        <v>7</v>
      </c>
      <c r="F1368" s="65"/>
      <c r="G1368" s="65">
        <v>5662</v>
      </c>
      <c r="H1368" s="65">
        <f t="shared" si="110"/>
        <v>5662</v>
      </c>
      <c r="I1368" s="79">
        <f t="shared" si="107"/>
        <v>0</v>
      </c>
      <c r="J1368" s="79">
        <f t="shared" si="108"/>
        <v>39634</v>
      </c>
      <c r="K1368" s="79">
        <f t="shared" si="109"/>
        <v>39634</v>
      </c>
      <c r="L1368" s="121"/>
    </row>
    <row r="1369" spans="2:12" x14ac:dyDescent="0.35">
      <c r="B1369" s="111">
        <f t="shared" si="106"/>
        <v>1359</v>
      </c>
      <c r="C1369" s="82" t="s">
        <v>76</v>
      </c>
      <c r="D1369" s="81" t="s">
        <v>32</v>
      </c>
      <c r="E1369" s="78">
        <v>3</v>
      </c>
      <c r="F1369" s="65">
        <f>7000*1.2</f>
        <v>8400</v>
      </c>
      <c r="G1369" s="123"/>
      <c r="H1369" s="65">
        <f t="shared" si="110"/>
        <v>8400</v>
      </c>
      <c r="I1369" s="79">
        <f t="shared" si="107"/>
        <v>25200</v>
      </c>
      <c r="J1369" s="79">
        <f t="shared" si="108"/>
        <v>0</v>
      </c>
      <c r="K1369" s="79">
        <f t="shared" si="109"/>
        <v>25200</v>
      </c>
      <c r="L1369" s="121"/>
    </row>
    <row r="1370" spans="2:12" x14ac:dyDescent="0.35">
      <c r="B1370" s="111">
        <f t="shared" si="106"/>
        <v>1360</v>
      </c>
      <c r="C1370" s="82" t="s">
        <v>77</v>
      </c>
      <c r="D1370" s="81" t="s">
        <v>32</v>
      </c>
      <c r="E1370" s="78">
        <v>2</v>
      </c>
      <c r="F1370" s="65">
        <f>5500*1.2</f>
        <v>6600</v>
      </c>
      <c r="G1370" s="123"/>
      <c r="H1370" s="65">
        <f t="shared" si="110"/>
        <v>6600</v>
      </c>
      <c r="I1370" s="79">
        <f t="shared" si="107"/>
        <v>13200</v>
      </c>
      <c r="J1370" s="79">
        <f t="shared" si="108"/>
        <v>0</v>
      </c>
      <c r="K1370" s="79">
        <f t="shared" si="109"/>
        <v>13200</v>
      </c>
      <c r="L1370" s="121"/>
    </row>
    <row r="1371" spans="2:12" x14ac:dyDescent="0.35">
      <c r="B1371" s="111">
        <f t="shared" si="106"/>
        <v>1361</v>
      </c>
      <c r="C1371" s="82" t="s">
        <v>294</v>
      </c>
      <c r="D1371" s="81" t="s">
        <v>32</v>
      </c>
      <c r="E1371" s="78">
        <v>1</v>
      </c>
      <c r="F1371" s="65">
        <f>1200*1.2</f>
        <v>1440</v>
      </c>
      <c r="G1371" s="123"/>
      <c r="H1371" s="65">
        <f t="shared" si="110"/>
        <v>1440</v>
      </c>
      <c r="I1371" s="79">
        <f t="shared" si="107"/>
        <v>1440</v>
      </c>
      <c r="J1371" s="79">
        <f t="shared" si="108"/>
        <v>0</v>
      </c>
      <c r="K1371" s="79">
        <f t="shared" si="109"/>
        <v>1440</v>
      </c>
      <c r="L1371" s="121"/>
    </row>
    <row r="1372" spans="2:12" x14ac:dyDescent="0.35">
      <c r="B1372" s="111">
        <f t="shared" si="106"/>
        <v>1362</v>
      </c>
      <c r="C1372" s="82" t="s">
        <v>293</v>
      </c>
      <c r="D1372" s="81" t="s">
        <v>32</v>
      </c>
      <c r="E1372" s="78">
        <v>1</v>
      </c>
      <c r="F1372" s="65">
        <f>900*1.2</f>
        <v>1080</v>
      </c>
      <c r="G1372" s="123"/>
      <c r="H1372" s="65">
        <f t="shared" si="110"/>
        <v>1080</v>
      </c>
      <c r="I1372" s="79">
        <f t="shared" si="107"/>
        <v>1080</v>
      </c>
      <c r="J1372" s="79">
        <f t="shared" si="108"/>
        <v>0</v>
      </c>
      <c r="K1372" s="79">
        <f t="shared" si="109"/>
        <v>1080</v>
      </c>
      <c r="L1372" s="121"/>
    </row>
    <row r="1373" spans="2:12" ht="31" x14ac:dyDescent="0.35">
      <c r="B1373" s="111">
        <f t="shared" si="106"/>
        <v>1363</v>
      </c>
      <c r="C1373" s="64" t="s">
        <v>85</v>
      </c>
      <c r="D1373" s="81" t="s">
        <v>32</v>
      </c>
      <c r="E1373" s="78">
        <v>1</v>
      </c>
      <c r="F1373" s="65"/>
      <c r="G1373" s="65">
        <v>2500</v>
      </c>
      <c r="H1373" s="65">
        <f t="shared" si="110"/>
        <v>2500</v>
      </c>
      <c r="I1373" s="79">
        <f t="shared" si="107"/>
        <v>0</v>
      </c>
      <c r="J1373" s="79">
        <f t="shared" si="108"/>
        <v>2500</v>
      </c>
      <c r="K1373" s="79">
        <f t="shared" si="109"/>
        <v>2500</v>
      </c>
      <c r="L1373" s="121"/>
    </row>
    <row r="1374" spans="2:12" x14ac:dyDescent="0.35">
      <c r="B1374" s="111">
        <f t="shared" si="106"/>
        <v>1364</v>
      </c>
      <c r="C1374" s="82" t="s">
        <v>79</v>
      </c>
      <c r="D1374" s="81" t="s">
        <v>32</v>
      </c>
      <c r="E1374" s="78">
        <v>1</v>
      </c>
      <c r="F1374" s="65">
        <f>6500*1.2</f>
        <v>7800</v>
      </c>
      <c r="G1374" s="123"/>
      <c r="H1374" s="65">
        <f t="shared" si="110"/>
        <v>7800</v>
      </c>
      <c r="I1374" s="79">
        <f t="shared" si="107"/>
        <v>7800</v>
      </c>
      <c r="J1374" s="79">
        <f t="shared" si="108"/>
        <v>0</v>
      </c>
      <c r="K1374" s="79">
        <f t="shared" si="109"/>
        <v>7800</v>
      </c>
      <c r="L1374" s="121"/>
    </row>
    <row r="1375" spans="2:12" ht="31" x14ac:dyDescent="0.35">
      <c r="B1375" s="111">
        <f t="shared" si="106"/>
        <v>1365</v>
      </c>
      <c r="C1375" s="64" t="s">
        <v>316</v>
      </c>
      <c r="D1375" s="81" t="s">
        <v>32</v>
      </c>
      <c r="E1375" s="78">
        <v>1</v>
      </c>
      <c r="F1375" s="65"/>
      <c r="G1375" s="65"/>
      <c r="H1375" s="65">
        <f t="shared" si="110"/>
        <v>0</v>
      </c>
      <c r="I1375" s="79">
        <f t="shared" si="107"/>
        <v>0</v>
      </c>
      <c r="J1375" s="79">
        <f t="shared" si="108"/>
        <v>0</v>
      </c>
      <c r="K1375" s="79">
        <f t="shared" si="109"/>
        <v>0</v>
      </c>
      <c r="L1375" s="121"/>
    </row>
    <row r="1376" spans="2:12" x14ac:dyDescent="0.35">
      <c r="B1376" s="111">
        <f t="shared" si="106"/>
        <v>1366</v>
      </c>
      <c r="C1376" s="88" t="s">
        <v>84</v>
      </c>
      <c r="D1376" s="81" t="s">
        <v>32</v>
      </c>
      <c r="E1376" s="78">
        <v>1</v>
      </c>
      <c r="F1376" s="65">
        <v>1300</v>
      </c>
      <c r="G1376" s="65">
        <v>990</v>
      </c>
      <c r="H1376" s="65">
        <f t="shared" si="110"/>
        <v>2290</v>
      </c>
      <c r="I1376" s="79">
        <f t="shared" si="107"/>
        <v>1300</v>
      </c>
      <c r="J1376" s="79">
        <f t="shared" si="108"/>
        <v>990</v>
      </c>
      <c r="K1376" s="79">
        <f t="shared" si="109"/>
        <v>2290</v>
      </c>
      <c r="L1376" s="121"/>
    </row>
    <row r="1377" spans="2:12" x14ac:dyDescent="0.35">
      <c r="B1377" s="111">
        <f t="shared" si="106"/>
        <v>1367</v>
      </c>
      <c r="C1377" s="80" t="s">
        <v>301</v>
      </c>
      <c r="D1377" s="81" t="s">
        <v>32</v>
      </c>
      <c r="E1377" s="78">
        <v>1</v>
      </c>
      <c r="F1377" s="65">
        <v>6000</v>
      </c>
      <c r="G1377" s="65">
        <v>1464.09</v>
      </c>
      <c r="H1377" s="65">
        <f t="shared" si="110"/>
        <v>7464.09</v>
      </c>
      <c r="I1377" s="79">
        <f t="shared" si="107"/>
        <v>6000</v>
      </c>
      <c r="J1377" s="79">
        <f t="shared" si="108"/>
        <v>1464.09</v>
      </c>
      <c r="K1377" s="79">
        <f t="shared" si="109"/>
        <v>7464.09</v>
      </c>
      <c r="L1377" s="121"/>
    </row>
    <row r="1378" spans="2:12" ht="31" x14ac:dyDescent="0.35">
      <c r="B1378" s="111">
        <f t="shared" si="106"/>
        <v>1368</v>
      </c>
      <c r="C1378" s="64" t="s">
        <v>156</v>
      </c>
      <c r="D1378" s="81" t="s">
        <v>25</v>
      </c>
      <c r="E1378" s="78">
        <f>(3.14*2.2)*4.95</f>
        <v>34.194600000000008</v>
      </c>
      <c r="F1378" s="65">
        <v>68.5</v>
      </c>
      <c r="G1378" s="65">
        <v>150</v>
      </c>
      <c r="H1378" s="65">
        <f t="shared" si="110"/>
        <v>218.5</v>
      </c>
      <c r="I1378" s="79">
        <f t="shared" si="107"/>
        <v>2342.33</v>
      </c>
      <c r="J1378" s="79">
        <f t="shared" si="108"/>
        <v>5129.1899999999996</v>
      </c>
      <c r="K1378" s="79">
        <f t="shared" si="109"/>
        <v>7471.5199999999995</v>
      </c>
      <c r="L1378" s="121"/>
    </row>
    <row r="1379" spans="2:12" ht="46.5" x14ac:dyDescent="0.35">
      <c r="B1379" s="111">
        <f t="shared" si="106"/>
        <v>1369</v>
      </c>
      <c r="C1379" s="64" t="s">
        <v>157</v>
      </c>
      <c r="D1379" s="81" t="s">
        <v>25</v>
      </c>
      <c r="E1379" s="78">
        <f>(3.14*2.2)*4.95</f>
        <v>34.194600000000008</v>
      </c>
      <c r="F1379" s="65">
        <v>927</v>
      </c>
      <c r="G1379" s="65">
        <v>400</v>
      </c>
      <c r="H1379" s="65">
        <f t="shared" si="110"/>
        <v>1327</v>
      </c>
      <c r="I1379" s="79">
        <f t="shared" si="107"/>
        <v>31698.39</v>
      </c>
      <c r="J1379" s="79">
        <f t="shared" si="108"/>
        <v>13677.84</v>
      </c>
      <c r="K1379" s="79">
        <f t="shared" si="109"/>
        <v>45376.229999999996</v>
      </c>
      <c r="L1379" s="121"/>
    </row>
    <row r="1380" spans="2:12" x14ac:dyDescent="0.35">
      <c r="B1380" s="111">
        <f t="shared" si="106"/>
        <v>1370</v>
      </c>
      <c r="C1380" s="64" t="s">
        <v>335</v>
      </c>
      <c r="D1380" s="81" t="s">
        <v>32</v>
      </c>
      <c r="E1380" s="78">
        <v>1</v>
      </c>
      <c r="F1380" s="68"/>
      <c r="G1380" s="123"/>
      <c r="H1380" s="65">
        <f t="shared" si="110"/>
        <v>0</v>
      </c>
      <c r="I1380" s="79">
        <f t="shared" si="107"/>
        <v>0</v>
      </c>
      <c r="J1380" s="79">
        <f t="shared" si="108"/>
        <v>0</v>
      </c>
      <c r="K1380" s="79">
        <f t="shared" si="109"/>
        <v>0</v>
      </c>
      <c r="L1380" s="121"/>
    </row>
    <row r="1381" spans="2:12" x14ac:dyDescent="0.35">
      <c r="B1381" s="111">
        <f t="shared" si="106"/>
        <v>1371</v>
      </c>
      <c r="C1381" s="82" t="s">
        <v>336</v>
      </c>
      <c r="D1381" s="81" t="s">
        <v>31</v>
      </c>
      <c r="E1381" s="78">
        <v>46.06</v>
      </c>
      <c r="F1381" s="68">
        <v>71</v>
      </c>
      <c r="G1381" s="65">
        <v>97.61</v>
      </c>
      <c r="H1381" s="65">
        <f t="shared" si="110"/>
        <v>168.61</v>
      </c>
      <c r="I1381" s="79">
        <f t="shared" si="107"/>
        <v>3270.26</v>
      </c>
      <c r="J1381" s="79">
        <f t="shared" si="108"/>
        <v>4495.92</v>
      </c>
      <c r="K1381" s="79">
        <f t="shared" si="109"/>
        <v>7766.18</v>
      </c>
      <c r="L1381" s="121"/>
    </row>
    <row r="1382" spans="2:12" x14ac:dyDescent="0.35">
      <c r="B1382" s="111">
        <f t="shared" si="106"/>
        <v>1372</v>
      </c>
      <c r="C1382" s="64" t="s">
        <v>93</v>
      </c>
      <c r="D1382" s="81" t="s">
        <v>32</v>
      </c>
      <c r="E1382" s="78">
        <v>2</v>
      </c>
      <c r="F1382" s="68"/>
      <c r="G1382" s="123"/>
      <c r="H1382" s="65">
        <f t="shared" si="110"/>
        <v>0</v>
      </c>
      <c r="I1382" s="79">
        <f t="shared" si="107"/>
        <v>0</v>
      </c>
      <c r="J1382" s="79">
        <f t="shared" si="108"/>
        <v>0</v>
      </c>
      <c r="K1382" s="79">
        <f t="shared" si="109"/>
        <v>0</v>
      </c>
      <c r="L1382" s="121"/>
    </row>
    <row r="1383" spans="2:12" x14ac:dyDescent="0.35">
      <c r="B1383" s="111">
        <f t="shared" si="106"/>
        <v>1373</v>
      </c>
      <c r="C1383" s="82" t="s">
        <v>94</v>
      </c>
      <c r="D1383" s="81" t="s">
        <v>31</v>
      </c>
      <c r="E1383" s="78">
        <f>0.82*E1382</f>
        <v>1.64</v>
      </c>
      <c r="F1383" s="68">
        <v>71</v>
      </c>
      <c r="G1383" s="65">
        <v>97.61</v>
      </c>
      <c r="H1383" s="65">
        <f t="shared" si="110"/>
        <v>168.61</v>
      </c>
      <c r="I1383" s="79">
        <f t="shared" si="107"/>
        <v>116.44</v>
      </c>
      <c r="J1383" s="79">
        <f t="shared" si="108"/>
        <v>160.08000000000001</v>
      </c>
      <c r="K1383" s="79">
        <f t="shared" si="109"/>
        <v>276.52</v>
      </c>
      <c r="L1383" s="121"/>
    </row>
    <row r="1384" spans="2:12" ht="31" x14ac:dyDescent="0.35">
      <c r="B1384" s="111">
        <f t="shared" si="106"/>
        <v>1374</v>
      </c>
      <c r="C1384" s="64" t="s">
        <v>304</v>
      </c>
      <c r="D1384" s="81" t="s">
        <v>32</v>
      </c>
      <c r="E1384" s="78">
        <v>3</v>
      </c>
      <c r="F1384" s="68"/>
      <c r="G1384" s="65">
        <v>1464</v>
      </c>
      <c r="H1384" s="65">
        <f t="shared" si="110"/>
        <v>1464</v>
      </c>
      <c r="I1384" s="79">
        <f t="shared" si="107"/>
        <v>0</v>
      </c>
      <c r="J1384" s="79">
        <f t="shared" si="108"/>
        <v>4392</v>
      </c>
      <c r="K1384" s="79">
        <f t="shared" si="109"/>
        <v>4392</v>
      </c>
      <c r="L1384" s="121"/>
    </row>
    <row r="1385" spans="2:12" x14ac:dyDescent="0.35">
      <c r="B1385" s="111">
        <f t="shared" si="106"/>
        <v>1375</v>
      </c>
      <c r="C1385" s="64" t="s">
        <v>337</v>
      </c>
      <c r="D1385" s="81"/>
      <c r="E1385" s="78"/>
      <c r="F1385" s="68"/>
      <c r="G1385" s="123"/>
      <c r="H1385" s="65">
        <f t="shared" si="110"/>
        <v>0</v>
      </c>
      <c r="I1385" s="79">
        <f t="shared" si="107"/>
        <v>0</v>
      </c>
      <c r="J1385" s="79">
        <f t="shared" si="108"/>
        <v>0</v>
      </c>
      <c r="K1385" s="79">
        <f t="shared" si="109"/>
        <v>0</v>
      </c>
      <c r="L1385" s="121">
        <v>1</v>
      </c>
    </row>
    <row r="1386" spans="2:12" ht="31" x14ac:dyDescent="0.35">
      <c r="B1386" s="111">
        <f t="shared" si="106"/>
        <v>1376</v>
      </c>
      <c r="C1386" s="80" t="s">
        <v>360</v>
      </c>
      <c r="D1386" s="81" t="s">
        <v>32</v>
      </c>
      <c r="E1386" s="78">
        <v>1</v>
      </c>
      <c r="F1386" s="68">
        <v>2263</v>
      </c>
      <c r="G1386" s="65">
        <v>1700</v>
      </c>
      <c r="H1386" s="65">
        <f t="shared" si="110"/>
        <v>3963</v>
      </c>
      <c r="I1386" s="79">
        <f t="shared" si="107"/>
        <v>2263</v>
      </c>
      <c r="J1386" s="79">
        <f t="shared" si="108"/>
        <v>1700</v>
      </c>
      <c r="K1386" s="79">
        <f t="shared" si="109"/>
        <v>3963</v>
      </c>
      <c r="L1386" s="121"/>
    </row>
    <row r="1387" spans="2:12" ht="31" x14ac:dyDescent="0.35">
      <c r="B1387" s="111">
        <f t="shared" si="106"/>
        <v>1377</v>
      </c>
      <c r="C1387" s="80" t="s">
        <v>361</v>
      </c>
      <c r="D1387" s="81" t="s">
        <v>32</v>
      </c>
      <c r="E1387" s="78">
        <v>1</v>
      </c>
      <c r="F1387" s="68">
        <v>1303</v>
      </c>
      <c r="G1387" s="65">
        <v>1700</v>
      </c>
      <c r="H1387" s="65">
        <f t="shared" si="110"/>
        <v>3003</v>
      </c>
      <c r="I1387" s="79">
        <f t="shared" si="107"/>
        <v>1303</v>
      </c>
      <c r="J1387" s="79">
        <f t="shared" si="108"/>
        <v>1700</v>
      </c>
      <c r="K1387" s="79">
        <f t="shared" si="109"/>
        <v>3003</v>
      </c>
      <c r="L1387" s="121"/>
    </row>
    <row r="1388" spans="2:12" ht="31" x14ac:dyDescent="0.35">
      <c r="B1388" s="111">
        <f t="shared" si="106"/>
        <v>1378</v>
      </c>
      <c r="C1388" s="80" t="s">
        <v>63</v>
      </c>
      <c r="D1388" s="81" t="s">
        <v>27</v>
      </c>
      <c r="E1388" s="78">
        <f>0.57*1.1</f>
        <v>0.627</v>
      </c>
      <c r="F1388" s="68">
        <v>855</v>
      </c>
      <c r="G1388" s="65">
        <v>1700</v>
      </c>
      <c r="H1388" s="65">
        <f t="shared" si="110"/>
        <v>2555</v>
      </c>
      <c r="I1388" s="79">
        <f t="shared" si="107"/>
        <v>536.09</v>
      </c>
      <c r="J1388" s="79">
        <f t="shared" si="108"/>
        <v>1065.9000000000001</v>
      </c>
      <c r="K1388" s="79">
        <f t="shared" si="109"/>
        <v>1601.9900000000002</v>
      </c>
      <c r="L1388" s="121"/>
    </row>
    <row r="1389" spans="2:12" ht="33" x14ac:dyDescent="0.35">
      <c r="B1389" s="111">
        <f t="shared" si="106"/>
        <v>1379</v>
      </c>
      <c r="C1389" s="64" t="s">
        <v>362</v>
      </c>
      <c r="D1389" s="81" t="s">
        <v>26</v>
      </c>
      <c r="E1389" s="78">
        <f>51.7-18.81</f>
        <v>32.89</v>
      </c>
      <c r="F1389" s="68"/>
      <c r="G1389" s="65">
        <v>439</v>
      </c>
      <c r="H1389" s="65">
        <f t="shared" si="110"/>
        <v>439</v>
      </c>
      <c r="I1389" s="79">
        <f t="shared" si="107"/>
        <v>0</v>
      </c>
      <c r="J1389" s="79">
        <f t="shared" si="108"/>
        <v>14438.71</v>
      </c>
      <c r="K1389" s="79">
        <f t="shared" si="109"/>
        <v>14438.71</v>
      </c>
      <c r="L1389" s="121"/>
    </row>
    <row r="1390" spans="2:12" ht="30" x14ac:dyDescent="0.35">
      <c r="B1390" s="111">
        <f t="shared" si="106"/>
        <v>1380</v>
      </c>
      <c r="C1390" s="98" t="s">
        <v>259</v>
      </c>
      <c r="D1390" s="99" t="s">
        <v>27</v>
      </c>
      <c r="E1390" s="100">
        <v>6.1</v>
      </c>
      <c r="F1390" s="101"/>
      <c r="G1390" s="106"/>
      <c r="H1390" s="101">
        <f t="shared" si="110"/>
        <v>0</v>
      </c>
      <c r="I1390" s="101">
        <f t="shared" si="107"/>
        <v>0</v>
      </c>
      <c r="J1390" s="101">
        <f t="shared" si="108"/>
        <v>0</v>
      </c>
      <c r="K1390" s="101">
        <f t="shared" si="109"/>
        <v>0</v>
      </c>
      <c r="L1390" s="121"/>
    </row>
    <row r="1391" spans="2:12" ht="31" x14ac:dyDescent="0.35">
      <c r="B1391" s="111">
        <f t="shared" si="106"/>
        <v>1381</v>
      </c>
      <c r="C1391" s="64" t="s">
        <v>348</v>
      </c>
      <c r="D1391" s="77" t="s">
        <v>26</v>
      </c>
      <c r="E1391" s="78">
        <f>0.97*39.81</f>
        <v>38.615700000000004</v>
      </c>
      <c r="F1391" s="65"/>
      <c r="G1391" s="65">
        <v>300</v>
      </c>
      <c r="H1391" s="65">
        <f t="shared" si="110"/>
        <v>300</v>
      </c>
      <c r="I1391" s="79">
        <f t="shared" si="107"/>
        <v>0</v>
      </c>
      <c r="J1391" s="79">
        <f t="shared" si="108"/>
        <v>11584.71</v>
      </c>
      <c r="K1391" s="79">
        <f t="shared" si="109"/>
        <v>11584.71</v>
      </c>
      <c r="L1391" s="121"/>
    </row>
    <row r="1392" spans="2:12" x14ac:dyDescent="0.35">
      <c r="B1392" s="111">
        <f t="shared" si="106"/>
        <v>1382</v>
      </c>
      <c r="C1392" s="64" t="s">
        <v>19</v>
      </c>
      <c r="D1392" s="77" t="s">
        <v>26</v>
      </c>
      <c r="E1392" s="78">
        <f>E1391/97*3</f>
        <v>1.1943000000000001</v>
      </c>
      <c r="F1392" s="65"/>
      <c r="G1392" s="65">
        <v>1500</v>
      </c>
      <c r="H1392" s="65">
        <f t="shared" si="110"/>
        <v>1500</v>
      </c>
      <c r="I1392" s="79">
        <f t="shared" si="107"/>
        <v>0</v>
      </c>
      <c r="J1392" s="79">
        <f t="shared" si="108"/>
        <v>1791.45</v>
      </c>
      <c r="K1392" s="79">
        <f t="shared" si="109"/>
        <v>1791.45</v>
      </c>
      <c r="L1392" s="121"/>
    </row>
    <row r="1393" spans="2:12" x14ac:dyDescent="0.35">
      <c r="B1393" s="111">
        <f t="shared" si="106"/>
        <v>1383</v>
      </c>
      <c r="C1393" s="64" t="s">
        <v>184</v>
      </c>
      <c r="D1393" s="77" t="s">
        <v>25</v>
      </c>
      <c r="E1393" s="78">
        <f>E1390*0.75</f>
        <v>4.5749999999999993</v>
      </c>
      <c r="F1393" s="65"/>
      <c r="G1393" s="123"/>
      <c r="H1393" s="65">
        <f t="shared" si="110"/>
        <v>0</v>
      </c>
      <c r="I1393" s="79">
        <f t="shared" si="107"/>
        <v>0</v>
      </c>
      <c r="J1393" s="79">
        <f t="shared" si="108"/>
        <v>0</v>
      </c>
      <c r="K1393" s="79">
        <f t="shared" si="109"/>
        <v>0</v>
      </c>
      <c r="L1393" s="121"/>
    </row>
    <row r="1394" spans="2:12" ht="31" x14ac:dyDescent="0.35">
      <c r="B1394" s="111">
        <f t="shared" si="106"/>
        <v>1384</v>
      </c>
      <c r="C1394" s="64" t="s">
        <v>194</v>
      </c>
      <c r="D1394" s="77" t="s">
        <v>25</v>
      </c>
      <c r="E1394" s="78">
        <f>E1390*0.48</f>
        <v>2.9279999999999999</v>
      </c>
      <c r="F1394" s="65">
        <f>1973*0.15</f>
        <v>295.95</v>
      </c>
      <c r="G1394" s="65">
        <f>1500*0.15</f>
        <v>225</v>
      </c>
      <c r="H1394" s="65">
        <f t="shared" si="110"/>
        <v>520.95000000000005</v>
      </c>
      <c r="I1394" s="79">
        <f t="shared" si="107"/>
        <v>866.54</v>
      </c>
      <c r="J1394" s="79">
        <f t="shared" si="108"/>
        <v>658.8</v>
      </c>
      <c r="K1394" s="79">
        <f t="shared" si="109"/>
        <v>1525.34</v>
      </c>
      <c r="L1394" s="121"/>
    </row>
    <row r="1395" spans="2:12" x14ac:dyDescent="0.35">
      <c r="B1395" s="111">
        <f t="shared" si="106"/>
        <v>1385</v>
      </c>
      <c r="C1395" s="64" t="s">
        <v>20</v>
      </c>
      <c r="D1395" s="77" t="s">
        <v>26</v>
      </c>
      <c r="E1395" s="78">
        <f>0.34*E1390*0.1</f>
        <v>0.2074</v>
      </c>
      <c r="F1395" s="65"/>
      <c r="G1395" s="65">
        <v>5860</v>
      </c>
      <c r="H1395" s="65">
        <f t="shared" si="110"/>
        <v>5860</v>
      </c>
      <c r="I1395" s="79">
        <f t="shared" si="107"/>
        <v>0</v>
      </c>
      <c r="J1395" s="79">
        <f t="shared" si="108"/>
        <v>1215.3599999999999</v>
      </c>
      <c r="K1395" s="79">
        <f t="shared" si="109"/>
        <v>1215.3599999999999</v>
      </c>
      <c r="L1395" s="121"/>
    </row>
    <row r="1396" spans="2:12" x14ac:dyDescent="0.35">
      <c r="B1396" s="111">
        <f t="shared" si="106"/>
        <v>1386</v>
      </c>
      <c r="C1396" s="80" t="s">
        <v>159</v>
      </c>
      <c r="D1396" s="77" t="s">
        <v>26</v>
      </c>
      <c r="E1396" s="78">
        <f>E1395*1.02</f>
        <v>0.21154800000000001</v>
      </c>
      <c r="F1396" s="65">
        <v>6700</v>
      </c>
      <c r="G1396" s="123"/>
      <c r="H1396" s="65">
        <f t="shared" si="110"/>
        <v>6700</v>
      </c>
      <c r="I1396" s="79">
        <f t="shared" si="107"/>
        <v>1417.37</v>
      </c>
      <c r="J1396" s="79">
        <f t="shared" si="108"/>
        <v>0</v>
      </c>
      <c r="K1396" s="79">
        <f t="shared" si="109"/>
        <v>1417.37</v>
      </c>
      <c r="L1396" s="121"/>
    </row>
    <row r="1397" spans="2:12" x14ac:dyDescent="0.35">
      <c r="B1397" s="111">
        <f t="shared" si="106"/>
        <v>1387</v>
      </c>
      <c r="C1397" s="64" t="s">
        <v>28</v>
      </c>
      <c r="D1397" s="77" t="s">
        <v>26</v>
      </c>
      <c r="E1397" s="78">
        <f>E1390*0.8/10</f>
        <v>0.48799999999999999</v>
      </c>
      <c r="F1397" s="65"/>
      <c r="G1397" s="65">
        <v>5860</v>
      </c>
      <c r="H1397" s="65">
        <f t="shared" si="110"/>
        <v>5860</v>
      </c>
      <c r="I1397" s="79">
        <f t="shared" si="107"/>
        <v>0</v>
      </c>
      <c r="J1397" s="79">
        <f t="shared" si="108"/>
        <v>2859.68</v>
      </c>
      <c r="K1397" s="79">
        <f t="shared" si="109"/>
        <v>2859.68</v>
      </c>
      <c r="L1397" s="121"/>
    </row>
    <row r="1398" spans="2:12" x14ac:dyDescent="0.35">
      <c r="B1398" s="111">
        <f t="shared" si="106"/>
        <v>1388</v>
      </c>
      <c r="C1398" s="80" t="s">
        <v>29</v>
      </c>
      <c r="D1398" s="77" t="s">
        <v>26</v>
      </c>
      <c r="E1398" s="78">
        <f>E1397*1.02</f>
        <v>0.49775999999999998</v>
      </c>
      <c r="F1398" s="65">
        <v>7100</v>
      </c>
      <c r="G1398" s="123"/>
      <c r="H1398" s="65">
        <f t="shared" si="110"/>
        <v>7100</v>
      </c>
      <c r="I1398" s="79">
        <f t="shared" si="107"/>
        <v>3534.1</v>
      </c>
      <c r="J1398" s="79">
        <f t="shared" si="108"/>
        <v>0</v>
      </c>
      <c r="K1398" s="79">
        <f t="shared" si="109"/>
        <v>3534.1</v>
      </c>
      <c r="L1398" s="121"/>
    </row>
    <row r="1399" spans="2:12" x14ac:dyDescent="0.35">
      <c r="B1399" s="111">
        <f t="shared" si="106"/>
        <v>1389</v>
      </c>
      <c r="C1399" s="80" t="s">
        <v>30</v>
      </c>
      <c r="D1399" s="77" t="s">
        <v>31</v>
      </c>
      <c r="E1399" s="78">
        <f>E1390*1.22</f>
        <v>7.4419999999999993</v>
      </c>
      <c r="F1399" s="65">
        <v>118.9</v>
      </c>
      <c r="G1399" s="123"/>
      <c r="H1399" s="65">
        <f t="shared" si="110"/>
        <v>118.9</v>
      </c>
      <c r="I1399" s="79">
        <f t="shared" si="107"/>
        <v>884.85</v>
      </c>
      <c r="J1399" s="79">
        <f t="shared" si="108"/>
        <v>0</v>
      </c>
      <c r="K1399" s="79">
        <f t="shared" si="109"/>
        <v>884.85</v>
      </c>
      <c r="L1399" s="121"/>
    </row>
    <row r="1400" spans="2:12" x14ac:dyDescent="0.35">
      <c r="B1400" s="111">
        <f t="shared" si="106"/>
        <v>1390</v>
      </c>
      <c r="C1400" s="64" t="s">
        <v>189</v>
      </c>
      <c r="D1400" s="77" t="s">
        <v>27</v>
      </c>
      <c r="E1400" s="78">
        <f>E1390</f>
        <v>6.1</v>
      </c>
      <c r="F1400" s="65"/>
      <c r="G1400" s="65">
        <v>2928</v>
      </c>
      <c r="H1400" s="65">
        <f t="shared" si="110"/>
        <v>2928</v>
      </c>
      <c r="I1400" s="79">
        <f t="shared" si="107"/>
        <v>0</v>
      </c>
      <c r="J1400" s="79">
        <f t="shared" si="108"/>
        <v>17860.8</v>
      </c>
      <c r="K1400" s="79">
        <f t="shared" si="109"/>
        <v>17860.8</v>
      </c>
      <c r="L1400" s="121"/>
    </row>
    <row r="1401" spans="2:12" ht="31" x14ac:dyDescent="0.35">
      <c r="B1401" s="111">
        <f t="shared" si="106"/>
        <v>1391</v>
      </c>
      <c r="C1401" s="80" t="s">
        <v>195</v>
      </c>
      <c r="D1401" s="77" t="s">
        <v>27</v>
      </c>
      <c r="E1401" s="78">
        <f>E1400*1.1</f>
        <v>6.71</v>
      </c>
      <c r="F1401" s="65">
        <v>855</v>
      </c>
      <c r="G1401" s="65"/>
      <c r="H1401" s="65">
        <f t="shared" si="110"/>
        <v>855</v>
      </c>
      <c r="I1401" s="79">
        <f t="shared" si="107"/>
        <v>5737.05</v>
      </c>
      <c r="J1401" s="79">
        <f t="shared" si="108"/>
        <v>0</v>
      </c>
      <c r="K1401" s="79">
        <f t="shared" si="109"/>
        <v>5737.05</v>
      </c>
      <c r="L1401" s="121"/>
    </row>
    <row r="1402" spans="2:12" ht="33" x14ac:dyDescent="0.35">
      <c r="B1402" s="111">
        <f t="shared" si="106"/>
        <v>1392</v>
      </c>
      <c r="C1402" s="64" t="s">
        <v>355</v>
      </c>
      <c r="D1402" s="81" t="s">
        <v>26</v>
      </c>
      <c r="E1402" s="78">
        <v>48.14</v>
      </c>
      <c r="F1402" s="65"/>
      <c r="G1402" s="65">
        <v>439</v>
      </c>
      <c r="H1402" s="65">
        <f t="shared" si="110"/>
        <v>439</v>
      </c>
      <c r="I1402" s="79">
        <f t="shared" si="107"/>
        <v>0</v>
      </c>
      <c r="J1402" s="79">
        <f t="shared" si="108"/>
        <v>21133.46</v>
      </c>
      <c r="K1402" s="79">
        <f t="shared" si="109"/>
        <v>21133.46</v>
      </c>
      <c r="L1402" s="121"/>
    </row>
    <row r="1403" spans="2:12" ht="24" customHeight="1" x14ac:dyDescent="0.35">
      <c r="B1403" s="111">
        <f t="shared" si="106"/>
        <v>1393</v>
      </c>
      <c r="C1403" s="98" t="s">
        <v>260</v>
      </c>
      <c r="D1403" s="103" t="s">
        <v>32</v>
      </c>
      <c r="E1403" s="100">
        <v>1</v>
      </c>
      <c r="F1403" s="101"/>
      <c r="G1403" s="106"/>
      <c r="H1403" s="101">
        <f t="shared" si="110"/>
        <v>0</v>
      </c>
      <c r="I1403" s="101">
        <f t="shared" si="107"/>
        <v>0</v>
      </c>
      <c r="J1403" s="101">
        <f t="shared" si="108"/>
        <v>0</v>
      </c>
      <c r="K1403" s="101">
        <f t="shared" si="109"/>
        <v>0</v>
      </c>
      <c r="L1403" s="121"/>
    </row>
    <row r="1404" spans="2:12" ht="31" x14ac:dyDescent="0.35">
      <c r="B1404" s="111">
        <f t="shared" si="106"/>
        <v>1394</v>
      </c>
      <c r="C1404" s="64" t="s">
        <v>348</v>
      </c>
      <c r="D1404" s="81" t="s">
        <v>26</v>
      </c>
      <c r="E1404" s="78">
        <f>72.1*0.97</f>
        <v>69.936999999999998</v>
      </c>
      <c r="F1404" s="65"/>
      <c r="G1404" s="65">
        <v>300</v>
      </c>
      <c r="H1404" s="65">
        <f t="shared" si="110"/>
        <v>300</v>
      </c>
      <c r="I1404" s="79">
        <f t="shared" si="107"/>
        <v>0</v>
      </c>
      <c r="J1404" s="79">
        <f t="shared" si="108"/>
        <v>20981.1</v>
      </c>
      <c r="K1404" s="79">
        <f t="shared" si="109"/>
        <v>20981.1</v>
      </c>
      <c r="L1404" s="121"/>
    </row>
    <row r="1405" spans="2:12" x14ac:dyDescent="0.35">
      <c r="B1405" s="111">
        <f t="shared" si="106"/>
        <v>1395</v>
      </c>
      <c r="C1405" s="64" t="s">
        <v>19</v>
      </c>
      <c r="D1405" s="81" t="s">
        <v>26</v>
      </c>
      <c r="E1405" s="78">
        <f>E1404/9</f>
        <v>7.7707777777777771</v>
      </c>
      <c r="F1405" s="65"/>
      <c r="G1405" s="65">
        <v>1500</v>
      </c>
      <c r="H1405" s="65">
        <f t="shared" si="110"/>
        <v>1500</v>
      </c>
      <c r="I1405" s="79">
        <f t="shared" si="107"/>
        <v>0</v>
      </c>
      <c r="J1405" s="79">
        <f t="shared" si="108"/>
        <v>11656.17</v>
      </c>
      <c r="K1405" s="79">
        <f t="shared" si="109"/>
        <v>11656.17</v>
      </c>
      <c r="L1405" s="121"/>
    </row>
    <row r="1406" spans="2:12" x14ac:dyDescent="0.35">
      <c r="B1406" s="111">
        <f t="shared" si="106"/>
        <v>1396</v>
      </c>
      <c r="C1406" s="64" t="s">
        <v>67</v>
      </c>
      <c r="D1406" s="81" t="s">
        <v>25</v>
      </c>
      <c r="E1406" s="78">
        <f>(3.14*2.7^2)/4</f>
        <v>5.7226500000000007</v>
      </c>
      <c r="F1406" s="65"/>
      <c r="G1406" s="123"/>
      <c r="H1406" s="65">
        <f t="shared" si="110"/>
        <v>0</v>
      </c>
      <c r="I1406" s="79">
        <f t="shared" si="107"/>
        <v>0</v>
      </c>
      <c r="J1406" s="79">
        <f t="shared" si="108"/>
        <v>0</v>
      </c>
      <c r="K1406" s="79">
        <f t="shared" si="109"/>
        <v>0</v>
      </c>
      <c r="L1406" s="121"/>
    </row>
    <row r="1407" spans="2:12" x14ac:dyDescent="0.35">
      <c r="B1407" s="111">
        <f t="shared" si="106"/>
        <v>1397</v>
      </c>
      <c r="C1407" s="64" t="s">
        <v>68</v>
      </c>
      <c r="D1407" s="81" t="s">
        <v>26</v>
      </c>
      <c r="E1407" s="78">
        <f>(3.14*2.7^2)/4*0.1</f>
        <v>0.57226500000000013</v>
      </c>
      <c r="F1407" s="65"/>
      <c r="G1407" s="65">
        <v>5860</v>
      </c>
      <c r="H1407" s="65">
        <f t="shared" si="110"/>
        <v>5860</v>
      </c>
      <c r="I1407" s="79">
        <f t="shared" si="107"/>
        <v>0</v>
      </c>
      <c r="J1407" s="79">
        <f t="shared" si="108"/>
        <v>3353.47</v>
      </c>
      <c r="K1407" s="79">
        <f t="shared" si="109"/>
        <v>3353.47</v>
      </c>
      <c r="L1407" s="121"/>
    </row>
    <row r="1408" spans="2:12" x14ac:dyDescent="0.35">
      <c r="B1408" s="111">
        <f t="shared" si="106"/>
        <v>1398</v>
      </c>
      <c r="C1408" s="80" t="s">
        <v>159</v>
      </c>
      <c r="D1408" s="81" t="s">
        <v>26</v>
      </c>
      <c r="E1408" s="78">
        <f>E1407*1.02</f>
        <v>0.58371030000000013</v>
      </c>
      <c r="F1408" s="65">
        <v>6700</v>
      </c>
      <c r="G1408" s="123"/>
      <c r="H1408" s="65">
        <f t="shared" si="110"/>
        <v>6700</v>
      </c>
      <c r="I1408" s="79">
        <f t="shared" si="107"/>
        <v>3910.86</v>
      </c>
      <c r="J1408" s="79">
        <f t="shared" si="108"/>
        <v>0</v>
      </c>
      <c r="K1408" s="79">
        <f t="shared" si="109"/>
        <v>3910.86</v>
      </c>
      <c r="L1408" s="121"/>
    </row>
    <row r="1409" spans="2:12" x14ac:dyDescent="0.35">
      <c r="B1409" s="111">
        <f t="shared" si="106"/>
        <v>1399</v>
      </c>
      <c r="C1409" s="64" t="s">
        <v>151</v>
      </c>
      <c r="D1409" s="81" t="s">
        <v>25</v>
      </c>
      <c r="E1409" s="78">
        <f>(3.14*2.5^2)/4</f>
        <v>4.90625</v>
      </c>
      <c r="F1409" s="65">
        <v>68.5</v>
      </c>
      <c r="G1409" s="65">
        <v>150</v>
      </c>
      <c r="H1409" s="65">
        <f t="shared" si="110"/>
        <v>218.5</v>
      </c>
      <c r="I1409" s="79">
        <f t="shared" si="107"/>
        <v>336.08</v>
      </c>
      <c r="J1409" s="79">
        <f t="shared" si="108"/>
        <v>735.94</v>
      </c>
      <c r="K1409" s="79">
        <f t="shared" si="109"/>
        <v>1072.02</v>
      </c>
      <c r="L1409" s="121"/>
    </row>
    <row r="1410" spans="2:12" ht="31" x14ac:dyDescent="0.35">
      <c r="B1410" s="111">
        <f t="shared" si="106"/>
        <v>1400</v>
      </c>
      <c r="C1410" s="64" t="s">
        <v>152</v>
      </c>
      <c r="D1410" s="81" t="s">
        <v>25</v>
      </c>
      <c r="E1410" s="78">
        <f>E1409</f>
        <v>4.90625</v>
      </c>
      <c r="F1410" s="65">
        <v>927</v>
      </c>
      <c r="G1410" s="65">
        <v>400</v>
      </c>
      <c r="H1410" s="65">
        <f t="shared" si="110"/>
        <v>1327</v>
      </c>
      <c r="I1410" s="79">
        <f t="shared" si="107"/>
        <v>4548.09</v>
      </c>
      <c r="J1410" s="79">
        <f t="shared" si="108"/>
        <v>1962.5</v>
      </c>
      <c r="K1410" s="79">
        <f t="shared" si="109"/>
        <v>6510.59</v>
      </c>
      <c r="L1410" s="121"/>
    </row>
    <row r="1411" spans="2:12" ht="31" x14ac:dyDescent="0.35">
      <c r="B1411" s="111">
        <f t="shared" si="106"/>
        <v>1401</v>
      </c>
      <c r="C1411" s="64" t="s">
        <v>69</v>
      </c>
      <c r="D1411" s="81" t="s">
        <v>32</v>
      </c>
      <c r="E1411" s="78">
        <v>1</v>
      </c>
      <c r="F1411" s="65"/>
      <c r="G1411" s="65">
        <v>5662</v>
      </c>
      <c r="H1411" s="65">
        <f t="shared" si="110"/>
        <v>5662</v>
      </c>
      <c r="I1411" s="79">
        <f t="shared" si="107"/>
        <v>0</v>
      </c>
      <c r="J1411" s="79">
        <f t="shared" si="108"/>
        <v>5662</v>
      </c>
      <c r="K1411" s="79">
        <f t="shared" si="109"/>
        <v>5662</v>
      </c>
      <c r="L1411" s="121"/>
    </row>
    <row r="1412" spans="2:12" x14ac:dyDescent="0.35">
      <c r="B1412" s="111">
        <f t="shared" si="106"/>
        <v>1402</v>
      </c>
      <c r="C1412" s="82" t="s">
        <v>71</v>
      </c>
      <c r="D1412" s="81" t="s">
        <v>32</v>
      </c>
      <c r="E1412" s="78">
        <v>1</v>
      </c>
      <c r="F1412" s="65">
        <f>7000*1.2</f>
        <v>8400</v>
      </c>
      <c r="G1412" s="123"/>
      <c r="H1412" s="65">
        <f t="shared" si="110"/>
        <v>8400</v>
      </c>
      <c r="I1412" s="79">
        <f t="shared" si="107"/>
        <v>8400</v>
      </c>
      <c r="J1412" s="79">
        <f t="shared" si="108"/>
        <v>0</v>
      </c>
      <c r="K1412" s="79">
        <f t="shared" si="109"/>
        <v>8400</v>
      </c>
      <c r="L1412" s="121"/>
    </row>
    <row r="1413" spans="2:12" x14ac:dyDescent="0.35">
      <c r="B1413" s="111">
        <f t="shared" si="106"/>
        <v>1403</v>
      </c>
      <c r="C1413" s="82" t="s">
        <v>101</v>
      </c>
      <c r="D1413" s="81" t="s">
        <v>26</v>
      </c>
      <c r="E1413" s="78">
        <f>((3.14*2^2)/4*0.02)*1.02</f>
        <v>6.4056000000000016E-2</v>
      </c>
      <c r="F1413" s="65">
        <v>7300</v>
      </c>
      <c r="G1413" s="123"/>
      <c r="H1413" s="65">
        <f t="shared" si="110"/>
        <v>7300</v>
      </c>
      <c r="I1413" s="79">
        <f t="shared" si="107"/>
        <v>467.61</v>
      </c>
      <c r="J1413" s="79">
        <f t="shared" si="108"/>
        <v>0</v>
      </c>
      <c r="K1413" s="79">
        <f t="shared" si="109"/>
        <v>467.61</v>
      </c>
      <c r="L1413" s="121"/>
    </row>
    <row r="1414" spans="2:12" ht="31" x14ac:dyDescent="0.35">
      <c r="B1414" s="111">
        <f t="shared" si="106"/>
        <v>1404</v>
      </c>
      <c r="C1414" s="64" t="s">
        <v>179</v>
      </c>
      <c r="D1414" s="81" t="s">
        <v>26</v>
      </c>
      <c r="E1414" s="78">
        <v>1.2</v>
      </c>
      <c r="F1414" s="65"/>
      <c r="G1414" s="65">
        <v>5860</v>
      </c>
      <c r="H1414" s="65">
        <f t="shared" si="110"/>
        <v>5860</v>
      </c>
      <c r="I1414" s="79">
        <f t="shared" si="107"/>
        <v>0</v>
      </c>
      <c r="J1414" s="79">
        <f t="shared" si="108"/>
        <v>7032</v>
      </c>
      <c r="K1414" s="79">
        <f t="shared" si="109"/>
        <v>7032</v>
      </c>
      <c r="L1414" s="121"/>
    </row>
    <row r="1415" spans="2:12" x14ac:dyDescent="0.35">
      <c r="B1415" s="111">
        <f t="shared" si="106"/>
        <v>1405</v>
      </c>
      <c r="C1415" s="82" t="s">
        <v>75</v>
      </c>
      <c r="D1415" s="81" t="s">
        <v>26</v>
      </c>
      <c r="E1415" s="78">
        <f>E1414*1.02</f>
        <v>1.224</v>
      </c>
      <c r="F1415" s="65">
        <v>7100</v>
      </c>
      <c r="G1415" s="123"/>
      <c r="H1415" s="65">
        <f t="shared" si="110"/>
        <v>7100</v>
      </c>
      <c r="I1415" s="79">
        <f t="shared" si="107"/>
        <v>8690.4</v>
      </c>
      <c r="J1415" s="79">
        <f t="shared" si="108"/>
        <v>0</v>
      </c>
      <c r="K1415" s="79">
        <f t="shared" si="109"/>
        <v>8690.4</v>
      </c>
      <c r="L1415" s="121"/>
    </row>
    <row r="1416" spans="2:12" ht="31" x14ac:dyDescent="0.35">
      <c r="B1416" s="111">
        <f t="shared" si="106"/>
        <v>1406</v>
      </c>
      <c r="C1416" s="64" t="s">
        <v>78</v>
      </c>
      <c r="D1416" s="81" t="s">
        <v>32</v>
      </c>
      <c r="E1416" s="78">
        <v>7</v>
      </c>
      <c r="F1416" s="65"/>
      <c r="G1416" s="65">
        <v>5662</v>
      </c>
      <c r="H1416" s="65">
        <f t="shared" si="110"/>
        <v>5662</v>
      </c>
      <c r="I1416" s="79">
        <f t="shared" si="107"/>
        <v>0</v>
      </c>
      <c r="J1416" s="79">
        <f t="shared" si="108"/>
        <v>39634</v>
      </c>
      <c r="K1416" s="79">
        <f t="shared" si="109"/>
        <v>39634</v>
      </c>
      <c r="L1416" s="121"/>
    </row>
    <row r="1417" spans="2:12" x14ac:dyDescent="0.35">
      <c r="B1417" s="111">
        <f t="shared" si="106"/>
        <v>1407</v>
      </c>
      <c r="C1417" s="82" t="s">
        <v>76</v>
      </c>
      <c r="D1417" s="81" t="s">
        <v>32</v>
      </c>
      <c r="E1417" s="78">
        <v>3</v>
      </c>
      <c r="F1417" s="65">
        <f>7000*1.2</f>
        <v>8400</v>
      </c>
      <c r="G1417" s="123"/>
      <c r="H1417" s="65">
        <f t="shared" si="110"/>
        <v>8400</v>
      </c>
      <c r="I1417" s="79">
        <f t="shared" si="107"/>
        <v>25200</v>
      </c>
      <c r="J1417" s="79">
        <f t="shared" si="108"/>
        <v>0</v>
      </c>
      <c r="K1417" s="79">
        <f t="shared" si="109"/>
        <v>25200</v>
      </c>
      <c r="L1417" s="121"/>
    </row>
    <row r="1418" spans="2:12" x14ac:dyDescent="0.35">
      <c r="B1418" s="111">
        <f t="shared" si="106"/>
        <v>1408</v>
      </c>
      <c r="C1418" s="82" t="s">
        <v>77</v>
      </c>
      <c r="D1418" s="81" t="s">
        <v>32</v>
      </c>
      <c r="E1418" s="78">
        <v>2</v>
      </c>
      <c r="F1418" s="65">
        <f>5500*1.2</f>
        <v>6600</v>
      </c>
      <c r="G1418" s="123"/>
      <c r="H1418" s="65">
        <f t="shared" si="110"/>
        <v>6600</v>
      </c>
      <c r="I1418" s="79">
        <f t="shared" si="107"/>
        <v>13200</v>
      </c>
      <c r="J1418" s="79">
        <f t="shared" si="108"/>
        <v>0</v>
      </c>
      <c r="K1418" s="79">
        <f t="shared" si="109"/>
        <v>13200</v>
      </c>
      <c r="L1418" s="121"/>
    </row>
    <row r="1419" spans="2:12" x14ac:dyDescent="0.35">
      <c r="B1419" s="111">
        <f t="shared" si="106"/>
        <v>1409</v>
      </c>
      <c r="C1419" s="82" t="s">
        <v>294</v>
      </c>
      <c r="D1419" s="81" t="s">
        <v>32</v>
      </c>
      <c r="E1419" s="78">
        <v>1</v>
      </c>
      <c r="F1419" s="65">
        <f>1200*1.2</f>
        <v>1440</v>
      </c>
      <c r="G1419" s="123"/>
      <c r="H1419" s="65">
        <f t="shared" si="110"/>
        <v>1440</v>
      </c>
      <c r="I1419" s="79">
        <f t="shared" si="107"/>
        <v>1440</v>
      </c>
      <c r="J1419" s="79">
        <f t="shared" si="108"/>
        <v>0</v>
      </c>
      <c r="K1419" s="79">
        <f t="shared" si="109"/>
        <v>1440</v>
      </c>
      <c r="L1419" s="121"/>
    </row>
    <row r="1420" spans="2:12" x14ac:dyDescent="0.35">
      <c r="B1420" s="111">
        <f t="shared" si="106"/>
        <v>1410</v>
      </c>
      <c r="C1420" s="82" t="s">
        <v>306</v>
      </c>
      <c r="D1420" s="81" t="s">
        <v>32</v>
      </c>
      <c r="E1420" s="78">
        <v>2</v>
      </c>
      <c r="F1420" s="65">
        <v>840</v>
      </c>
      <c r="G1420" s="123"/>
      <c r="H1420" s="65">
        <f t="shared" si="110"/>
        <v>840</v>
      </c>
      <c r="I1420" s="79">
        <f t="shared" si="107"/>
        <v>1680</v>
      </c>
      <c r="J1420" s="79">
        <f t="shared" si="108"/>
        <v>0</v>
      </c>
      <c r="K1420" s="79">
        <f t="shared" si="109"/>
        <v>1680</v>
      </c>
      <c r="L1420" s="121"/>
    </row>
    <row r="1421" spans="2:12" ht="31" x14ac:dyDescent="0.35">
      <c r="B1421" s="111">
        <f t="shared" ref="B1421:B1484" si="111">B1420+1</f>
        <v>1411</v>
      </c>
      <c r="C1421" s="64" t="s">
        <v>85</v>
      </c>
      <c r="D1421" s="81" t="s">
        <v>32</v>
      </c>
      <c r="E1421" s="78">
        <v>1</v>
      </c>
      <c r="F1421" s="65"/>
      <c r="G1421" s="65">
        <v>2500</v>
      </c>
      <c r="H1421" s="65">
        <f t="shared" si="110"/>
        <v>2500</v>
      </c>
      <c r="I1421" s="79">
        <f t="shared" ref="I1421:I1484" si="112">ROUND(F1421*E1421,2)</f>
        <v>0</v>
      </c>
      <c r="J1421" s="79">
        <f t="shared" ref="J1421:J1484" si="113">ROUND(G1421*E1421,2)</f>
        <v>2500</v>
      </c>
      <c r="K1421" s="79">
        <f t="shared" ref="K1421:K1484" si="114">I1421+J1421</f>
        <v>2500</v>
      </c>
      <c r="L1421" s="121"/>
    </row>
    <row r="1422" spans="2:12" ht="26.4" customHeight="1" x14ac:dyDescent="0.35">
      <c r="B1422" s="111">
        <f t="shared" si="111"/>
        <v>1412</v>
      </c>
      <c r="C1422" s="82" t="s">
        <v>137</v>
      </c>
      <c r="D1422" s="81" t="s">
        <v>32</v>
      </c>
      <c r="E1422" s="78">
        <v>1</v>
      </c>
      <c r="F1422" s="65">
        <f>7000*1.2</f>
        <v>8400</v>
      </c>
      <c r="G1422" s="123"/>
      <c r="H1422" s="65">
        <f t="shared" si="110"/>
        <v>8400</v>
      </c>
      <c r="I1422" s="79">
        <f t="shared" si="112"/>
        <v>8400</v>
      </c>
      <c r="J1422" s="79">
        <f t="shared" si="113"/>
        <v>0</v>
      </c>
      <c r="K1422" s="79">
        <f t="shared" si="114"/>
        <v>8400</v>
      </c>
      <c r="L1422" s="121"/>
    </row>
    <row r="1423" spans="2:12" ht="32" customHeight="1" x14ac:dyDescent="0.35">
      <c r="B1423" s="111">
        <f t="shared" si="111"/>
        <v>1413</v>
      </c>
      <c r="C1423" s="64" t="s">
        <v>332</v>
      </c>
      <c r="D1423" s="81" t="s">
        <v>32</v>
      </c>
      <c r="E1423" s="78">
        <v>1</v>
      </c>
      <c r="F1423" s="65"/>
      <c r="G1423" s="65">
        <v>5662</v>
      </c>
      <c r="H1423" s="65">
        <f t="shared" ref="H1423:H1486" si="115">F1423+G1423</f>
        <v>5662</v>
      </c>
      <c r="I1423" s="79">
        <f t="shared" si="112"/>
        <v>0</v>
      </c>
      <c r="J1423" s="79">
        <f t="shared" si="113"/>
        <v>5662</v>
      </c>
      <c r="K1423" s="79">
        <f t="shared" si="114"/>
        <v>5662</v>
      </c>
      <c r="L1423" s="121"/>
    </row>
    <row r="1424" spans="2:12" ht="30.65" customHeight="1" x14ac:dyDescent="0.35">
      <c r="B1424" s="111">
        <f t="shared" si="111"/>
        <v>1414</v>
      </c>
      <c r="C1424" s="82" t="s">
        <v>141</v>
      </c>
      <c r="D1424" s="81" t="s">
        <v>32</v>
      </c>
      <c r="E1424" s="78">
        <v>1</v>
      </c>
      <c r="F1424" s="65">
        <v>32500</v>
      </c>
      <c r="G1424" s="123"/>
      <c r="H1424" s="65">
        <f t="shared" si="115"/>
        <v>32500</v>
      </c>
      <c r="I1424" s="79">
        <f t="shared" si="112"/>
        <v>32500</v>
      </c>
      <c r="J1424" s="79">
        <f t="shared" si="113"/>
        <v>0</v>
      </c>
      <c r="K1424" s="79">
        <f t="shared" si="114"/>
        <v>32500</v>
      </c>
      <c r="L1424" s="121"/>
    </row>
    <row r="1425" spans="2:12" ht="31" x14ac:dyDescent="0.35">
      <c r="B1425" s="111">
        <f t="shared" si="111"/>
        <v>1415</v>
      </c>
      <c r="C1425" s="64" t="s">
        <v>156</v>
      </c>
      <c r="D1425" s="81" t="s">
        <v>25</v>
      </c>
      <c r="E1425" s="78">
        <f>(3.14*2.2)*5.2</f>
        <v>35.921600000000005</v>
      </c>
      <c r="F1425" s="65">
        <v>68.5</v>
      </c>
      <c r="G1425" s="65">
        <v>150</v>
      </c>
      <c r="H1425" s="65">
        <f t="shared" si="115"/>
        <v>218.5</v>
      </c>
      <c r="I1425" s="79">
        <f t="shared" si="112"/>
        <v>2460.63</v>
      </c>
      <c r="J1425" s="79">
        <f t="shared" si="113"/>
        <v>5388.24</v>
      </c>
      <c r="K1425" s="79">
        <f t="shared" si="114"/>
        <v>7848.87</v>
      </c>
      <c r="L1425" s="121"/>
    </row>
    <row r="1426" spans="2:12" ht="46.5" x14ac:dyDescent="0.35">
      <c r="B1426" s="111">
        <f t="shared" si="111"/>
        <v>1416</v>
      </c>
      <c r="C1426" s="64" t="s">
        <v>157</v>
      </c>
      <c r="D1426" s="81" t="s">
        <v>25</v>
      </c>
      <c r="E1426" s="78">
        <f>(3.14*2.2)*5.2</f>
        <v>35.921600000000005</v>
      </c>
      <c r="F1426" s="65">
        <v>927</v>
      </c>
      <c r="G1426" s="65">
        <v>400</v>
      </c>
      <c r="H1426" s="65">
        <f t="shared" si="115"/>
        <v>1327</v>
      </c>
      <c r="I1426" s="79">
        <f t="shared" si="112"/>
        <v>33299.32</v>
      </c>
      <c r="J1426" s="79">
        <f t="shared" si="113"/>
        <v>14368.64</v>
      </c>
      <c r="K1426" s="79">
        <f t="shared" si="114"/>
        <v>47667.96</v>
      </c>
      <c r="L1426" s="121"/>
    </row>
    <row r="1427" spans="2:12" x14ac:dyDescent="0.35">
      <c r="B1427" s="111">
        <f t="shared" si="111"/>
        <v>1417</v>
      </c>
      <c r="C1427" s="64" t="s">
        <v>335</v>
      </c>
      <c r="D1427" s="81" t="s">
        <v>32</v>
      </c>
      <c r="E1427" s="78">
        <v>1</v>
      </c>
      <c r="F1427" s="68"/>
      <c r="G1427" s="123"/>
      <c r="H1427" s="65">
        <f t="shared" si="115"/>
        <v>0</v>
      </c>
      <c r="I1427" s="79">
        <f t="shared" si="112"/>
        <v>0</v>
      </c>
      <c r="J1427" s="79">
        <f t="shared" si="113"/>
        <v>0</v>
      </c>
      <c r="K1427" s="79">
        <f t="shared" si="114"/>
        <v>0</v>
      </c>
      <c r="L1427" s="121"/>
    </row>
    <row r="1428" spans="2:12" x14ac:dyDescent="0.35">
      <c r="B1428" s="111">
        <f t="shared" si="111"/>
        <v>1418</v>
      </c>
      <c r="C1428" s="82" t="s">
        <v>336</v>
      </c>
      <c r="D1428" s="81" t="s">
        <v>31</v>
      </c>
      <c r="E1428" s="78">
        <v>46.06</v>
      </c>
      <c r="F1428" s="68">
        <v>71</v>
      </c>
      <c r="G1428" s="65">
        <v>97.61</v>
      </c>
      <c r="H1428" s="65">
        <f t="shared" si="115"/>
        <v>168.61</v>
      </c>
      <c r="I1428" s="79">
        <f t="shared" si="112"/>
        <v>3270.26</v>
      </c>
      <c r="J1428" s="79">
        <f t="shared" si="113"/>
        <v>4495.92</v>
      </c>
      <c r="K1428" s="79">
        <f t="shared" si="114"/>
        <v>7766.18</v>
      </c>
      <c r="L1428" s="121"/>
    </row>
    <row r="1429" spans="2:12" x14ac:dyDescent="0.35">
      <c r="B1429" s="111">
        <f t="shared" si="111"/>
        <v>1419</v>
      </c>
      <c r="C1429" s="64" t="s">
        <v>93</v>
      </c>
      <c r="D1429" s="81" t="s">
        <v>32</v>
      </c>
      <c r="E1429" s="78">
        <v>3</v>
      </c>
      <c r="F1429" s="68"/>
      <c r="G1429" s="123"/>
      <c r="H1429" s="65">
        <f t="shared" si="115"/>
        <v>0</v>
      </c>
      <c r="I1429" s="79">
        <f t="shared" si="112"/>
        <v>0</v>
      </c>
      <c r="J1429" s="79">
        <f t="shared" si="113"/>
        <v>0</v>
      </c>
      <c r="K1429" s="79">
        <f t="shared" si="114"/>
        <v>0</v>
      </c>
      <c r="L1429" s="121"/>
    </row>
    <row r="1430" spans="2:12" x14ac:dyDescent="0.35">
      <c r="B1430" s="111">
        <f t="shared" si="111"/>
        <v>1420</v>
      </c>
      <c r="C1430" s="82" t="s">
        <v>94</v>
      </c>
      <c r="D1430" s="81" t="s">
        <v>31</v>
      </c>
      <c r="E1430" s="78">
        <f>0.82*E1429</f>
        <v>2.46</v>
      </c>
      <c r="F1430" s="68">
        <v>71</v>
      </c>
      <c r="G1430" s="65">
        <v>97.61</v>
      </c>
      <c r="H1430" s="65">
        <f t="shared" si="115"/>
        <v>168.61</v>
      </c>
      <c r="I1430" s="79">
        <f t="shared" si="112"/>
        <v>174.66</v>
      </c>
      <c r="J1430" s="79">
        <f t="shared" si="113"/>
        <v>240.12</v>
      </c>
      <c r="K1430" s="79">
        <f t="shared" si="114"/>
        <v>414.78</v>
      </c>
      <c r="L1430" s="121"/>
    </row>
    <row r="1431" spans="2:12" ht="31" x14ac:dyDescent="0.35">
      <c r="B1431" s="111">
        <f t="shared" si="111"/>
        <v>1421</v>
      </c>
      <c r="C1431" s="64" t="s">
        <v>304</v>
      </c>
      <c r="D1431" s="81" t="s">
        <v>32</v>
      </c>
      <c r="E1431" s="78">
        <v>3</v>
      </c>
      <c r="F1431" s="68"/>
      <c r="G1431" s="65">
        <v>1464</v>
      </c>
      <c r="H1431" s="65">
        <f t="shared" si="115"/>
        <v>1464</v>
      </c>
      <c r="I1431" s="79">
        <f t="shared" si="112"/>
        <v>0</v>
      </c>
      <c r="J1431" s="79">
        <f t="shared" si="113"/>
        <v>4392</v>
      </c>
      <c r="K1431" s="79">
        <f t="shared" si="114"/>
        <v>4392</v>
      </c>
      <c r="L1431" s="121"/>
    </row>
    <row r="1432" spans="2:12" x14ac:dyDescent="0.35">
      <c r="B1432" s="111">
        <f t="shared" si="111"/>
        <v>1422</v>
      </c>
      <c r="C1432" s="64" t="s">
        <v>338</v>
      </c>
      <c r="D1432" s="81"/>
      <c r="E1432" s="78"/>
      <c r="F1432" s="68"/>
      <c r="G1432" s="123"/>
      <c r="H1432" s="65">
        <f t="shared" si="115"/>
        <v>0</v>
      </c>
      <c r="I1432" s="79">
        <f t="shared" si="112"/>
        <v>0</v>
      </c>
      <c r="J1432" s="79">
        <f t="shared" si="113"/>
        <v>0</v>
      </c>
      <c r="K1432" s="79">
        <f t="shared" si="114"/>
        <v>0</v>
      </c>
      <c r="L1432" s="121">
        <v>1</v>
      </c>
    </row>
    <row r="1433" spans="2:12" ht="31" x14ac:dyDescent="0.35">
      <c r="B1433" s="111">
        <f t="shared" si="111"/>
        <v>1423</v>
      </c>
      <c r="C1433" s="80" t="s">
        <v>360</v>
      </c>
      <c r="D1433" s="81" t="s">
        <v>32</v>
      </c>
      <c r="E1433" s="78">
        <v>1</v>
      </c>
      <c r="F1433" s="68">
        <v>2263</v>
      </c>
      <c r="G1433" s="65">
        <v>1700</v>
      </c>
      <c r="H1433" s="65">
        <f t="shared" si="115"/>
        <v>3963</v>
      </c>
      <c r="I1433" s="79">
        <f t="shared" si="112"/>
        <v>2263</v>
      </c>
      <c r="J1433" s="79">
        <f t="shared" si="113"/>
        <v>1700</v>
      </c>
      <c r="K1433" s="79">
        <f t="shared" si="114"/>
        <v>3963</v>
      </c>
      <c r="L1433" s="121"/>
    </row>
    <row r="1434" spans="2:12" ht="31" x14ac:dyDescent="0.35">
      <c r="B1434" s="111">
        <f t="shared" si="111"/>
        <v>1424</v>
      </c>
      <c r="C1434" s="80" t="s">
        <v>361</v>
      </c>
      <c r="D1434" s="81" t="s">
        <v>32</v>
      </c>
      <c r="E1434" s="78">
        <v>1</v>
      </c>
      <c r="F1434" s="68">
        <v>1303</v>
      </c>
      <c r="G1434" s="65">
        <v>1700</v>
      </c>
      <c r="H1434" s="65">
        <f t="shared" si="115"/>
        <v>3003</v>
      </c>
      <c r="I1434" s="79">
        <f t="shared" si="112"/>
        <v>1303</v>
      </c>
      <c r="J1434" s="79">
        <f t="shared" si="113"/>
        <v>1700</v>
      </c>
      <c r="K1434" s="79">
        <f t="shared" si="114"/>
        <v>3003</v>
      </c>
      <c r="L1434" s="121"/>
    </row>
    <row r="1435" spans="2:12" ht="31" x14ac:dyDescent="0.35">
      <c r="B1435" s="111">
        <f t="shared" si="111"/>
        <v>1425</v>
      </c>
      <c r="C1435" s="80" t="s">
        <v>63</v>
      </c>
      <c r="D1435" s="81" t="s">
        <v>27</v>
      </c>
      <c r="E1435" s="78">
        <f>4.33*1.1</f>
        <v>4.7630000000000008</v>
      </c>
      <c r="F1435" s="68">
        <v>855</v>
      </c>
      <c r="G1435" s="65">
        <v>1700</v>
      </c>
      <c r="H1435" s="65">
        <f t="shared" si="115"/>
        <v>2555</v>
      </c>
      <c r="I1435" s="79">
        <f t="shared" si="112"/>
        <v>4072.37</v>
      </c>
      <c r="J1435" s="79">
        <f t="shared" si="113"/>
        <v>8097.1</v>
      </c>
      <c r="K1435" s="79">
        <f t="shared" si="114"/>
        <v>12169.470000000001</v>
      </c>
      <c r="L1435" s="121"/>
    </row>
    <row r="1436" spans="2:12" ht="33" x14ac:dyDescent="0.35">
      <c r="B1436" s="111">
        <f t="shared" si="111"/>
        <v>1426</v>
      </c>
      <c r="C1436" s="64" t="s">
        <v>362</v>
      </c>
      <c r="D1436" s="81" t="s">
        <v>26</v>
      </c>
      <c r="E1436" s="78">
        <f>76.29-19.76</f>
        <v>56.53</v>
      </c>
      <c r="F1436" s="68"/>
      <c r="G1436" s="65">
        <v>439</v>
      </c>
      <c r="H1436" s="65">
        <f t="shared" si="115"/>
        <v>439</v>
      </c>
      <c r="I1436" s="79">
        <f t="shared" si="112"/>
        <v>0</v>
      </c>
      <c r="J1436" s="79">
        <f t="shared" si="113"/>
        <v>24816.67</v>
      </c>
      <c r="K1436" s="79">
        <f t="shared" si="114"/>
        <v>24816.67</v>
      </c>
      <c r="L1436" s="121"/>
    </row>
    <row r="1437" spans="2:12" ht="30" x14ac:dyDescent="0.35">
      <c r="B1437" s="111">
        <f t="shared" si="111"/>
        <v>1427</v>
      </c>
      <c r="C1437" s="98" t="s">
        <v>261</v>
      </c>
      <c r="D1437" s="99" t="s">
        <v>27</v>
      </c>
      <c r="E1437" s="100">
        <v>8.3000000000000007</v>
      </c>
      <c r="F1437" s="101"/>
      <c r="G1437" s="106"/>
      <c r="H1437" s="101">
        <f t="shared" si="115"/>
        <v>0</v>
      </c>
      <c r="I1437" s="101">
        <f t="shared" si="112"/>
        <v>0</v>
      </c>
      <c r="J1437" s="101">
        <f t="shared" si="113"/>
        <v>0</v>
      </c>
      <c r="K1437" s="101">
        <f t="shared" si="114"/>
        <v>0</v>
      </c>
      <c r="L1437" s="121"/>
    </row>
    <row r="1438" spans="2:12" ht="31" x14ac:dyDescent="0.35">
      <c r="B1438" s="111">
        <f t="shared" si="111"/>
        <v>1428</v>
      </c>
      <c r="C1438" s="64" t="s">
        <v>348</v>
      </c>
      <c r="D1438" s="77" t="s">
        <v>26</v>
      </c>
      <c r="E1438" s="78">
        <f>0.97*103.4</f>
        <v>100.298</v>
      </c>
      <c r="F1438" s="65"/>
      <c r="G1438" s="65">
        <v>300</v>
      </c>
      <c r="H1438" s="65">
        <f t="shared" si="115"/>
        <v>300</v>
      </c>
      <c r="I1438" s="79">
        <f t="shared" si="112"/>
        <v>0</v>
      </c>
      <c r="J1438" s="79">
        <f t="shared" si="113"/>
        <v>30089.4</v>
      </c>
      <c r="K1438" s="79">
        <f t="shared" si="114"/>
        <v>30089.4</v>
      </c>
      <c r="L1438" s="121"/>
    </row>
    <row r="1439" spans="2:12" x14ac:dyDescent="0.35">
      <c r="B1439" s="111">
        <f t="shared" si="111"/>
        <v>1429</v>
      </c>
      <c r="C1439" s="64" t="s">
        <v>19</v>
      </c>
      <c r="D1439" s="77" t="s">
        <v>26</v>
      </c>
      <c r="E1439" s="78">
        <f>E1438/97*3</f>
        <v>3.1020000000000003</v>
      </c>
      <c r="F1439" s="65"/>
      <c r="G1439" s="65">
        <v>1500</v>
      </c>
      <c r="H1439" s="65">
        <f t="shared" si="115"/>
        <v>1500</v>
      </c>
      <c r="I1439" s="79">
        <f t="shared" si="112"/>
        <v>0</v>
      </c>
      <c r="J1439" s="79">
        <f t="shared" si="113"/>
        <v>4653</v>
      </c>
      <c r="K1439" s="79">
        <f t="shared" si="114"/>
        <v>4653</v>
      </c>
      <c r="L1439" s="121"/>
    </row>
    <row r="1440" spans="2:12" x14ac:dyDescent="0.35">
      <c r="B1440" s="111">
        <f t="shared" si="111"/>
        <v>1430</v>
      </c>
      <c r="C1440" s="64" t="s">
        <v>184</v>
      </c>
      <c r="D1440" s="77" t="s">
        <v>25</v>
      </c>
      <c r="E1440" s="78">
        <f>E1437*0.75</f>
        <v>6.2250000000000005</v>
      </c>
      <c r="F1440" s="65"/>
      <c r="G1440" s="123"/>
      <c r="H1440" s="65">
        <f t="shared" si="115"/>
        <v>0</v>
      </c>
      <c r="I1440" s="79">
        <f t="shared" si="112"/>
        <v>0</v>
      </c>
      <c r="J1440" s="79">
        <f t="shared" si="113"/>
        <v>0</v>
      </c>
      <c r="K1440" s="79">
        <f t="shared" si="114"/>
        <v>0</v>
      </c>
      <c r="L1440" s="121"/>
    </row>
    <row r="1441" spans="2:12" ht="31" x14ac:dyDescent="0.35">
      <c r="B1441" s="111">
        <f t="shared" si="111"/>
        <v>1431</v>
      </c>
      <c r="C1441" s="64" t="s">
        <v>194</v>
      </c>
      <c r="D1441" s="77" t="s">
        <v>25</v>
      </c>
      <c r="E1441" s="78">
        <f>E1437*0.48</f>
        <v>3.984</v>
      </c>
      <c r="F1441" s="65">
        <f>1973*0.15</f>
        <v>295.95</v>
      </c>
      <c r="G1441" s="65">
        <f>1500*0.15</f>
        <v>225</v>
      </c>
      <c r="H1441" s="65">
        <f t="shared" si="115"/>
        <v>520.95000000000005</v>
      </c>
      <c r="I1441" s="79">
        <f t="shared" si="112"/>
        <v>1179.06</v>
      </c>
      <c r="J1441" s="79">
        <f t="shared" si="113"/>
        <v>896.4</v>
      </c>
      <c r="K1441" s="79">
        <f t="shared" si="114"/>
        <v>2075.46</v>
      </c>
      <c r="L1441" s="121"/>
    </row>
    <row r="1442" spans="2:12" x14ac:dyDescent="0.35">
      <c r="B1442" s="111">
        <f t="shared" si="111"/>
        <v>1432</v>
      </c>
      <c r="C1442" s="64" t="s">
        <v>20</v>
      </c>
      <c r="D1442" s="77" t="s">
        <v>26</v>
      </c>
      <c r="E1442" s="78">
        <f>0.34*E1437*0.1</f>
        <v>0.28220000000000006</v>
      </c>
      <c r="F1442" s="65"/>
      <c r="G1442" s="65">
        <v>5860</v>
      </c>
      <c r="H1442" s="65">
        <f t="shared" si="115"/>
        <v>5860</v>
      </c>
      <c r="I1442" s="79">
        <f t="shared" si="112"/>
        <v>0</v>
      </c>
      <c r="J1442" s="79">
        <f t="shared" si="113"/>
        <v>1653.69</v>
      </c>
      <c r="K1442" s="79">
        <f t="shared" si="114"/>
        <v>1653.69</v>
      </c>
      <c r="L1442" s="121"/>
    </row>
    <row r="1443" spans="2:12" x14ac:dyDescent="0.35">
      <c r="B1443" s="111">
        <f t="shared" si="111"/>
        <v>1433</v>
      </c>
      <c r="C1443" s="80" t="s">
        <v>159</v>
      </c>
      <c r="D1443" s="77" t="s">
        <v>26</v>
      </c>
      <c r="E1443" s="78">
        <f>E1442*1.02</f>
        <v>0.28784400000000004</v>
      </c>
      <c r="F1443" s="65">
        <v>6700</v>
      </c>
      <c r="G1443" s="123"/>
      <c r="H1443" s="65">
        <f t="shared" si="115"/>
        <v>6700</v>
      </c>
      <c r="I1443" s="79">
        <f t="shared" si="112"/>
        <v>1928.55</v>
      </c>
      <c r="J1443" s="79">
        <f t="shared" si="113"/>
        <v>0</v>
      </c>
      <c r="K1443" s="79">
        <f t="shared" si="114"/>
        <v>1928.55</v>
      </c>
      <c r="L1443" s="121"/>
    </row>
    <row r="1444" spans="2:12" x14ac:dyDescent="0.35">
      <c r="B1444" s="111">
        <f t="shared" si="111"/>
        <v>1434</v>
      </c>
      <c r="C1444" s="64" t="s">
        <v>28</v>
      </c>
      <c r="D1444" s="77" t="s">
        <v>26</v>
      </c>
      <c r="E1444" s="78">
        <f>E1437*0.8/10</f>
        <v>0.66400000000000003</v>
      </c>
      <c r="F1444" s="65"/>
      <c r="G1444" s="65">
        <v>5860</v>
      </c>
      <c r="H1444" s="65">
        <f t="shared" si="115"/>
        <v>5860</v>
      </c>
      <c r="I1444" s="79">
        <f t="shared" si="112"/>
        <v>0</v>
      </c>
      <c r="J1444" s="79">
        <f t="shared" si="113"/>
        <v>3891.04</v>
      </c>
      <c r="K1444" s="79">
        <f t="shared" si="114"/>
        <v>3891.04</v>
      </c>
      <c r="L1444" s="121"/>
    </row>
    <row r="1445" spans="2:12" x14ac:dyDescent="0.35">
      <c r="B1445" s="111">
        <f t="shared" si="111"/>
        <v>1435</v>
      </c>
      <c r="C1445" s="80" t="s">
        <v>29</v>
      </c>
      <c r="D1445" s="77" t="s">
        <v>26</v>
      </c>
      <c r="E1445" s="78">
        <f>E1444*1.02</f>
        <v>0.67727999999999999</v>
      </c>
      <c r="F1445" s="65">
        <v>7100</v>
      </c>
      <c r="G1445" s="123"/>
      <c r="H1445" s="65">
        <f t="shared" si="115"/>
        <v>7100</v>
      </c>
      <c r="I1445" s="79">
        <f t="shared" si="112"/>
        <v>4808.6899999999996</v>
      </c>
      <c r="J1445" s="79">
        <f t="shared" si="113"/>
        <v>0</v>
      </c>
      <c r="K1445" s="79">
        <f t="shared" si="114"/>
        <v>4808.6899999999996</v>
      </c>
      <c r="L1445" s="121"/>
    </row>
    <row r="1446" spans="2:12" x14ac:dyDescent="0.35">
      <c r="B1446" s="111">
        <f t="shared" si="111"/>
        <v>1436</v>
      </c>
      <c r="C1446" s="80" t="s">
        <v>30</v>
      </c>
      <c r="D1446" s="77" t="s">
        <v>31</v>
      </c>
      <c r="E1446" s="78">
        <f>E1437*1.22</f>
        <v>10.126000000000001</v>
      </c>
      <c r="F1446" s="65">
        <v>118.9</v>
      </c>
      <c r="G1446" s="123"/>
      <c r="H1446" s="65">
        <f t="shared" si="115"/>
        <v>118.9</v>
      </c>
      <c r="I1446" s="79">
        <f t="shared" si="112"/>
        <v>1203.98</v>
      </c>
      <c r="J1446" s="79">
        <f t="shared" si="113"/>
        <v>0</v>
      </c>
      <c r="K1446" s="79">
        <f t="shared" si="114"/>
        <v>1203.98</v>
      </c>
      <c r="L1446" s="121"/>
    </row>
    <row r="1447" spans="2:12" x14ac:dyDescent="0.35">
      <c r="B1447" s="111">
        <f t="shared" si="111"/>
        <v>1437</v>
      </c>
      <c r="C1447" s="64" t="s">
        <v>189</v>
      </c>
      <c r="D1447" s="77" t="s">
        <v>27</v>
      </c>
      <c r="E1447" s="78">
        <f>E1437</f>
        <v>8.3000000000000007</v>
      </c>
      <c r="F1447" s="65"/>
      <c r="G1447" s="65">
        <v>2928</v>
      </c>
      <c r="H1447" s="65">
        <f t="shared" si="115"/>
        <v>2928</v>
      </c>
      <c r="I1447" s="79">
        <f t="shared" si="112"/>
        <v>0</v>
      </c>
      <c r="J1447" s="79">
        <f t="shared" si="113"/>
        <v>24302.400000000001</v>
      </c>
      <c r="K1447" s="79">
        <f t="shared" si="114"/>
        <v>24302.400000000001</v>
      </c>
      <c r="L1447" s="121"/>
    </row>
    <row r="1448" spans="2:12" ht="31" x14ac:dyDescent="0.35">
      <c r="B1448" s="111">
        <f t="shared" si="111"/>
        <v>1438</v>
      </c>
      <c r="C1448" s="80" t="s">
        <v>195</v>
      </c>
      <c r="D1448" s="77" t="s">
        <v>27</v>
      </c>
      <c r="E1448" s="78">
        <f>E1447*1.1</f>
        <v>9.1300000000000008</v>
      </c>
      <c r="F1448" s="65">
        <v>855</v>
      </c>
      <c r="G1448" s="65"/>
      <c r="H1448" s="65">
        <f t="shared" si="115"/>
        <v>855</v>
      </c>
      <c r="I1448" s="79">
        <f t="shared" si="112"/>
        <v>7806.15</v>
      </c>
      <c r="J1448" s="79">
        <f t="shared" si="113"/>
        <v>0</v>
      </c>
      <c r="K1448" s="79">
        <f t="shared" si="114"/>
        <v>7806.15</v>
      </c>
      <c r="L1448" s="121"/>
    </row>
    <row r="1449" spans="2:12" ht="33" x14ac:dyDescent="0.35">
      <c r="B1449" s="111">
        <f t="shared" si="111"/>
        <v>1439</v>
      </c>
      <c r="C1449" s="64" t="s">
        <v>355</v>
      </c>
      <c r="D1449" s="81" t="s">
        <v>26</v>
      </c>
      <c r="E1449" s="78">
        <v>105.17</v>
      </c>
      <c r="F1449" s="65"/>
      <c r="G1449" s="65">
        <v>439</v>
      </c>
      <c r="H1449" s="65">
        <f t="shared" si="115"/>
        <v>439</v>
      </c>
      <c r="I1449" s="79">
        <f t="shared" si="112"/>
        <v>0</v>
      </c>
      <c r="J1449" s="79">
        <f t="shared" si="113"/>
        <v>46169.63</v>
      </c>
      <c r="K1449" s="79">
        <f t="shared" si="114"/>
        <v>46169.63</v>
      </c>
      <c r="L1449" s="121"/>
    </row>
    <row r="1450" spans="2:12" ht="26.4" customHeight="1" x14ac:dyDescent="0.35">
      <c r="B1450" s="111">
        <f t="shared" si="111"/>
        <v>1440</v>
      </c>
      <c r="C1450" s="98" t="s">
        <v>262</v>
      </c>
      <c r="D1450" s="103" t="s">
        <v>32</v>
      </c>
      <c r="E1450" s="100">
        <v>1</v>
      </c>
      <c r="F1450" s="101"/>
      <c r="G1450" s="106"/>
      <c r="H1450" s="101">
        <f t="shared" si="115"/>
        <v>0</v>
      </c>
      <c r="I1450" s="101">
        <f t="shared" si="112"/>
        <v>0</v>
      </c>
      <c r="J1450" s="101">
        <f t="shared" si="113"/>
        <v>0</v>
      </c>
      <c r="K1450" s="101">
        <f t="shared" si="114"/>
        <v>0</v>
      </c>
      <c r="L1450" s="121"/>
    </row>
    <row r="1451" spans="2:12" ht="31" x14ac:dyDescent="0.35">
      <c r="B1451" s="111">
        <f t="shared" si="111"/>
        <v>1441</v>
      </c>
      <c r="C1451" s="64" t="s">
        <v>348</v>
      </c>
      <c r="D1451" s="81" t="s">
        <v>26</v>
      </c>
      <c r="E1451" s="78">
        <f>80.84*0.97</f>
        <v>78.4148</v>
      </c>
      <c r="F1451" s="65"/>
      <c r="G1451" s="65">
        <v>300</v>
      </c>
      <c r="H1451" s="65">
        <f t="shared" si="115"/>
        <v>300</v>
      </c>
      <c r="I1451" s="79">
        <f t="shared" si="112"/>
        <v>0</v>
      </c>
      <c r="J1451" s="79">
        <f t="shared" si="113"/>
        <v>23524.44</v>
      </c>
      <c r="K1451" s="79">
        <f t="shared" si="114"/>
        <v>23524.44</v>
      </c>
      <c r="L1451" s="121"/>
    </row>
    <row r="1452" spans="2:12" x14ac:dyDescent="0.35">
      <c r="B1452" s="111">
        <f t="shared" si="111"/>
        <v>1442</v>
      </c>
      <c r="C1452" s="64" t="s">
        <v>19</v>
      </c>
      <c r="D1452" s="81" t="s">
        <v>26</v>
      </c>
      <c r="E1452" s="78">
        <f>E1451/9</f>
        <v>8.7127555555555549</v>
      </c>
      <c r="F1452" s="65"/>
      <c r="G1452" s="65">
        <v>1500</v>
      </c>
      <c r="H1452" s="65">
        <f t="shared" si="115"/>
        <v>1500</v>
      </c>
      <c r="I1452" s="79">
        <f t="shared" si="112"/>
        <v>0</v>
      </c>
      <c r="J1452" s="79">
        <f t="shared" si="113"/>
        <v>13069.13</v>
      </c>
      <c r="K1452" s="79">
        <f t="shared" si="114"/>
        <v>13069.13</v>
      </c>
      <c r="L1452" s="121"/>
    </row>
    <row r="1453" spans="2:12" x14ac:dyDescent="0.35">
      <c r="B1453" s="111">
        <f t="shared" si="111"/>
        <v>1443</v>
      </c>
      <c r="C1453" s="64" t="s">
        <v>67</v>
      </c>
      <c r="D1453" s="81" t="s">
        <v>25</v>
      </c>
      <c r="E1453" s="78">
        <f>(3.14*2.7^2)/4</f>
        <v>5.7226500000000007</v>
      </c>
      <c r="F1453" s="65"/>
      <c r="G1453" s="123"/>
      <c r="H1453" s="65">
        <f t="shared" si="115"/>
        <v>0</v>
      </c>
      <c r="I1453" s="79">
        <f t="shared" si="112"/>
        <v>0</v>
      </c>
      <c r="J1453" s="79">
        <f t="shared" si="113"/>
        <v>0</v>
      </c>
      <c r="K1453" s="79">
        <f t="shared" si="114"/>
        <v>0</v>
      </c>
      <c r="L1453" s="121"/>
    </row>
    <row r="1454" spans="2:12" x14ac:dyDescent="0.35">
      <c r="B1454" s="111">
        <f t="shared" si="111"/>
        <v>1444</v>
      </c>
      <c r="C1454" s="64" t="s">
        <v>68</v>
      </c>
      <c r="D1454" s="81" t="s">
        <v>26</v>
      </c>
      <c r="E1454" s="78">
        <f>(3.14*2.7^2)/4*0.1</f>
        <v>0.57226500000000013</v>
      </c>
      <c r="F1454" s="65"/>
      <c r="G1454" s="65">
        <v>5860</v>
      </c>
      <c r="H1454" s="65">
        <f t="shared" si="115"/>
        <v>5860</v>
      </c>
      <c r="I1454" s="79">
        <f t="shared" si="112"/>
        <v>0</v>
      </c>
      <c r="J1454" s="79">
        <f t="shared" si="113"/>
        <v>3353.47</v>
      </c>
      <c r="K1454" s="79">
        <f t="shared" si="114"/>
        <v>3353.47</v>
      </c>
      <c r="L1454" s="121"/>
    </row>
    <row r="1455" spans="2:12" x14ac:dyDescent="0.35">
      <c r="B1455" s="111">
        <f t="shared" si="111"/>
        <v>1445</v>
      </c>
      <c r="C1455" s="80" t="s">
        <v>159</v>
      </c>
      <c r="D1455" s="81" t="s">
        <v>26</v>
      </c>
      <c r="E1455" s="78">
        <f>E1454*1.02</f>
        <v>0.58371030000000013</v>
      </c>
      <c r="F1455" s="65">
        <v>6700</v>
      </c>
      <c r="G1455" s="123"/>
      <c r="H1455" s="65">
        <f t="shared" si="115"/>
        <v>6700</v>
      </c>
      <c r="I1455" s="79">
        <f t="shared" si="112"/>
        <v>3910.86</v>
      </c>
      <c r="J1455" s="79">
        <f t="shared" si="113"/>
        <v>0</v>
      </c>
      <c r="K1455" s="79">
        <f t="shared" si="114"/>
        <v>3910.86</v>
      </c>
      <c r="L1455" s="121"/>
    </row>
    <row r="1456" spans="2:12" x14ac:dyDescent="0.35">
      <c r="B1456" s="111">
        <f t="shared" si="111"/>
        <v>1446</v>
      </c>
      <c r="C1456" s="64" t="s">
        <v>151</v>
      </c>
      <c r="D1456" s="81" t="s">
        <v>25</v>
      </c>
      <c r="E1456" s="78">
        <f>(3.14*2.5^2)/4</f>
        <v>4.90625</v>
      </c>
      <c r="F1456" s="65">
        <v>68.5</v>
      </c>
      <c r="G1456" s="65">
        <v>150</v>
      </c>
      <c r="H1456" s="65">
        <f t="shared" si="115"/>
        <v>218.5</v>
      </c>
      <c r="I1456" s="79">
        <f t="shared" si="112"/>
        <v>336.08</v>
      </c>
      <c r="J1456" s="79">
        <f t="shared" si="113"/>
        <v>735.94</v>
      </c>
      <c r="K1456" s="79">
        <f t="shared" si="114"/>
        <v>1072.02</v>
      </c>
      <c r="L1456" s="121"/>
    </row>
    <row r="1457" spans="2:12" ht="31" x14ac:dyDescent="0.35">
      <c r="B1457" s="111">
        <f t="shared" si="111"/>
        <v>1447</v>
      </c>
      <c r="C1457" s="64" t="s">
        <v>152</v>
      </c>
      <c r="D1457" s="81" t="s">
        <v>25</v>
      </c>
      <c r="E1457" s="78">
        <f>E1456</f>
        <v>4.90625</v>
      </c>
      <c r="F1457" s="65">
        <v>927</v>
      </c>
      <c r="G1457" s="65">
        <v>400</v>
      </c>
      <c r="H1457" s="65">
        <f t="shared" si="115"/>
        <v>1327</v>
      </c>
      <c r="I1457" s="79">
        <f t="shared" si="112"/>
        <v>4548.09</v>
      </c>
      <c r="J1457" s="79">
        <f t="shared" si="113"/>
        <v>1962.5</v>
      </c>
      <c r="K1457" s="79">
        <f t="shared" si="114"/>
        <v>6510.59</v>
      </c>
      <c r="L1457" s="121"/>
    </row>
    <row r="1458" spans="2:12" ht="31" x14ac:dyDescent="0.35">
      <c r="B1458" s="111">
        <f t="shared" si="111"/>
        <v>1448</v>
      </c>
      <c r="C1458" s="64" t="s">
        <v>69</v>
      </c>
      <c r="D1458" s="81" t="s">
        <v>32</v>
      </c>
      <c r="E1458" s="78">
        <v>1</v>
      </c>
      <c r="F1458" s="65"/>
      <c r="G1458" s="65">
        <v>5662</v>
      </c>
      <c r="H1458" s="65">
        <f t="shared" si="115"/>
        <v>5662</v>
      </c>
      <c r="I1458" s="79">
        <f t="shared" si="112"/>
        <v>0</v>
      </c>
      <c r="J1458" s="79">
        <f t="shared" si="113"/>
        <v>5662</v>
      </c>
      <c r="K1458" s="79">
        <f t="shared" si="114"/>
        <v>5662</v>
      </c>
      <c r="L1458" s="121"/>
    </row>
    <row r="1459" spans="2:12" x14ac:dyDescent="0.35">
      <c r="B1459" s="111">
        <f t="shared" si="111"/>
        <v>1449</v>
      </c>
      <c r="C1459" s="82" t="s">
        <v>71</v>
      </c>
      <c r="D1459" s="81" t="s">
        <v>32</v>
      </c>
      <c r="E1459" s="78">
        <v>1</v>
      </c>
      <c r="F1459" s="65">
        <f>7000*1.2</f>
        <v>8400</v>
      </c>
      <c r="G1459" s="123"/>
      <c r="H1459" s="65">
        <f t="shared" si="115"/>
        <v>8400</v>
      </c>
      <c r="I1459" s="79">
        <f t="shared" si="112"/>
        <v>8400</v>
      </c>
      <c r="J1459" s="79">
        <f t="shared" si="113"/>
        <v>0</v>
      </c>
      <c r="K1459" s="79">
        <f t="shared" si="114"/>
        <v>8400</v>
      </c>
      <c r="L1459" s="121"/>
    </row>
    <row r="1460" spans="2:12" x14ac:dyDescent="0.35">
      <c r="B1460" s="111">
        <f t="shared" si="111"/>
        <v>1450</v>
      </c>
      <c r="C1460" s="82" t="s">
        <v>101</v>
      </c>
      <c r="D1460" s="81" t="s">
        <v>26</v>
      </c>
      <c r="E1460" s="78">
        <f>((3.14*2^2)/4*0.02)*1.02</f>
        <v>6.4056000000000016E-2</v>
      </c>
      <c r="F1460" s="65">
        <v>7300</v>
      </c>
      <c r="G1460" s="123"/>
      <c r="H1460" s="65">
        <f t="shared" si="115"/>
        <v>7300</v>
      </c>
      <c r="I1460" s="79">
        <f t="shared" si="112"/>
        <v>467.61</v>
      </c>
      <c r="J1460" s="79">
        <f t="shared" si="113"/>
        <v>0</v>
      </c>
      <c r="K1460" s="79">
        <f t="shared" si="114"/>
        <v>467.61</v>
      </c>
      <c r="L1460" s="121"/>
    </row>
    <row r="1461" spans="2:12" ht="31" x14ac:dyDescent="0.35">
      <c r="B1461" s="111">
        <f t="shared" si="111"/>
        <v>1451</v>
      </c>
      <c r="C1461" s="64" t="s">
        <v>179</v>
      </c>
      <c r="D1461" s="81" t="s">
        <v>26</v>
      </c>
      <c r="E1461" s="78">
        <v>1.2</v>
      </c>
      <c r="F1461" s="65"/>
      <c r="G1461" s="65">
        <v>5860</v>
      </c>
      <c r="H1461" s="65">
        <f t="shared" si="115"/>
        <v>5860</v>
      </c>
      <c r="I1461" s="79">
        <f t="shared" si="112"/>
        <v>0</v>
      </c>
      <c r="J1461" s="79">
        <f t="shared" si="113"/>
        <v>7032</v>
      </c>
      <c r="K1461" s="79">
        <f t="shared" si="114"/>
        <v>7032</v>
      </c>
      <c r="L1461" s="121"/>
    </row>
    <row r="1462" spans="2:12" x14ac:dyDescent="0.35">
      <c r="B1462" s="111">
        <f t="shared" si="111"/>
        <v>1452</v>
      </c>
      <c r="C1462" s="82" t="s">
        <v>75</v>
      </c>
      <c r="D1462" s="81" t="s">
        <v>26</v>
      </c>
      <c r="E1462" s="78">
        <f>E1461*1.02</f>
        <v>1.224</v>
      </c>
      <c r="F1462" s="65">
        <v>7100</v>
      </c>
      <c r="G1462" s="123"/>
      <c r="H1462" s="65">
        <f t="shared" si="115"/>
        <v>7100</v>
      </c>
      <c r="I1462" s="79">
        <f t="shared" si="112"/>
        <v>8690.4</v>
      </c>
      <c r="J1462" s="79">
        <f t="shared" si="113"/>
        <v>0</v>
      </c>
      <c r="K1462" s="79">
        <f t="shared" si="114"/>
        <v>8690.4</v>
      </c>
      <c r="L1462" s="121"/>
    </row>
    <row r="1463" spans="2:12" ht="31" x14ac:dyDescent="0.35">
      <c r="B1463" s="111">
        <f t="shared" si="111"/>
        <v>1453</v>
      </c>
      <c r="C1463" s="64" t="s">
        <v>78</v>
      </c>
      <c r="D1463" s="81" t="s">
        <v>32</v>
      </c>
      <c r="E1463" s="78">
        <v>7</v>
      </c>
      <c r="F1463" s="65"/>
      <c r="G1463" s="65">
        <v>5662</v>
      </c>
      <c r="H1463" s="65">
        <f t="shared" si="115"/>
        <v>5662</v>
      </c>
      <c r="I1463" s="79">
        <f t="shared" si="112"/>
        <v>0</v>
      </c>
      <c r="J1463" s="79">
        <f t="shared" si="113"/>
        <v>39634</v>
      </c>
      <c r="K1463" s="79">
        <f t="shared" si="114"/>
        <v>39634</v>
      </c>
      <c r="L1463" s="121"/>
    </row>
    <row r="1464" spans="2:12" x14ac:dyDescent="0.35">
      <c r="B1464" s="111">
        <f t="shared" si="111"/>
        <v>1454</v>
      </c>
      <c r="C1464" s="82" t="s">
        <v>76</v>
      </c>
      <c r="D1464" s="81" t="s">
        <v>32</v>
      </c>
      <c r="E1464" s="78">
        <v>5</v>
      </c>
      <c r="F1464" s="65">
        <f>7000*1.2</f>
        <v>8400</v>
      </c>
      <c r="G1464" s="123"/>
      <c r="H1464" s="65">
        <f t="shared" si="115"/>
        <v>8400</v>
      </c>
      <c r="I1464" s="79">
        <f t="shared" si="112"/>
        <v>42000</v>
      </c>
      <c r="J1464" s="79">
        <f t="shared" si="113"/>
        <v>0</v>
      </c>
      <c r="K1464" s="79">
        <f t="shared" si="114"/>
        <v>42000</v>
      </c>
      <c r="L1464" s="121"/>
    </row>
    <row r="1465" spans="2:12" x14ac:dyDescent="0.35">
      <c r="B1465" s="111">
        <f t="shared" si="111"/>
        <v>1455</v>
      </c>
      <c r="C1465" s="82" t="s">
        <v>294</v>
      </c>
      <c r="D1465" s="81" t="s">
        <v>32</v>
      </c>
      <c r="E1465" s="78">
        <v>1</v>
      </c>
      <c r="F1465" s="65">
        <f>1200*1.2</f>
        <v>1440</v>
      </c>
      <c r="G1465" s="123"/>
      <c r="H1465" s="65">
        <f t="shared" si="115"/>
        <v>1440</v>
      </c>
      <c r="I1465" s="79">
        <f t="shared" si="112"/>
        <v>1440</v>
      </c>
      <c r="J1465" s="79">
        <f t="shared" si="113"/>
        <v>0</v>
      </c>
      <c r="K1465" s="79">
        <f t="shared" si="114"/>
        <v>1440</v>
      </c>
      <c r="L1465" s="121"/>
    </row>
    <row r="1466" spans="2:12" x14ac:dyDescent="0.35">
      <c r="B1466" s="111">
        <f t="shared" si="111"/>
        <v>1456</v>
      </c>
      <c r="C1466" s="82" t="s">
        <v>293</v>
      </c>
      <c r="D1466" s="81" t="s">
        <v>32</v>
      </c>
      <c r="E1466" s="78">
        <v>1</v>
      </c>
      <c r="F1466" s="65">
        <f>900*1.2</f>
        <v>1080</v>
      </c>
      <c r="G1466" s="123"/>
      <c r="H1466" s="65">
        <f t="shared" si="115"/>
        <v>1080</v>
      </c>
      <c r="I1466" s="79">
        <f t="shared" si="112"/>
        <v>1080</v>
      </c>
      <c r="J1466" s="79">
        <f t="shared" si="113"/>
        <v>0</v>
      </c>
      <c r="K1466" s="79">
        <f t="shared" si="114"/>
        <v>1080</v>
      </c>
      <c r="L1466" s="121"/>
    </row>
    <row r="1467" spans="2:12" ht="31" x14ac:dyDescent="0.35">
      <c r="B1467" s="111">
        <f t="shared" si="111"/>
        <v>1457</v>
      </c>
      <c r="C1467" s="64" t="s">
        <v>85</v>
      </c>
      <c r="D1467" s="81" t="s">
        <v>32</v>
      </c>
      <c r="E1467" s="78">
        <v>1</v>
      </c>
      <c r="F1467" s="65"/>
      <c r="G1467" s="65">
        <v>2500</v>
      </c>
      <c r="H1467" s="65">
        <f t="shared" si="115"/>
        <v>2500</v>
      </c>
      <c r="I1467" s="79">
        <f t="shared" si="112"/>
        <v>0</v>
      </c>
      <c r="J1467" s="79">
        <f t="shared" si="113"/>
        <v>2500</v>
      </c>
      <c r="K1467" s="79">
        <f t="shared" si="114"/>
        <v>2500</v>
      </c>
      <c r="L1467" s="121"/>
    </row>
    <row r="1468" spans="2:12" x14ac:dyDescent="0.35">
      <c r="B1468" s="111">
        <f t="shared" si="111"/>
        <v>1458</v>
      </c>
      <c r="C1468" s="82" t="s">
        <v>79</v>
      </c>
      <c r="D1468" s="81" t="s">
        <v>32</v>
      </c>
      <c r="E1468" s="78">
        <v>1</v>
      </c>
      <c r="F1468" s="65">
        <f>6500*1.2</f>
        <v>7800</v>
      </c>
      <c r="G1468" s="123"/>
      <c r="H1468" s="65">
        <f t="shared" si="115"/>
        <v>7800</v>
      </c>
      <c r="I1468" s="79">
        <f t="shared" si="112"/>
        <v>7800</v>
      </c>
      <c r="J1468" s="79">
        <f t="shared" si="113"/>
        <v>0</v>
      </c>
      <c r="K1468" s="79">
        <f t="shared" si="114"/>
        <v>7800</v>
      </c>
      <c r="L1468" s="121"/>
    </row>
    <row r="1469" spans="2:12" ht="31" x14ac:dyDescent="0.35">
      <c r="B1469" s="111">
        <f t="shared" si="111"/>
        <v>1459</v>
      </c>
      <c r="C1469" s="64" t="s">
        <v>316</v>
      </c>
      <c r="D1469" s="81" t="s">
        <v>32</v>
      </c>
      <c r="E1469" s="78">
        <v>1</v>
      </c>
      <c r="F1469" s="65"/>
      <c r="G1469" s="65"/>
      <c r="H1469" s="65">
        <f t="shared" si="115"/>
        <v>0</v>
      </c>
      <c r="I1469" s="79">
        <f t="shared" si="112"/>
        <v>0</v>
      </c>
      <c r="J1469" s="79">
        <f t="shared" si="113"/>
        <v>0</v>
      </c>
      <c r="K1469" s="79">
        <f t="shared" si="114"/>
        <v>0</v>
      </c>
      <c r="L1469" s="121"/>
    </row>
    <row r="1470" spans="2:12" x14ac:dyDescent="0.35">
      <c r="B1470" s="111">
        <f t="shared" si="111"/>
        <v>1460</v>
      </c>
      <c r="C1470" s="88" t="s">
        <v>84</v>
      </c>
      <c r="D1470" s="81" t="s">
        <v>32</v>
      </c>
      <c r="E1470" s="78">
        <v>1</v>
      </c>
      <c r="F1470" s="65">
        <v>1300</v>
      </c>
      <c r="G1470" s="65">
        <v>990</v>
      </c>
      <c r="H1470" s="65">
        <f t="shared" si="115"/>
        <v>2290</v>
      </c>
      <c r="I1470" s="79">
        <f t="shared" si="112"/>
        <v>1300</v>
      </c>
      <c r="J1470" s="79">
        <f t="shared" si="113"/>
        <v>990</v>
      </c>
      <c r="K1470" s="79">
        <f t="shared" si="114"/>
        <v>2290</v>
      </c>
      <c r="L1470" s="121"/>
    </row>
    <row r="1471" spans="2:12" x14ac:dyDescent="0.35">
      <c r="B1471" s="111">
        <f t="shared" si="111"/>
        <v>1461</v>
      </c>
      <c r="C1471" s="80" t="s">
        <v>301</v>
      </c>
      <c r="D1471" s="81" t="s">
        <v>32</v>
      </c>
      <c r="E1471" s="78">
        <v>1</v>
      </c>
      <c r="F1471" s="65">
        <v>6000</v>
      </c>
      <c r="G1471" s="65">
        <v>1464.09</v>
      </c>
      <c r="H1471" s="65">
        <f t="shared" si="115"/>
        <v>7464.09</v>
      </c>
      <c r="I1471" s="79">
        <f t="shared" si="112"/>
        <v>6000</v>
      </c>
      <c r="J1471" s="79">
        <f t="shared" si="113"/>
        <v>1464.09</v>
      </c>
      <c r="K1471" s="79">
        <f t="shared" si="114"/>
        <v>7464.09</v>
      </c>
      <c r="L1471" s="121"/>
    </row>
    <row r="1472" spans="2:12" ht="31" x14ac:dyDescent="0.35">
      <c r="B1472" s="111">
        <f t="shared" si="111"/>
        <v>1462</v>
      </c>
      <c r="C1472" s="64" t="s">
        <v>156</v>
      </c>
      <c r="D1472" s="81" t="s">
        <v>25</v>
      </c>
      <c r="E1472" s="78">
        <f>(3.14*2.2)*5.57+3.8</f>
        <v>42.277560000000008</v>
      </c>
      <c r="F1472" s="65">
        <v>68.5</v>
      </c>
      <c r="G1472" s="65">
        <v>150</v>
      </c>
      <c r="H1472" s="65">
        <f t="shared" si="115"/>
        <v>218.5</v>
      </c>
      <c r="I1472" s="79">
        <f t="shared" si="112"/>
        <v>2896.01</v>
      </c>
      <c r="J1472" s="79">
        <f t="shared" si="113"/>
        <v>6341.63</v>
      </c>
      <c r="K1472" s="79">
        <f t="shared" si="114"/>
        <v>9237.64</v>
      </c>
      <c r="L1472" s="121"/>
    </row>
    <row r="1473" spans="2:12" ht="46.5" x14ac:dyDescent="0.35">
      <c r="B1473" s="111">
        <f t="shared" si="111"/>
        <v>1463</v>
      </c>
      <c r="C1473" s="64" t="s">
        <v>157</v>
      </c>
      <c r="D1473" s="81" t="s">
        <v>25</v>
      </c>
      <c r="E1473" s="78">
        <f>E1472</f>
        <v>42.277560000000008</v>
      </c>
      <c r="F1473" s="65">
        <v>927</v>
      </c>
      <c r="G1473" s="65">
        <v>400</v>
      </c>
      <c r="H1473" s="65">
        <f t="shared" si="115"/>
        <v>1327</v>
      </c>
      <c r="I1473" s="79">
        <f t="shared" si="112"/>
        <v>39191.300000000003</v>
      </c>
      <c r="J1473" s="79">
        <f t="shared" si="113"/>
        <v>16911.02</v>
      </c>
      <c r="K1473" s="79">
        <f t="shared" si="114"/>
        <v>56102.320000000007</v>
      </c>
      <c r="L1473" s="121"/>
    </row>
    <row r="1474" spans="2:12" x14ac:dyDescent="0.35">
      <c r="B1474" s="111">
        <f t="shared" si="111"/>
        <v>1464</v>
      </c>
      <c r="C1474" s="64" t="s">
        <v>335</v>
      </c>
      <c r="D1474" s="81" t="s">
        <v>32</v>
      </c>
      <c r="E1474" s="78">
        <v>1</v>
      </c>
      <c r="F1474" s="68"/>
      <c r="G1474" s="123"/>
      <c r="H1474" s="65">
        <f t="shared" si="115"/>
        <v>0</v>
      </c>
      <c r="I1474" s="79">
        <f t="shared" si="112"/>
        <v>0</v>
      </c>
      <c r="J1474" s="79">
        <f t="shared" si="113"/>
        <v>0</v>
      </c>
      <c r="K1474" s="79">
        <f t="shared" si="114"/>
        <v>0</v>
      </c>
      <c r="L1474" s="121"/>
    </row>
    <row r="1475" spans="2:12" x14ac:dyDescent="0.35">
      <c r="B1475" s="111">
        <f t="shared" si="111"/>
        <v>1465</v>
      </c>
      <c r="C1475" s="82" t="s">
        <v>336</v>
      </c>
      <c r="D1475" s="81" t="s">
        <v>31</v>
      </c>
      <c r="E1475" s="78">
        <v>46.06</v>
      </c>
      <c r="F1475" s="68">
        <v>71</v>
      </c>
      <c r="G1475" s="65">
        <v>97.61</v>
      </c>
      <c r="H1475" s="65">
        <f t="shared" si="115"/>
        <v>168.61</v>
      </c>
      <c r="I1475" s="79">
        <f t="shared" si="112"/>
        <v>3270.26</v>
      </c>
      <c r="J1475" s="79">
        <f t="shared" si="113"/>
        <v>4495.92</v>
      </c>
      <c r="K1475" s="79">
        <f t="shared" si="114"/>
        <v>7766.18</v>
      </c>
      <c r="L1475" s="121"/>
    </row>
    <row r="1476" spans="2:12" x14ac:dyDescent="0.35">
      <c r="B1476" s="111">
        <f t="shared" si="111"/>
        <v>1466</v>
      </c>
      <c r="C1476" s="64" t="s">
        <v>93</v>
      </c>
      <c r="D1476" s="81" t="s">
        <v>32</v>
      </c>
      <c r="E1476" s="78">
        <v>3</v>
      </c>
      <c r="F1476" s="68"/>
      <c r="G1476" s="123"/>
      <c r="H1476" s="65">
        <f t="shared" si="115"/>
        <v>0</v>
      </c>
      <c r="I1476" s="79">
        <f t="shared" si="112"/>
        <v>0</v>
      </c>
      <c r="J1476" s="79">
        <f t="shared" si="113"/>
        <v>0</v>
      </c>
      <c r="K1476" s="79">
        <f t="shared" si="114"/>
        <v>0</v>
      </c>
      <c r="L1476" s="121"/>
    </row>
    <row r="1477" spans="2:12" x14ac:dyDescent="0.35">
      <c r="B1477" s="111">
        <f t="shared" si="111"/>
        <v>1467</v>
      </c>
      <c r="C1477" s="82" t="s">
        <v>94</v>
      </c>
      <c r="D1477" s="81" t="s">
        <v>31</v>
      </c>
      <c r="E1477" s="78">
        <f>0.82*E1476</f>
        <v>2.46</v>
      </c>
      <c r="F1477" s="68">
        <v>71</v>
      </c>
      <c r="G1477" s="65">
        <v>97.61</v>
      </c>
      <c r="H1477" s="65">
        <f t="shared" si="115"/>
        <v>168.61</v>
      </c>
      <c r="I1477" s="79">
        <f t="shared" si="112"/>
        <v>174.66</v>
      </c>
      <c r="J1477" s="79">
        <f t="shared" si="113"/>
        <v>240.12</v>
      </c>
      <c r="K1477" s="79">
        <f t="shared" si="114"/>
        <v>414.78</v>
      </c>
      <c r="L1477" s="121"/>
    </row>
    <row r="1478" spans="2:12" ht="31" x14ac:dyDescent="0.35">
      <c r="B1478" s="111">
        <f t="shared" si="111"/>
        <v>1468</v>
      </c>
      <c r="C1478" s="64" t="s">
        <v>304</v>
      </c>
      <c r="D1478" s="81" t="s">
        <v>32</v>
      </c>
      <c r="E1478" s="78">
        <v>4</v>
      </c>
      <c r="F1478" s="68"/>
      <c r="G1478" s="65">
        <v>1464</v>
      </c>
      <c r="H1478" s="65">
        <f t="shared" si="115"/>
        <v>1464</v>
      </c>
      <c r="I1478" s="79">
        <f t="shared" si="112"/>
        <v>0</v>
      </c>
      <c r="J1478" s="79">
        <f t="shared" si="113"/>
        <v>5856</v>
      </c>
      <c r="K1478" s="79">
        <f t="shared" si="114"/>
        <v>5856</v>
      </c>
      <c r="L1478" s="121"/>
    </row>
    <row r="1479" spans="2:12" ht="33" x14ac:dyDescent="0.35">
      <c r="B1479" s="111">
        <f t="shared" si="111"/>
        <v>1469</v>
      </c>
      <c r="C1479" s="64" t="s">
        <v>362</v>
      </c>
      <c r="D1479" s="81" t="s">
        <v>26</v>
      </c>
      <c r="E1479" s="78">
        <f>83.01-20.89</f>
        <v>62.120000000000005</v>
      </c>
      <c r="F1479" s="68"/>
      <c r="G1479" s="65">
        <v>439</v>
      </c>
      <c r="H1479" s="65">
        <f t="shared" si="115"/>
        <v>439</v>
      </c>
      <c r="I1479" s="79">
        <f t="shared" si="112"/>
        <v>0</v>
      </c>
      <c r="J1479" s="79">
        <f t="shared" si="113"/>
        <v>27270.68</v>
      </c>
      <c r="K1479" s="79">
        <f t="shared" si="114"/>
        <v>27270.68</v>
      </c>
      <c r="L1479" s="121"/>
    </row>
    <row r="1480" spans="2:12" ht="30" x14ac:dyDescent="0.35">
      <c r="B1480" s="111">
        <f t="shared" si="111"/>
        <v>1470</v>
      </c>
      <c r="C1480" s="98" t="s">
        <v>263</v>
      </c>
      <c r="D1480" s="99" t="s">
        <v>27</v>
      </c>
      <c r="E1480" s="100">
        <v>11.4</v>
      </c>
      <c r="F1480" s="101"/>
      <c r="G1480" s="106"/>
      <c r="H1480" s="101">
        <f t="shared" si="115"/>
        <v>0</v>
      </c>
      <c r="I1480" s="101">
        <f t="shared" si="112"/>
        <v>0</v>
      </c>
      <c r="J1480" s="101">
        <f t="shared" si="113"/>
        <v>0</v>
      </c>
      <c r="K1480" s="101">
        <f t="shared" si="114"/>
        <v>0</v>
      </c>
      <c r="L1480" s="121"/>
    </row>
    <row r="1481" spans="2:12" ht="31" x14ac:dyDescent="0.35">
      <c r="B1481" s="111">
        <f t="shared" si="111"/>
        <v>1471</v>
      </c>
      <c r="C1481" s="64" t="s">
        <v>348</v>
      </c>
      <c r="D1481" s="77" t="s">
        <v>26</v>
      </c>
      <c r="E1481" s="78">
        <f>0.97*161.46</f>
        <v>156.61619999999999</v>
      </c>
      <c r="F1481" s="65"/>
      <c r="G1481" s="65">
        <v>300</v>
      </c>
      <c r="H1481" s="65">
        <f t="shared" si="115"/>
        <v>300</v>
      </c>
      <c r="I1481" s="79">
        <f t="shared" si="112"/>
        <v>0</v>
      </c>
      <c r="J1481" s="79">
        <f t="shared" si="113"/>
        <v>46984.86</v>
      </c>
      <c r="K1481" s="79">
        <f t="shared" si="114"/>
        <v>46984.86</v>
      </c>
      <c r="L1481" s="121"/>
    </row>
    <row r="1482" spans="2:12" x14ac:dyDescent="0.35">
      <c r="B1482" s="111">
        <f t="shared" si="111"/>
        <v>1472</v>
      </c>
      <c r="C1482" s="64" t="s">
        <v>19</v>
      </c>
      <c r="D1482" s="77" t="s">
        <v>26</v>
      </c>
      <c r="E1482" s="78">
        <f>E1481/97*3</f>
        <v>4.8437999999999999</v>
      </c>
      <c r="F1482" s="65"/>
      <c r="G1482" s="65">
        <v>1500</v>
      </c>
      <c r="H1482" s="65">
        <f t="shared" si="115"/>
        <v>1500</v>
      </c>
      <c r="I1482" s="79">
        <f t="shared" si="112"/>
        <v>0</v>
      </c>
      <c r="J1482" s="79">
        <f t="shared" si="113"/>
        <v>7265.7</v>
      </c>
      <c r="K1482" s="79">
        <f t="shared" si="114"/>
        <v>7265.7</v>
      </c>
      <c r="L1482" s="121"/>
    </row>
    <row r="1483" spans="2:12" x14ac:dyDescent="0.35">
      <c r="B1483" s="111">
        <f t="shared" si="111"/>
        <v>1473</v>
      </c>
      <c r="C1483" s="64" t="s">
        <v>184</v>
      </c>
      <c r="D1483" s="77" t="s">
        <v>25</v>
      </c>
      <c r="E1483" s="78">
        <f>E1480*0.75</f>
        <v>8.5500000000000007</v>
      </c>
      <c r="F1483" s="65"/>
      <c r="G1483" s="123"/>
      <c r="H1483" s="65">
        <f t="shared" si="115"/>
        <v>0</v>
      </c>
      <c r="I1483" s="79">
        <f t="shared" si="112"/>
        <v>0</v>
      </c>
      <c r="J1483" s="79">
        <f t="shared" si="113"/>
        <v>0</v>
      </c>
      <c r="K1483" s="79">
        <f t="shared" si="114"/>
        <v>0</v>
      </c>
      <c r="L1483" s="121"/>
    </row>
    <row r="1484" spans="2:12" ht="31" x14ac:dyDescent="0.35">
      <c r="B1484" s="111">
        <f t="shared" si="111"/>
        <v>1474</v>
      </c>
      <c r="C1484" s="64" t="s">
        <v>194</v>
      </c>
      <c r="D1484" s="77" t="s">
        <v>25</v>
      </c>
      <c r="E1484" s="78">
        <f>E1480*0.48</f>
        <v>5.4719999999999995</v>
      </c>
      <c r="F1484" s="65">
        <f>1973*0.15</f>
        <v>295.95</v>
      </c>
      <c r="G1484" s="65">
        <f>1500*0.15</f>
        <v>225</v>
      </c>
      <c r="H1484" s="65">
        <f t="shared" si="115"/>
        <v>520.95000000000005</v>
      </c>
      <c r="I1484" s="79">
        <f t="shared" si="112"/>
        <v>1619.44</v>
      </c>
      <c r="J1484" s="79">
        <f t="shared" si="113"/>
        <v>1231.2</v>
      </c>
      <c r="K1484" s="79">
        <f t="shared" si="114"/>
        <v>2850.6400000000003</v>
      </c>
      <c r="L1484" s="121"/>
    </row>
    <row r="1485" spans="2:12" x14ac:dyDescent="0.35">
      <c r="B1485" s="111">
        <f t="shared" ref="B1485:B1548" si="116">B1484+1</f>
        <v>1475</v>
      </c>
      <c r="C1485" s="64" t="s">
        <v>20</v>
      </c>
      <c r="D1485" s="77" t="s">
        <v>26</v>
      </c>
      <c r="E1485" s="78">
        <f>0.34*E1480*0.1</f>
        <v>0.38760000000000006</v>
      </c>
      <c r="F1485" s="65"/>
      <c r="G1485" s="65">
        <v>5860</v>
      </c>
      <c r="H1485" s="65">
        <f t="shared" si="115"/>
        <v>5860</v>
      </c>
      <c r="I1485" s="79">
        <f t="shared" ref="I1485:I1548" si="117">ROUND(F1485*E1485,2)</f>
        <v>0</v>
      </c>
      <c r="J1485" s="79">
        <f t="shared" ref="J1485:J1548" si="118">ROUND(G1485*E1485,2)</f>
        <v>2271.34</v>
      </c>
      <c r="K1485" s="79">
        <f t="shared" ref="K1485:K1548" si="119">I1485+J1485</f>
        <v>2271.34</v>
      </c>
      <c r="L1485" s="121"/>
    </row>
    <row r="1486" spans="2:12" x14ac:dyDescent="0.35">
      <c r="B1486" s="111">
        <f t="shared" si="116"/>
        <v>1476</v>
      </c>
      <c r="C1486" s="80" t="s">
        <v>159</v>
      </c>
      <c r="D1486" s="77" t="s">
        <v>26</v>
      </c>
      <c r="E1486" s="78">
        <f>E1485*1.02</f>
        <v>0.39535200000000004</v>
      </c>
      <c r="F1486" s="65">
        <v>6700</v>
      </c>
      <c r="G1486" s="123"/>
      <c r="H1486" s="65">
        <f t="shared" si="115"/>
        <v>6700</v>
      </c>
      <c r="I1486" s="79">
        <f t="shared" si="117"/>
        <v>2648.86</v>
      </c>
      <c r="J1486" s="79">
        <f t="shared" si="118"/>
        <v>0</v>
      </c>
      <c r="K1486" s="79">
        <f t="shared" si="119"/>
        <v>2648.86</v>
      </c>
      <c r="L1486" s="121"/>
    </row>
    <row r="1487" spans="2:12" x14ac:dyDescent="0.35">
      <c r="B1487" s="111">
        <f t="shared" si="116"/>
        <v>1477</v>
      </c>
      <c r="C1487" s="64" t="s">
        <v>28</v>
      </c>
      <c r="D1487" s="77" t="s">
        <v>26</v>
      </c>
      <c r="E1487" s="78">
        <f>E1480*0.8/10</f>
        <v>0.91200000000000014</v>
      </c>
      <c r="F1487" s="65"/>
      <c r="G1487" s="65">
        <v>5860</v>
      </c>
      <c r="H1487" s="65">
        <f t="shared" ref="H1487:H1550" si="120">F1487+G1487</f>
        <v>5860</v>
      </c>
      <c r="I1487" s="79">
        <f t="shared" si="117"/>
        <v>0</v>
      </c>
      <c r="J1487" s="79">
        <f t="shared" si="118"/>
        <v>5344.32</v>
      </c>
      <c r="K1487" s="79">
        <f t="shared" si="119"/>
        <v>5344.32</v>
      </c>
      <c r="L1487" s="121"/>
    </row>
    <row r="1488" spans="2:12" x14ac:dyDescent="0.35">
      <c r="B1488" s="111">
        <f t="shared" si="116"/>
        <v>1478</v>
      </c>
      <c r="C1488" s="80" t="s">
        <v>29</v>
      </c>
      <c r="D1488" s="77" t="s">
        <v>26</v>
      </c>
      <c r="E1488" s="78">
        <f>E1487*1.02</f>
        <v>0.93024000000000018</v>
      </c>
      <c r="F1488" s="65">
        <v>7100</v>
      </c>
      <c r="G1488" s="123"/>
      <c r="H1488" s="65">
        <f t="shared" si="120"/>
        <v>7100</v>
      </c>
      <c r="I1488" s="79">
        <f t="shared" si="117"/>
        <v>6604.7</v>
      </c>
      <c r="J1488" s="79">
        <f t="shared" si="118"/>
        <v>0</v>
      </c>
      <c r="K1488" s="79">
        <f t="shared" si="119"/>
        <v>6604.7</v>
      </c>
      <c r="L1488" s="121"/>
    </row>
    <row r="1489" spans="2:12" x14ac:dyDescent="0.35">
      <c r="B1489" s="111">
        <f t="shared" si="116"/>
        <v>1479</v>
      </c>
      <c r="C1489" s="80" t="s">
        <v>30</v>
      </c>
      <c r="D1489" s="77" t="s">
        <v>31</v>
      </c>
      <c r="E1489" s="78">
        <f>E1480*1.22</f>
        <v>13.907999999999999</v>
      </c>
      <c r="F1489" s="65">
        <v>118.9</v>
      </c>
      <c r="G1489" s="123"/>
      <c r="H1489" s="65">
        <f t="shared" si="120"/>
        <v>118.9</v>
      </c>
      <c r="I1489" s="79">
        <f t="shared" si="117"/>
        <v>1653.66</v>
      </c>
      <c r="J1489" s="79">
        <f t="shared" si="118"/>
        <v>0</v>
      </c>
      <c r="K1489" s="79">
        <f t="shared" si="119"/>
        <v>1653.66</v>
      </c>
      <c r="L1489" s="121"/>
    </row>
    <row r="1490" spans="2:12" x14ac:dyDescent="0.35">
      <c r="B1490" s="111">
        <f t="shared" si="116"/>
        <v>1480</v>
      </c>
      <c r="C1490" s="64" t="s">
        <v>189</v>
      </c>
      <c r="D1490" s="77" t="s">
        <v>27</v>
      </c>
      <c r="E1490" s="78">
        <f>E1480</f>
        <v>11.4</v>
      </c>
      <c r="F1490" s="65"/>
      <c r="G1490" s="65">
        <v>2928</v>
      </c>
      <c r="H1490" s="65">
        <f t="shared" si="120"/>
        <v>2928</v>
      </c>
      <c r="I1490" s="79">
        <f t="shared" si="117"/>
        <v>0</v>
      </c>
      <c r="J1490" s="79">
        <f t="shared" si="118"/>
        <v>33379.199999999997</v>
      </c>
      <c r="K1490" s="79">
        <f t="shared" si="119"/>
        <v>33379.199999999997</v>
      </c>
      <c r="L1490" s="121"/>
    </row>
    <row r="1491" spans="2:12" ht="31" x14ac:dyDescent="0.35">
      <c r="B1491" s="111">
        <f t="shared" si="116"/>
        <v>1481</v>
      </c>
      <c r="C1491" s="80" t="s">
        <v>195</v>
      </c>
      <c r="D1491" s="77" t="s">
        <v>27</v>
      </c>
      <c r="E1491" s="78">
        <f>E1490*1.1</f>
        <v>12.540000000000001</v>
      </c>
      <c r="F1491" s="65">
        <v>855</v>
      </c>
      <c r="G1491" s="65"/>
      <c r="H1491" s="65">
        <f t="shared" si="120"/>
        <v>855</v>
      </c>
      <c r="I1491" s="79">
        <f t="shared" si="117"/>
        <v>10721.7</v>
      </c>
      <c r="J1491" s="79">
        <f t="shared" si="118"/>
        <v>0</v>
      </c>
      <c r="K1491" s="79">
        <f t="shared" si="119"/>
        <v>10721.7</v>
      </c>
      <c r="L1491" s="121"/>
    </row>
    <row r="1492" spans="2:12" ht="33" x14ac:dyDescent="0.35">
      <c r="B1492" s="111">
        <f t="shared" si="116"/>
        <v>1482</v>
      </c>
      <c r="C1492" s="64" t="s">
        <v>355</v>
      </c>
      <c r="D1492" s="81" t="s">
        <v>26</v>
      </c>
      <c r="E1492" s="78">
        <v>168.1</v>
      </c>
      <c r="F1492" s="65"/>
      <c r="G1492" s="65">
        <v>439</v>
      </c>
      <c r="H1492" s="65">
        <f t="shared" si="120"/>
        <v>439</v>
      </c>
      <c r="I1492" s="79">
        <f t="shared" si="117"/>
        <v>0</v>
      </c>
      <c r="J1492" s="79">
        <f t="shared" si="118"/>
        <v>73795.899999999994</v>
      </c>
      <c r="K1492" s="79">
        <f t="shared" si="119"/>
        <v>73795.899999999994</v>
      </c>
      <c r="L1492" s="121"/>
    </row>
    <row r="1493" spans="2:12" ht="45" x14ac:dyDescent="0.35">
      <c r="B1493" s="111">
        <f t="shared" si="116"/>
        <v>1483</v>
      </c>
      <c r="C1493" s="98" t="s">
        <v>264</v>
      </c>
      <c r="D1493" s="99" t="s">
        <v>27</v>
      </c>
      <c r="E1493" s="100">
        <v>3.4</v>
      </c>
      <c r="F1493" s="101"/>
      <c r="G1493" s="106"/>
      <c r="H1493" s="101">
        <f t="shared" si="120"/>
        <v>0</v>
      </c>
      <c r="I1493" s="101">
        <f t="shared" si="117"/>
        <v>0</v>
      </c>
      <c r="J1493" s="101">
        <f t="shared" si="118"/>
        <v>0</v>
      </c>
      <c r="K1493" s="101">
        <f t="shared" si="119"/>
        <v>0</v>
      </c>
      <c r="L1493" s="121"/>
    </row>
    <row r="1494" spans="2:12" ht="31" x14ac:dyDescent="0.35">
      <c r="B1494" s="111">
        <f t="shared" si="116"/>
        <v>1484</v>
      </c>
      <c r="C1494" s="64" t="s">
        <v>348</v>
      </c>
      <c r="D1494" s="77" t="s">
        <v>26</v>
      </c>
      <c r="E1494" s="78">
        <f>0.97*3.08</f>
        <v>2.9876</v>
      </c>
      <c r="F1494" s="65"/>
      <c r="G1494" s="65">
        <v>300</v>
      </c>
      <c r="H1494" s="65">
        <f t="shared" si="120"/>
        <v>300</v>
      </c>
      <c r="I1494" s="79">
        <f t="shared" si="117"/>
        <v>0</v>
      </c>
      <c r="J1494" s="79">
        <f t="shared" si="118"/>
        <v>896.28</v>
      </c>
      <c r="K1494" s="79">
        <f t="shared" si="119"/>
        <v>896.28</v>
      </c>
      <c r="L1494" s="121"/>
    </row>
    <row r="1495" spans="2:12" x14ac:dyDescent="0.35">
      <c r="B1495" s="111">
        <f t="shared" si="116"/>
        <v>1485</v>
      </c>
      <c r="C1495" s="64" t="s">
        <v>19</v>
      </c>
      <c r="D1495" s="77" t="s">
        <v>26</v>
      </c>
      <c r="E1495" s="78">
        <f>E1494/97*3</f>
        <v>9.240000000000001E-2</v>
      </c>
      <c r="F1495" s="65"/>
      <c r="G1495" s="65">
        <v>1500</v>
      </c>
      <c r="H1495" s="65">
        <f t="shared" si="120"/>
        <v>1500</v>
      </c>
      <c r="I1495" s="79">
        <f t="shared" si="117"/>
        <v>0</v>
      </c>
      <c r="J1495" s="79">
        <f t="shared" si="118"/>
        <v>138.6</v>
      </c>
      <c r="K1495" s="79">
        <f t="shared" si="119"/>
        <v>138.6</v>
      </c>
      <c r="L1495" s="121"/>
    </row>
    <row r="1496" spans="2:12" x14ac:dyDescent="0.35">
      <c r="B1496" s="111">
        <f t="shared" si="116"/>
        <v>1486</v>
      </c>
      <c r="C1496" s="64" t="s">
        <v>184</v>
      </c>
      <c r="D1496" s="77" t="s">
        <v>25</v>
      </c>
      <c r="E1496" s="78">
        <f>E1493*0.7*2</f>
        <v>4.76</v>
      </c>
      <c r="F1496" s="65"/>
      <c r="G1496" s="123"/>
      <c r="H1496" s="65">
        <f t="shared" si="120"/>
        <v>0</v>
      </c>
      <c r="I1496" s="79">
        <f t="shared" si="117"/>
        <v>0</v>
      </c>
      <c r="J1496" s="79">
        <f t="shared" si="118"/>
        <v>0</v>
      </c>
      <c r="K1496" s="79">
        <f t="shared" si="119"/>
        <v>0</v>
      </c>
      <c r="L1496" s="121"/>
    </row>
    <row r="1497" spans="2:12" ht="31" x14ac:dyDescent="0.35">
      <c r="B1497" s="111">
        <f t="shared" si="116"/>
        <v>1487</v>
      </c>
      <c r="C1497" s="64" t="s">
        <v>232</v>
      </c>
      <c r="D1497" s="77" t="s">
        <v>25</v>
      </c>
      <c r="E1497" s="78">
        <f>E1493*0.45*2</f>
        <v>3.06</v>
      </c>
      <c r="F1497" s="65">
        <f>1973*0.15</f>
        <v>295.95</v>
      </c>
      <c r="G1497" s="65">
        <f>1500*0.15</f>
        <v>225</v>
      </c>
      <c r="H1497" s="65">
        <f t="shared" si="120"/>
        <v>520.95000000000005</v>
      </c>
      <c r="I1497" s="79">
        <f t="shared" si="117"/>
        <v>905.61</v>
      </c>
      <c r="J1497" s="79">
        <f t="shared" si="118"/>
        <v>688.5</v>
      </c>
      <c r="K1497" s="79">
        <f t="shared" si="119"/>
        <v>1594.1100000000001</v>
      </c>
      <c r="L1497" s="121"/>
    </row>
    <row r="1498" spans="2:12" x14ac:dyDescent="0.35">
      <c r="B1498" s="111">
        <f t="shared" si="116"/>
        <v>1488</v>
      </c>
      <c r="C1498" s="64" t="s">
        <v>20</v>
      </c>
      <c r="D1498" s="77" t="s">
        <v>26</v>
      </c>
      <c r="E1498" s="78">
        <f>0.32*2*E1493*0.1</f>
        <v>0.21760000000000002</v>
      </c>
      <c r="F1498" s="65"/>
      <c r="G1498" s="65">
        <v>5860</v>
      </c>
      <c r="H1498" s="65">
        <f t="shared" si="120"/>
        <v>5860</v>
      </c>
      <c r="I1498" s="79">
        <f t="shared" si="117"/>
        <v>0</v>
      </c>
      <c r="J1498" s="79">
        <f t="shared" si="118"/>
        <v>1275.1400000000001</v>
      </c>
      <c r="K1498" s="79">
        <f t="shared" si="119"/>
        <v>1275.1400000000001</v>
      </c>
      <c r="L1498" s="121"/>
    </row>
    <row r="1499" spans="2:12" x14ac:dyDescent="0.35">
      <c r="B1499" s="111">
        <f t="shared" si="116"/>
        <v>1489</v>
      </c>
      <c r="C1499" s="80" t="s">
        <v>159</v>
      </c>
      <c r="D1499" s="77" t="s">
        <v>26</v>
      </c>
      <c r="E1499" s="78">
        <f>E1498*1.02</f>
        <v>0.22195200000000001</v>
      </c>
      <c r="F1499" s="65">
        <v>6700</v>
      </c>
      <c r="G1499" s="123"/>
      <c r="H1499" s="65">
        <f t="shared" si="120"/>
        <v>6700</v>
      </c>
      <c r="I1499" s="79">
        <f t="shared" si="117"/>
        <v>1487.08</v>
      </c>
      <c r="J1499" s="79">
        <f t="shared" si="118"/>
        <v>0</v>
      </c>
      <c r="K1499" s="79">
        <f t="shared" si="119"/>
        <v>1487.08</v>
      </c>
      <c r="L1499" s="121"/>
    </row>
    <row r="1500" spans="2:12" x14ac:dyDescent="0.35">
      <c r="B1500" s="111">
        <f t="shared" si="116"/>
        <v>1490</v>
      </c>
      <c r="C1500" s="64" t="s">
        <v>28</v>
      </c>
      <c r="D1500" s="77" t="s">
        <v>26</v>
      </c>
      <c r="E1500" s="78">
        <f>0.73*2*E1493*0.1</f>
        <v>0.49639999999999995</v>
      </c>
      <c r="F1500" s="65"/>
      <c r="G1500" s="65">
        <v>5860</v>
      </c>
      <c r="H1500" s="65">
        <f t="shared" si="120"/>
        <v>5860</v>
      </c>
      <c r="I1500" s="79">
        <f t="shared" si="117"/>
        <v>0</v>
      </c>
      <c r="J1500" s="79">
        <f t="shared" si="118"/>
        <v>2908.9</v>
      </c>
      <c r="K1500" s="79">
        <f t="shared" si="119"/>
        <v>2908.9</v>
      </c>
      <c r="L1500" s="121"/>
    </row>
    <row r="1501" spans="2:12" x14ac:dyDescent="0.35">
      <c r="B1501" s="111">
        <f t="shared" si="116"/>
        <v>1491</v>
      </c>
      <c r="C1501" s="80" t="s">
        <v>29</v>
      </c>
      <c r="D1501" s="77" t="s">
        <v>26</v>
      </c>
      <c r="E1501" s="78">
        <f>E1500*1.02</f>
        <v>0.506328</v>
      </c>
      <c r="F1501" s="65">
        <v>7100</v>
      </c>
      <c r="G1501" s="123"/>
      <c r="H1501" s="65">
        <f t="shared" si="120"/>
        <v>7100</v>
      </c>
      <c r="I1501" s="79">
        <f t="shared" si="117"/>
        <v>3594.93</v>
      </c>
      <c r="J1501" s="79">
        <f t="shared" si="118"/>
        <v>0</v>
      </c>
      <c r="K1501" s="79">
        <f t="shared" si="119"/>
        <v>3594.93</v>
      </c>
      <c r="L1501" s="121"/>
    </row>
    <row r="1502" spans="2:12" x14ac:dyDescent="0.35">
      <c r="B1502" s="111">
        <f t="shared" si="116"/>
        <v>1492</v>
      </c>
      <c r="C1502" s="80" t="s">
        <v>30</v>
      </c>
      <c r="D1502" s="77" t="s">
        <v>31</v>
      </c>
      <c r="E1502" s="78">
        <f>31.39*E1493*0.1*2</f>
        <v>21.345200000000002</v>
      </c>
      <c r="F1502" s="65">
        <v>118.9</v>
      </c>
      <c r="G1502" s="123"/>
      <c r="H1502" s="65">
        <f t="shared" si="120"/>
        <v>118.9</v>
      </c>
      <c r="I1502" s="79">
        <f t="shared" si="117"/>
        <v>2537.94</v>
      </c>
      <c r="J1502" s="79">
        <f t="shared" si="118"/>
        <v>0</v>
      </c>
      <c r="K1502" s="79">
        <f t="shared" si="119"/>
        <v>2537.94</v>
      </c>
      <c r="L1502" s="121"/>
    </row>
    <row r="1503" spans="2:12" x14ac:dyDescent="0.35">
      <c r="B1503" s="111">
        <f t="shared" si="116"/>
        <v>1493</v>
      </c>
      <c r="C1503" s="64" t="s">
        <v>233</v>
      </c>
      <c r="D1503" s="77" t="s">
        <v>27</v>
      </c>
      <c r="E1503" s="78">
        <f>E1493</f>
        <v>3.4</v>
      </c>
      <c r="F1503" s="65"/>
      <c r="G1503" s="65">
        <v>6000</v>
      </c>
      <c r="H1503" s="65">
        <f t="shared" si="120"/>
        <v>6000</v>
      </c>
      <c r="I1503" s="79">
        <f t="shared" si="117"/>
        <v>0</v>
      </c>
      <c r="J1503" s="79">
        <f t="shared" si="118"/>
        <v>20400</v>
      </c>
      <c r="K1503" s="79">
        <f t="shared" si="119"/>
        <v>20400</v>
      </c>
      <c r="L1503" s="121"/>
    </row>
    <row r="1504" spans="2:12" x14ac:dyDescent="0.35">
      <c r="B1504" s="111">
        <f t="shared" si="116"/>
        <v>1494</v>
      </c>
      <c r="C1504" s="80" t="s">
        <v>353</v>
      </c>
      <c r="D1504" s="77" t="s">
        <v>27</v>
      </c>
      <c r="E1504" s="78">
        <f>E1503*1.1*2</f>
        <v>7.48</v>
      </c>
      <c r="F1504" s="65">
        <v>800</v>
      </c>
      <c r="G1504" s="65"/>
      <c r="H1504" s="65">
        <f t="shared" si="120"/>
        <v>800</v>
      </c>
      <c r="I1504" s="79">
        <f t="shared" si="117"/>
        <v>5984</v>
      </c>
      <c r="J1504" s="79">
        <f t="shared" si="118"/>
        <v>0</v>
      </c>
      <c r="K1504" s="79">
        <f t="shared" si="119"/>
        <v>5984</v>
      </c>
      <c r="L1504" s="121"/>
    </row>
    <row r="1505" spans="2:12" ht="33" x14ac:dyDescent="0.35">
      <c r="B1505" s="111">
        <f t="shared" si="116"/>
        <v>1495</v>
      </c>
      <c r="C1505" s="64" t="s">
        <v>355</v>
      </c>
      <c r="D1505" s="81" t="s">
        <v>26</v>
      </c>
      <c r="E1505" s="78">
        <v>2.36</v>
      </c>
      <c r="F1505" s="65"/>
      <c r="G1505" s="65">
        <v>439</v>
      </c>
      <c r="H1505" s="65">
        <f t="shared" si="120"/>
        <v>439</v>
      </c>
      <c r="I1505" s="79">
        <f t="shared" si="117"/>
        <v>0</v>
      </c>
      <c r="J1505" s="79">
        <f t="shared" si="118"/>
        <v>1036.04</v>
      </c>
      <c r="K1505" s="79">
        <f t="shared" si="119"/>
        <v>1036.04</v>
      </c>
      <c r="L1505" s="121"/>
    </row>
    <row r="1506" spans="2:12" ht="26.4" customHeight="1" x14ac:dyDescent="0.35">
      <c r="B1506" s="111">
        <f t="shared" si="116"/>
        <v>1496</v>
      </c>
      <c r="C1506" s="98" t="s">
        <v>106</v>
      </c>
      <c r="D1506" s="103" t="s">
        <v>32</v>
      </c>
      <c r="E1506" s="100">
        <v>1</v>
      </c>
      <c r="F1506" s="101"/>
      <c r="G1506" s="106"/>
      <c r="H1506" s="101">
        <f t="shared" si="120"/>
        <v>0</v>
      </c>
      <c r="I1506" s="101">
        <f t="shared" si="117"/>
        <v>0</v>
      </c>
      <c r="J1506" s="101">
        <f t="shared" si="118"/>
        <v>0</v>
      </c>
      <c r="K1506" s="101">
        <f t="shared" si="119"/>
        <v>0</v>
      </c>
      <c r="L1506" s="121"/>
    </row>
    <row r="1507" spans="2:12" ht="31" x14ac:dyDescent="0.35">
      <c r="B1507" s="111">
        <f t="shared" si="116"/>
        <v>1497</v>
      </c>
      <c r="C1507" s="64" t="s">
        <v>348</v>
      </c>
      <c r="D1507" s="81" t="s">
        <v>26</v>
      </c>
      <c r="E1507" s="78">
        <f>14.3*0.97</f>
        <v>13.871</v>
      </c>
      <c r="F1507" s="65"/>
      <c r="G1507" s="65">
        <v>300</v>
      </c>
      <c r="H1507" s="65">
        <f t="shared" si="120"/>
        <v>300</v>
      </c>
      <c r="I1507" s="79">
        <f t="shared" si="117"/>
        <v>0</v>
      </c>
      <c r="J1507" s="79">
        <f t="shared" si="118"/>
        <v>4161.3</v>
      </c>
      <c r="K1507" s="79">
        <f t="shared" si="119"/>
        <v>4161.3</v>
      </c>
      <c r="L1507" s="121"/>
    </row>
    <row r="1508" spans="2:12" x14ac:dyDescent="0.35">
      <c r="B1508" s="111">
        <f t="shared" si="116"/>
        <v>1498</v>
      </c>
      <c r="C1508" s="64" t="s">
        <v>19</v>
      </c>
      <c r="D1508" s="81" t="s">
        <v>26</v>
      </c>
      <c r="E1508" s="78">
        <f>E1507/9</f>
        <v>1.5412222222222223</v>
      </c>
      <c r="F1508" s="65"/>
      <c r="G1508" s="65">
        <v>1500</v>
      </c>
      <c r="H1508" s="65">
        <f t="shared" si="120"/>
        <v>1500</v>
      </c>
      <c r="I1508" s="79">
        <f t="shared" si="117"/>
        <v>0</v>
      </c>
      <c r="J1508" s="79">
        <f t="shared" si="118"/>
        <v>2311.83</v>
      </c>
      <c r="K1508" s="79">
        <f t="shared" si="119"/>
        <v>2311.83</v>
      </c>
      <c r="L1508" s="121"/>
    </row>
    <row r="1509" spans="2:12" x14ac:dyDescent="0.35">
      <c r="B1509" s="111">
        <f t="shared" si="116"/>
        <v>1499</v>
      </c>
      <c r="C1509" s="64" t="s">
        <v>67</v>
      </c>
      <c r="D1509" s="81" t="s">
        <v>25</v>
      </c>
      <c r="E1509" s="78">
        <f>(3.14*2.2^2)/4</f>
        <v>3.7994000000000008</v>
      </c>
      <c r="F1509" s="65"/>
      <c r="G1509" s="123"/>
      <c r="H1509" s="65">
        <f t="shared" si="120"/>
        <v>0</v>
      </c>
      <c r="I1509" s="79">
        <f t="shared" si="117"/>
        <v>0</v>
      </c>
      <c r="J1509" s="79">
        <f t="shared" si="118"/>
        <v>0</v>
      </c>
      <c r="K1509" s="79">
        <f t="shared" si="119"/>
        <v>0</v>
      </c>
      <c r="L1509" s="121"/>
    </row>
    <row r="1510" spans="2:12" x14ac:dyDescent="0.35">
      <c r="B1510" s="111">
        <f t="shared" si="116"/>
        <v>1500</v>
      </c>
      <c r="C1510" s="64" t="s">
        <v>68</v>
      </c>
      <c r="D1510" s="81" t="s">
        <v>26</v>
      </c>
      <c r="E1510" s="78">
        <f>(3.14*2.2^2)/4*0.1</f>
        <v>0.37994000000000011</v>
      </c>
      <c r="F1510" s="65"/>
      <c r="G1510" s="65">
        <v>5860</v>
      </c>
      <c r="H1510" s="65">
        <f t="shared" si="120"/>
        <v>5860</v>
      </c>
      <c r="I1510" s="79">
        <f t="shared" si="117"/>
        <v>0</v>
      </c>
      <c r="J1510" s="79">
        <f t="shared" si="118"/>
        <v>2226.4499999999998</v>
      </c>
      <c r="K1510" s="79">
        <f t="shared" si="119"/>
        <v>2226.4499999999998</v>
      </c>
      <c r="L1510" s="121"/>
    </row>
    <row r="1511" spans="2:12" x14ac:dyDescent="0.35">
      <c r="B1511" s="111">
        <f t="shared" si="116"/>
        <v>1501</v>
      </c>
      <c r="C1511" s="80" t="s">
        <v>159</v>
      </c>
      <c r="D1511" s="81" t="s">
        <v>26</v>
      </c>
      <c r="E1511" s="78">
        <f>E1510*1.02</f>
        <v>0.38753880000000013</v>
      </c>
      <c r="F1511" s="65">
        <v>6700</v>
      </c>
      <c r="G1511" s="123"/>
      <c r="H1511" s="65">
        <f t="shared" si="120"/>
        <v>6700</v>
      </c>
      <c r="I1511" s="79">
        <f t="shared" si="117"/>
        <v>2596.5100000000002</v>
      </c>
      <c r="J1511" s="79">
        <f t="shared" si="118"/>
        <v>0</v>
      </c>
      <c r="K1511" s="79">
        <f t="shared" si="119"/>
        <v>2596.5100000000002</v>
      </c>
      <c r="L1511" s="121"/>
    </row>
    <row r="1512" spans="2:12" x14ac:dyDescent="0.35">
      <c r="B1512" s="111">
        <f t="shared" si="116"/>
        <v>1502</v>
      </c>
      <c r="C1512" s="64" t="s">
        <v>151</v>
      </c>
      <c r="D1512" s="81" t="s">
        <v>25</v>
      </c>
      <c r="E1512" s="78">
        <f>(3.14*2^2)/4</f>
        <v>3.14</v>
      </c>
      <c r="F1512" s="65">
        <v>68.5</v>
      </c>
      <c r="G1512" s="65">
        <v>150</v>
      </c>
      <c r="H1512" s="65">
        <f t="shared" si="120"/>
        <v>218.5</v>
      </c>
      <c r="I1512" s="79">
        <f t="shared" si="117"/>
        <v>215.09</v>
      </c>
      <c r="J1512" s="79">
        <f t="shared" si="118"/>
        <v>471</v>
      </c>
      <c r="K1512" s="79">
        <f t="shared" si="119"/>
        <v>686.09</v>
      </c>
      <c r="L1512" s="121"/>
    </row>
    <row r="1513" spans="2:12" ht="31" x14ac:dyDescent="0.35">
      <c r="B1513" s="111">
        <f t="shared" si="116"/>
        <v>1503</v>
      </c>
      <c r="C1513" s="64" t="s">
        <v>152</v>
      </c>
      <c r="D1513" s="81" t="s">
        <v>25</v>
      </c>
      <c r="E1513" s="78">
        <f>E1512</f>
        <v>3.14</v>
      </c>
      <c r="F1513" s="65">
        <v>927</v>
      </c>
      <c r="G1513" s="65">
        <v>400</v>
      </c>
      <c r="H1513" s="65">
        <f t="shared" si="120"/>
        <v>1327</v>
      </c>
      <c r="I1513" s="79">
        <f t="shared" si="117"/>
        <v>2910.78</v>
      </c>
      <c r="J1513" s="79">
        <f t="shared" si="118"/>
        <v>1256</v>
      </c>
      <c r="K1513" s="79">
        <f t="shared" si="119"/>
        <v>4166.7800000000007</v>
      </c>
      <c r="L1513" s="121"/>
    </row>
    <row r="1514" spans="2:12" ht="31" x14ac:dyDescent="0.35">
      <c r="B1514" s="111">
        <f t="shared" si="116"/>
        <v>1504</v>
      </c>
      <c r="C1514" s="64" t="s">
        <v>107</v>
      </c>
      <c r="D1514" s="81" t="s">
        <v>32</v>
      </c>
      <c r="E1514" s="78">
        <v>1</v>
      </c>
      <c r="F1514" s="65"/>
      <c r="G1514" s="65">
        <v>5662</v>
      </c>
      <c r="H1514" s="65">
        <f t="shared" si="120"/>
        <v>5662</v>
      </c>
      <c r="I1514" s="79">
        <f t="shared" si="117"/>
        <v>0</v>
      </c>
      <c r="J1514" s="79">
        <f t="shared" si="118"/>
        <v>5662</v>
      </c>
      <c r="K1514" s="79">
        <f t="shared" si="119"/>
        <v>5662</v>
      </c>
      <c r="L1514" s="121"/>
    </row>
    <row r="1515" spans="2:12" x14ac:dyDescent="0.35">
      <c r="B1515" s="111">
        <f t="shared" si="116"/>
        <v>1505</v>
      </c>
      <c r="C1515" s="82" t="s">
        <v>108</v>
      </c>
      <c r="D1515" s="81" t="s">
        <v>32</v>
      </c>
      <c r="E1515" s="78">
        <v>1</v>
      </c>
      <c r="F1515" s="65">
        <f>6000*1.2</f>
        <v>7200</v>
      </c>
      <c r="G1515" s="123"/>
      <c r="H1515" s="65">
        <f t="shared" si="120"/>
        <v>7200</v>
      </c>
      <c r="I1515" s="79">
        <f t="shared" si="117"/>
        <v>7200</v>
      </c>
      <c r="J1515" s="79">
        <f t="shared" si="118"/>
        <v>0</v>
      </c>
      <c r="K1515" s="79">
        <f t="shared" si="119"/>
        <v>7200</v>
      </c>
      <c r="L1515" s="121"/>
    </row>
    <row r="1516" spans="2:12" x14ac:dyDescent="0.35">
      <c r="B1516" s="111">
        <f t="shared" si="116"/>
        <v>1506</v>
      </c>
      <c r="C1516" s="82" t="s">
        <v>101</v>
      </c>
      <c r="D1516" s="81" t="s">
        <v>26</v>
      </c>
      <c r="E1516" s="78">
        <f>((3.14*2^2)/4*0.02)*1.02</f>
        <v>6.4056000000000016E-2</v>
      </c>
      <c r="F1516" s="65">
        <v>7300</v>
      </c>
      <c r="G1516" s="123"/>
      <c r="H1516" s="65">
        <f t="shared" si="120"/>
        <v>7300</v>
      </c>
      <c r="I1516" s="79">
        <f t="shared" si="117"/>
        <v>467.61</v>
      </c>
      <c r="J1516" s="79">
        <f t="shared" si="118"/>
        <v>0</v>
      </c>
      <c r="K1516" s="79">
        <f t="shared" si="119"/>
        <v>467.61</v>
      </c>
      <c r="L1516" s="121"/>
    </row>
    <row r="1517" spans="2:12" ht="31" x14ac:dyDescent="0.35">
      <c r="B1517" s="111">
        <f t="shared" si="116"/>
        <v>1507</v>
      </c>
      <c r="C1517" s="64" t="s">
        <v>179</v>
      </c>
      <c r="D1517" s="81" t="s">
        <v>26</v>
      </c>
      <c r="E1517" s="78">
        <v>1.2</v>
      </c>
      <c r="F1517" s="65"/>
      <c r="G1517" s="65">
        <v>5860</v>
      </c>
      <c r="H1517" s="65">
        <f t="shared" si="120"/>
        <v>5860</v>
      </c>
      <c r="I1517" s="79">
        <f t="shared" si="117"/>
        <v>0</v>
      </c>
      <c r="J1517" s="79">
        <f t="shared" si="118"/>
        <v>7032</v>
      </c>
      <c r="K1517" s="79">
        <f t="shared" si="119"/>
        <v>7032</v>
      </c>
      <c r="L1517" s="121"/>
    </row>
    <row r="1518" spans="2:12" x14ac:dyDescent="0.35">
      <c r="B1518" s="111">
        <f t="shared" si="116"/>
        <v>1508</v>
      </c>
      <c r="C1518" s="82" t="s">
        <v>75</v>
      </c>
      <c r="D1518" s="81" t="s">
        <v>26</v>
      </c>
      <c r="E1518" s="78">
        <f>E1517*1.02</f>
        <v>1.224</v>
      </c>
      <c r="F1518" s="65">
        <v>7100</v>
      </c>
      <c r="G1518" s="123"/>
      <c r="H1518" s="65">
        <f t="shared" si="120"/>
        <v>7100</v>
      </c>
      <c r="I1518" s="79">
        <f t="shared" si="117"/>
        <v>8690.4</v>
      </c>
      <c r="J1518" s="79">
        <f t="shared" si="118"/>
        <v>0</v>
      </c>
      <c r="K1518" s="79">
        <f t="shared" si="119"/>
        <v>8690.4</v>
      </c>
      <c r="L1518" s="121"/>
    </row>
    <row r="1519" spans="2:12" ht="31" x14ac:dyDescent="0.35">
      <c r="B1519" s="111">
        <f t="shared" si="116"/>
        <v>1509</v>
      </c>
      <c r="C1519" s="64" t="s">
        <v>78</v>
      </c>
      <c r="D1519" s="81" t="s">
        <v>32</v>
      </c>
      <c r="E1519" s="78">
        <v>7</v>
      </c>
      <c r="F1519" s="65"/>
      <c r="G1519" s="65">
        <v>5662</v>
      </c>
      <c r="H1519" s="65">
        <f t="shared" si="120"/>
        <v>5662</v>
      </c>
      <c r="I1519" s="79">
        <f t="shared" si="117"/>
        <v>0</v>
      </c>
      <c r="J1519" s="79">
        <f t="shared" si="118"/>
        <v>39634</v>
      </c>
      <c r="K1519" s="79">
        <f t="shared" si="119"/>
        <v>39634</v>
      </c>
      <c r="L1519" s="121"/>
    </row>
    <row r="1520" spans="2:12" x14ac:dyDescent="0.35">
      <c r="B1520" s="111">
        <f t="shared" si="116"/>
        <v>1510</v>
      </c>
      <c r="C1520" s="82" t="s">
        <v>109</v>
      </c>
      <c r="D1520" s="81" t="s">
        <v>32</v>
      </c>
      <c r="E1520" s="78">
        <v>1</v>
      </c>
      <c r="F1520" s="65">
        <f>6000*1.2</f>
        <v>7200</v>
      </c>
      <c r="G1520" s="123"/>
      <c r="H1520" s="65">
        <f t="shared" si="120"/>
        <v>7200</v>
      </c>
      <c r="I1520" s="79">
        <f t="shared" si="117"/>
        <v>7200</v>
      </c>
      <c r="J1520" s="79">
        <f t="shared" si="118"/>
        <v>0</v>
      </c>
      <c r="K1520" s="79">
        <f t="shared" si="119"/>
        <v>7200</v>
      </c>
      <c r="L1520" s="121"/>
    </row>
    <row r="1521" spans="2:12" x14ac:dyDescent="0.35">
      <c r="B1521" s="111">
        <f t="shared" si="116"/>
        <v>1511</v>
      </c>
      <c r="C1521" s="82" t="s">
        <v>110</v>
      </c>
      <c r="D1521" s="81" t="s">
        <v>32</v>
      </c>
      <c r="E1521" s="78">
        <v>1</v>
      </c>
      <c r="F1521" s="65">
        <f>4500*1.2</f>
        <v>5400</v>
      </c>
      <c r="G1521" s="123"/>
      <c r="H1521" s="65">
        <f t="shared" si="120"/>
        <v>5400</v>
      </c>
      <c r="I1521" s="79">
        <f t="shared" si="117"/>
        <v>5400</v>
      </c>
      <c r="J1521" s="79">
        <f t="shared" si="118"/>
        <v>0</v>
      </c>
      <c r="K1521" s="79">
        <f t="shared" si="119"/>
        <v>5400</v>
      </c>
      <c r="L1521" s="121"/>
    </row>
    <row r="1522" spans="2:12" ht="31" x14ac:dyDescent="0.35">
      <c r="B1522" s="111">
        <f t="shared" si="116"/>
        <v>1512</v>
      </c>
      <c r="C1522" s="64" t="s">
        <v>85</v>
      </c>
      <c r="D1522" s="81" t="s">
        <v>32</v>
      </c>
      <c r="E1522" s="78">
        <v>1</v>
      </c>
      <c r="F1522" s="65"/>
      <c r="G1522" s="65">
        <v>2500</v>
      </c>
      <c r="H1522" s="65">
        <f t="shared" si="120"/>
        <v>2500</v>
      </c>
      <c r="I1522" s="79">
        <f t="shared" si="117"/>
        <v>0</v>
      </c>
      <c r="J1522" s="79">
        <f t="shared" si="118"/>
        <v>2500</v>
      </c>
      <c r="K1522" s="79">
        <f t="shared" si="119"/>
        <v>2500</v>
      </c>
      <c r="L1522" s="121"/>
    </row>
    <row r="1523" spans="2:12" x14ac:dyDescent="0.35">
      <c r="B1523" s="111">
        <f t="shared" si="116"/>
        <v>1513</v>
      </c>
      <c r="C1523" s="82" t="s">
        <v>111</v>
      </c>
      <c r="D1523" s="81" t="s">
        <v>32</v>
      </c>
      <c r="E1523" s="78">
        <v>1</v>
      </c>
      <c r="F1523" s="65">
        <f>6000*1.2</f>
        <v>7200</v>
      </c>
      <c r="G1523" s="123"/>
      <c r="H1523" s="65">
        <f t="shared" si="120"/>
        <v>7200</v>
      </c>
      <c r="I1523" s="79">
        <f t="shared" si="117"/>
        <v>7200</v>
      </c>
      <c r="J1523" s="79">
        <f t="shared" si="118"/>
        <v>0</v>
      </c>
      <c r="K1523" s="79">
        <f t="shared" si="119"/>
        <v>7200</v>
      </c>
      <c r="L1523" s="121"/>
    </row>
    <row r="1524" spans="2:12" ht="31" x14ac:dyDescent="0.35">
      <c r="B1524" s="111">
        <f t="shared" si="116"/>
        <v>1514</v>
      </c>
      <c r="C1524" s="64" t="s">
        <v>316</v>
      </c>
      <c r="D1524" s="81" t="s">
        <v>32</v>
      </c>
      <c r="E1524" s="78">
        <v>1</v>
      </c>
      <c r="F1524" s="65"/>
      <c r="G1524" s="65"/>
      <c r="H1524" s="65">
        <f t="shared" si="120"/>
        <v>0</v>
      </c>
      <c r="I1524" s="79">
        <f t="shared" si="117"/>
        <v>0</v>
      </c>
      <c r="J1524" s="79">
        <f t="shared" si="118"/>
        <v>0</v>
      </c>
      <c r="K1524" s="79">
        <f t="shared" si="119"/>
        <v>0</v>
      </c>
      <c r="L1524" s="121"/>
    </row>
    <row r="1525" spans="2:12" x14ac:dyDescent="0.35">
      <c r="B1525" s="111">
        <f t="shared" si="116"/>
        <v>1515</v>
      </c>
      <c r="C1525" s="88" t="s">
        <v>84</v>
      </c>
      <c r="D1525" s="81" t="s">
        <v>32</v>
      </c>
      <c r="E1525" s="78">
        <v>1</v>
      </c>
      <c r="F1525" s="65">
        <v>1300</v>
      </c>
      <c r="G1525" s="65">
        <v>990</v>
      </c>
      <c r="H1525" s="65">
        <f t="shared" si="120"/>
        <v>2290</v>
      </c>
      <c r="I1525" s="79">
        <f t="shared" si="117"/>
        <v>1300</v>
      </c>
      <c r="J1525" s="79">
        <f t="shared" si="118"/>
        <v>990</v>
      </c>
      <c r="K1525" s="79">
        <f t="shared" si="119"/>
        <v>2290</v>
      </c>
      <c r="L1525" s="121"/>
    </row>
    <row r="1526" spans="2:12" ht="31" x14ac:dyDescent="0.35">
      <c r="B1526" s="111">
        <f t="shared" si="116"/>
        <v>1516</v>
      </c>
      <c r="C1526" s="64" t="s">
        <v>187</v>
      </c>
      <c r="D1526" s="81" t="s">
        <v>32</v>
      </c>
      <c r="E1526" s="78">
        <v>1</v>
      </c>
      <c r="F1526" s="65"/>
      <c r="G1526" s="65">
        <v>5662</v>
      </c>
      <c r="H1526" s="65">
        <f t="shared" si="120"/>
        <v>5662</v>
      </c>
      <c r="I1526" s="79">
        <f t="shared" si="117"/>
        <v>0</v>
      </c>
      <c r="J1526" s="79">
        <f t="shared" si="118"/>
        <v>5662</v>
      </c>
      <c r="K1526" s="79">
        <f t="shared" si="119"/>
        <v>5662</v>
      </c>
      <c r="L1526" s="121"/>
    </row>
    <row r="1527" spans="2:12" x14ac:dyDescent="0.35">
      <c r="B1527" s="111">
        <f t="shared" si="116"/>
        <v>1517</v>
      </c>
      <c r="C1527" s="64" t="s">
        <v>141</v>
      </c>
      <c r="D1527" s="81" t="s">
        <v>32</v>
      </c>
      <c r="E1527" s="78">
        <v>1</v>
      </c>
      <c r="F1527" s="65">
        <v>32500</v>
      </c>
      <c r="G1527" s="123"/>
      <c r="H1527" s="65">
        <f t="shared" si="120"/>
        <v>32500</v>
      </c>
      <c r="I1527" s="79">
        <f t="shared" si="117"/>
        <v>32500</v>
      </c>
      <c r="J1527" s="79">
        <f t="shared" si="118"/>
        <v>0</v>
      </c>
      <c r="K1527" s="79">
        <f t="shared" si="119"/>
        <v>32500</v>
      </c>
      <c r="L1527" s="121"/>
    </row>
    <row r="1528" spans="2:12" ht="31" x14ac:dyDescent="0.35">
      <c r="B1528" s="111">
        <f t="shared" si="116"/>
        <v>1518</v>
      </c>
      <c r="C1528" s="64" t="s">
        <v>156</v>
      </c>
      <c r="D1528" s="81" t="s">
        <v>25</v>
      </c>
      <c r="E1528" s="78">
        <f>(3.14*1.68)*2.33+2.9</f>
        <v>15.191216000000001</v>
      </c>
      <c r="F1528" s="65">
        <v>68.5</v>
      </c>
      <c r="G1528" s="65">
        <v>150</v>
      </c>
      <c r="H1528" s="65">
        <f t="shared" si="120"/>
        <v>218.5</v>
      </c>
      <c r="I1528" s="79">
        <f t="shared" si="117"/>
        <v>1040.5999999999999</v>
      </c>
      <c r="J1528" s="79">
        <f t="shared" si="118"/>
        <v>2278.6799999999998</v>
      </c>
      <c r="K1528" s="79">
        <f t="shared" si="119"/>
        <v>3319.2799999999997</v>
      </c>
      <c r="L1528" s="121"/>
    </row>
    <row r="1529" spans="2:12" ht="46.5" x14ac:dyDescent="0.35">
      <c r="B1529" s="111">
        <f t="shared" si="116"/>
        <v>1519</v>
      </c>
      <c r="C1529" s="64" t="s">
        <v>157</v>
      </c>
      <c r="D1529" s="81" t="s">
        <v>25</v>
      </c>
      <c r="E1529" s="78">
        <f>E1528</f>
        <v>15.191216000000001</v>
      </c>
      <c r="F1529" s="65">
        <v>927</v>
      </c>
      <c r="G1529" s="65">
        <v>400</v>
      </c>
      <c r="H1529" s="65">
        <f t="shared" si="120"/>
        <v>1327</v>
      </c>
      <c r="I1529" s="79">
        <f t="shared" si="117"/>
        <v>14082.26</v>
      </c>
      <c r="J1529" s="79">
        <f t="shared" si="118"/>
        <v>6076.49</v>
      </c>
      <c r="K1529" s="79">
        <f t="shared" si="119"/>
        <v>20158.75</v>
      </c>
      <c r="L1529" s="121"/>
    </row>
    <row r="1530" spans="2:12" x14ac:dyDescent="0.35">
      <c r="B1530" s="111">
        <f t="shared" si="116"/>
        <v>1520</v>
      </c>
      <c r="C1530" s="64" t="s">
        <v>314</v>
      </c>
      <c r="D1530" s="81" t="s">
        <v>32</v>
      </c>
      <c r="E1530" s="78">
        <v>1</v>
      </c>
      <c r="F1530" s="68"/>
      <c r="G1530" s="123"/>
      <c r="H1530" s="65">
        <f t="shared" si="120"/>
        <v>0</v>
      </c>
      <c r="I1530" s="79">
        <f t="shared" si="117"/>
        <v>0</v>
      </c>
      <c r="J1530" s="79">
        <f t="shared" si="118"/>
        <v>0</v>
      </c>
      <c r="K1530" s="79">
        <f t="shared" si="119"/>
        <v>0</v>
      </c>
      <c r="L1530" s="121"/>
    </row>
    <row r="1531" spans="2:12" x14ac:dyDescent="0.35">
      <c r="B1531" s="111">
        <f t="shared" si="116"/>
        <v>1521</v>
      </c>
      <c r="C1531" s="82" t="s">
        <v>315</v>
      </c>
      <c r="D1531" s="81" t="s">
        <v>31</v>
      </c>
      <c r="E1531" s="78">
        <v>17.079999999999998</v>
      </c>
      <c r="F1531" s="68">
        <v>71</v>
      </c>
      <c r="G1531" s="65">
        <v>97.61</v>
      </c>
      <c r="H1531" s="65">
        <f t="shared" si="120"/>
        <v>168.61</v>
      </c>
      <c r="I1531" s="79">
        <f t="shared" si="117"/>
        <v>1212.68</v>
      </c>
      <c r="J1531" s="79">
        <f t="shared" si="118"/>
        <v>1667.18</v>
      </c>
      <c r="K1531" s="79">
        <f t="shared" si="119"/>
        <v>2879.86</v>
      </c>
      <c r="L1531" s="121"/>
    </row>
    <row r="1532" spans="2:12" x14ac:dyDescent="0.35">
      <c r="B1532" s="111">
        <f t="shared" si="116"/>
        <v>1522</v>
      </c>
      <c r="C1532" s="64" t="s">
        <v>93</v>
      </c>
      <c r="D1532" s="81" t="s">
        <v>32</v>
      </c>
      <c r="E1532" s="78">
        <v>2</v>
      </c>
      <c r="F1532" s="68"/>
      <c r="G1532" s="123"/>
      <c r="H1532" s="65">
        <f t="shared" si="120"/>
        <v>0</v>
      </c>
      <c r="I1532" s="79">
        <f t="shared" si="117"/>
        <v>0</v>
      </c>
      <c r="J1532" s="79">
        <f t="shared" si="118"/>
        <v>0</v>
      </c>
      <c r="K1532" s="79">
        <f t="shared" si="119"/>
        <v>0</v>
      </c>
      <c r="L1532" s="121"/>
    </row>
    <row r="1533" spans="2:12" x14ac:dyDescent="0.35">
      <c r="B1533" s="111">
        <f t="shared" si="116"/>
        <v>1523</v>
      </c>
      <c r="C1533" s="82" t="s">
        <v>94</v>
      </c>
      <c r="D1533" s="81" t="s">
        <v>31</v>
      </c>
      <c r="E1533" s="78">
        <f>0.82*E1532</f>
        <v>1.64</v>
      </c>
      <c r="F1533" s="68">
        <v>71</v>
      </c>
      <c r="G1533" s="65">
        <v>97.61</v>
      </c>
      <c r="H1533" s="65">
        <f t="shared" si="120"/>
        <v>168.61</v>
      </c>
      <c r="I1533" s="79">
        <f t="shared" si="117"/>
        <v>116.44</v>
      </c>
      <c r="J1533" s="79">
        <f t="shared" si="118"/>
        <v>160.08000000000001</v>
      </c>
      <c r="K1533" s="79">
        <f t="shared" si="119"/>
        <v>276.52</v>
      </c>
      <c r="L1533" s="121"/>
    </row>
    <row r="1534" spans="2:12" ht="31" x14ac:dyDescent="0.35">
      <c r="B1534" s="111">
        <f t="shared" si="116"/>
        <v>1524</v>
      </c>
      <c r="C1534" s="64" t="s">
        <v>304</v>
      </c>
      <c r="D1534" s="81" t="s">
        <v>32</v>
      </c>
      <c r="E1534" s="78">
        <v>3</v>
      </c>
      <c r="F1534" s="68"/>
      <c r="G1534" s="65">
        <v>1464</v>
      </c>
      <c r="H1534" s="65">
        <f t="shared" si="120"/>
        <v>1464</v>
      </c>
      <c r="I1534" s="79">
        <f t="shared" si="117"/>
        <v>0</v>
      </c>
      <c r="J1534" s="79">
        <f t="shared" si="118"/>
        <v>4392</v>
      </c>
      <c r="K1534" s="79">
        <f t="shared" si="119"/>
        <v>4392</v>
      </c>
      <c r="L1534" s="121"/>
    </row>
    <row r="1535" spans="2:12" x14ac:dyDescent="0.35">
      <c r="B1535" s="111">
        <f t="shared" si="116"/>
        <v>1525</v>
      </c>
      <c r="C1535" s="64" t="s">
        <v>339</v>
      </c>
      <c r="D1535" s="81"/>
      <c r="E1535" s="78"/>
      <c r="F1535" s="65"/>
      <c r="G1535" s="123"/>
      <c r="H1535" s="65">
        <f t="shared" si="120"/>
        <v>0</v>
      </c>
      <c r="I1535" s="79">
        <f t="shared" si="117"/>
        <v>0</v>
      </c>
      <c r="J1535" s="79">
        <f t="shared" si="118"/>
        <v>0</v>
      </c>
      <c r="K1535" s="79">
        <f t="shared" si="119"/>
        <v>0</v>
      </c>
      <c r="L1535" s="121">
        <v>1</v>
      </c>
    </row>
    <row r="1536" spans="2:12" ht="31" x14ac:dyDescent="0.35">
      <c r="B1536" s="111">
        <f t="shared" si="116"/>
        <v>1526</v>
      </c>
      <c r="C1536" s="80" t="s">
        <v>309</v>
      </c>
      <c r="D1536" s="81" t="s">
        <v>32</v>
      </c>
      <c r="E1536" s="78">
        <v>1</v>
      </c>
      <c r="F1536" s="65">
        <v>2263</v>
      </c>
      <c r="G1536" s="65">
        <v>1700</v>
      </c>
      <c r="H1536" s="65">
        <f t="shared" si="120"/>
        <v>3963</v>
      </c>
      <c r="I1536" s="79">
        <f t="shared" si="117"/>
        <v>2263</v>
      </c>
      <c r="J1536" s="79">
        <f t="shared" si="118"/>
        <v>1700</v>
      </c>
      <c r="K1536" s="79">
        <f t="shared" si="119"/>
        <v>3963</v>
      </c>
      <c r="L1536" s="121"/>
    </row>
    <row r="1537" spans="2:12" ht="31" x14ac:dyDescent="0.35">
      <c r="B1537" s="111">
        <f t="shared" si="116"/>
        <v>1527</v>
      </c>
      <c r="C1537" s="80" t="s">
        <v>310</v>
      </c>
      <c r="D1537" s="81" t="s">
        <v>32</v>
      </c>
      <c r="E1537" s="78">
        <v>1</v>
      </c>
      <c r="F1537" s="65">
        <v>1303</v>
      </c>
      <c r="G1537" s="65">
        <v>1700</v>
      </c>
      <c r="H1537" s="65">
        <f t="shared" si="120"/>
        <v>3003</v>
      </c>
      <c r="I1537" s="79">
        <f t="shared" si="117"/>
        <v>1303</v>
      </c>
      <c r="J1537" s="79">
        <f t="shared" si="118"/>
        <v>1700</v>
      </c>
      <c r="K1537" s="79">
        <f t="shared" si="119"/>
        <v>3003</v>
      </c>
      <c r="L1537" s="121"/>
    </row>
    <row r="1538" spans="2:12" ht="31" x14ac:dyDescent="0.35">
      <c r="B1538" s="111">
        <f t="shared" si="116"/>
        <v>1528</v>
      </c>
      <c r="C1538" s="80" t="s">
        <v>63</v>
      </c>
      <c r="D1538" s="81" t="s">
        <v>27</v>
      </c>
      <c r="E1538" s="78">
        <f>1.38*1.1</f>
        <v>1.518</v>
      </c>
      <c r="F1538" s="65">
        <v>855</v>
      </c>
      <c r="G1538" s="65">
        <v>1700</v>
      </c>
      <c r="H1538" s="65">
        <f t="shared" si="120"/>
        <v>2555</v>
      </c>
      <c r="I1538" s="79">
        <f t="shared" si="117"/>
        <v>1297.8900000000001</v>
      </c>
      <c r="J1538" s="79">
        <f t="shared" si="118"/>
        <v>2580.6</v>
      </c>
      <c r="K1538" s="79">
        <f t="shared" si="119"/>
        <v>3878.49</v>
      </c>
      <c r="L1538" s="121"/>
    </row>
    <row r="1539" spans="2:12" ht="33" x14ac:dyDescent="0.35">
      <c r="B1539" s="111">
        <f t="shared" si="116"/>
        <v>1529</v>
      </c>
      <c r="C1539" s="64" t="s">
        <v>362</v>
      </c>
      <c r="D1539" s="81" t="s">
        <v>26</v>
      </c>
      <c r="E1539" s="78">
        <f>16.44-5.16</f>
        <v>11.280000000000001</v>
      </c>
      <c r="F1539" s="68"/>
      <c r="G1539" s="65">
        <v>439</v>
      </c>
      <c r="H1539" s="65">
        <f t="shared" si="120"/>
        <v>439</v>
      </c>
      <c r="I1539" s="79">
        <f t="shared" si="117"/>
        <v>0</v>
      </c>
      <c r="J1539" s="79">
        <f t="shared" si="118"/>
        <v>4951.92</v>
      </c>
      <c r="K1539" s="79">
        <f t="shared" si="119"/>
        <v>4951.92</v>
      </c>
      <c r="L1539" s="121"/>
    </row>
    <row r="1540" spans="2:12" ht="30" x14ac:dyDescent="0.35">
      <c r="B1540" s="111">
        <f t="shared" si="116"/>
        <v>1530</v>
      </c>
      <c r="C1540" s="98" t="s">
        <v>265</v>
      </c>
      <c r="D1540" s="99" t="s">
        <v>27</v>
      </c>
      <c r="E1540" s="100">
        <v>9.5</v>
      </c>
      <c r="F1540" s="101"/>
      <c r="G1540" s="106"/>
      <c r="H1540" s="101">
        <f t="shared" si="120"/>
        <v>0</v>
      </c>
      <c r="I1540" s="101">
        <f t="shared" si="117"/>
        <v>0</v>
      </c>
      <c r="J1540" s="101">
        <f t="shared" si="118"/>
        <v>0</v>
      </c>
      <c r="K1540" s="101">
        <f t="shared" si="119"/>
        <v>0</v>
      </c>
      <c r="L1540" s="121"/>
    </row>
    <row r="1541" spans="2:12" ht="31" x14ac:dyDescent="0.35">
      <c r="B1541" s="111">
        <f t="shared" si="116"/>
        <v>1531</v>
      </c>
      <c r="C1541" s="64" t="s">
        <v>348</v>
      </c>
      <c r="D1541" s="77" t="s">
        <v>26</v>
      </c>
      <c r="E1541" s="78">
        <f>0.97*27.87</f>
        <v>27.033899999999999</v>
      </c>
      <c r="F1541" s="65"/>
      <c r="G1541" s="65">
        <v>300</v>
      </c>
      <c r="H1541" s="65">
        <f t="shared" si="120"/>
        <v>300</v>
      </c>
      <c r="I1541" s="79">
        <f t="shared" si="117"/>
        <v>0</v>
      </c>
      <c r="J1541" s="79">
        <f t="shared" si="118"/>
        <v>8110.17</v>
      </c>
      <c r="K1541" s="79">
        <f t="shared" si="119"/>
        <v>8110.17</v>
      </c>
      <c r="L1541" s="121"/>
    </row>
    <row r="1542" spans="2:12" x14ac:dyDescent="0.35">
      <c r="B1542" s="111">
        <f t="shared" si="116"/>
        <v>1532</v>
      </c>
      <c r="C1542" s="64" t="s">
        <v>19</v>
      </c>
      <c r="D1542" s="77" t="s">
        <v>26</v>
      </c>
      <c r="E1542" s="78">
        <f>E1541/97*3</f>
        <v>0.83610000000000007</v>
      </c>
      <c r="F1542" s="65"/>
      <c r="G1542" s="65">
        <v>1500</v>
      </c>
      <c r="H1542" s="65">
        <f t="shared" si="120"/>
        <v>1500</v>
      </c>
      <c r="I1542" s="79">
        <f t="shared" si="117"/>
        <v>0</v>
      </c>
      <c r="J1542" s="79">
        <f t="shared" si="118"/>
        <v>1254.1500000000001</v>
      </c>
      <c r="K1542" s="79">
        <f t="shared" si="119"/>
        <v>1254.1500000000001</v>
      </c>
      <c r="L1542" s="121"/>
    </row>
    <row r="1543" spans="2:12" x14ac:dyDescent="0.35">
      <c r="B1543" s="111">
        <f t="shared" si="116"/>
        <v>1533</v>
      </c>
      <c r="C1543" s="64" t="s">
        <v>184</v>
      </c>
      <c r="D1543" s="77" t="s">
        <v>25</v>
      </c>
      <c r="E1543" s="78">
        <f>E1540*0.75</f>
        <v>7.125</v>
      </c>
      <c r="F1543" s="65"/>
      <c r="G1543" s="123"/>
      <c r="H1543" s="65">
        <f t="shared" si="120"/>
        <v>0</v>
      </c>
      <c r="I1543" s="79">
        <f t="shared" si="117"/>
        <v>0</v>
      </c>
      <c r="J1543" s="79">
        <f t="shared" si="118"/>
        <v>0</v>
      </c>
      <c r="K1543" s="79">
        <f t="shared" si="119"/>
        <v>0</v>
      </c>
      <c r="L1543" s="121"/>
    </row>
    <row r="1544" spans="2:12" ht="31" x14ac:dyDescent="0.35">
      <c r="B1544" s="111">
        <f t="shared" si="116"/>
        <v>1534</v>
      </c>
      <c r="C1544" s="64" t="s">
        <v>194</v>
      </c>
      <c r="D1544" s="77" t="s">
        <v>25</v>
      </c>
      <c r="E1544" s="78">
        <f>E1540*0.48</f>
        <v>4.5599999999999996</v>
      </c>
      <c r="F1544" s="65">
        <f>1973*0.15</f>
        <v>295.95</v>
      </c>
      <c r="G1544" s="65">
        <f>1500*0.15</f>
        <v>225</v>
      </c>
      <c r="H1544" s="65">
        <f t="shared" si="120"/>
        <v>520.95000000000005</v>
      </c>
      <c r="I1544" s="79">
        <f t="shared" si="117"/>
        <v>1349.53</v>
      </c>
      <c r="J1544" s="79">
        <f t="shared" si="118"/>
        <v>1026</v>
      </c>
      <c r="K1544" s="79">
        <f t="shared" si="119"/>
        <v>2375.5299999999997</v>
      </c>
      <c r="L1544" s="121"/>
    </row>
    <row r="1545" spans="2:12" x14ac:dyDescent="0.35">
      <c r="B1545" s="111">
        <f t="shared" si="116"/>
        <v>1535</v>
      </c>
      <c r="C1545" s="64" t="s">
        <v>20</v>
      </c>
      <c r="D1545" s="77" t="s">
        <v>26</v>
      </c>
      <c r="E1545" s="78">
        <f>0.34*E1540*0.1</f>
        <v>0.32300000000000006</v>
      </c>
      <c r="F1545" s="65"/>
      <c r="G1545" s="65">
        <v>5860</v>
      </c>
      <c r="H1545" s="65">
        <f t="shared" si="120"/>
        <v>5860</v>
      </c>
      <c r="I1545" s="79">
        <f t="shared" si="117"/>
        <v>0</v>
      </c>
      <c r="J1545" s="79">
        <f t="shared" si="118"/>
        <v>1892.78</v>
      </c>
      <c r="K1545" s="79">
        <f t="shared" si="119"/>
        <v>1892.78</v>
      </c>
      <c r="L1545" s="121"/>
    </row>
    <row r="1546" spans="2:12" x14ac:dyDescent="0.35">
      <c r="B1546" s="111">
        <f t="shared" si="116"/>
        <v>1536</v>
      </c>
      <c r="C1546" s="80" t="s">
        <v>159</v>
      </c>
      <c r="D1546" s="77" t="s">
        <v>26</v>
      </c>
      <c r="E1546" s="78">
        <f>E1545*1.02</f>
        <v>0.32946000000000009</v>
      </c>
      <c r="F1546" s="65">
        <v>6700</v>
      </c>
      <c r="G1546" s="123"/>
      <c r="H1546" s="65">
        <f t="shared" si="120"/>
        <v>6700</v>
      </c>
      <c r="I1546" s="79">
        <f t="shared" si="117"/>
        <v>2207.38</v>
      </c>
      <c r="J1546" s="79">
        <f t="shared" si="118"/>
        <v>0</v>
      </c>
      <c r="K1546" s="79">
        <f t="shared" si="119"/>
        <v>2207.38</v>
      </c>
      <c r="L1546" s="121"/>
    </row>
    <row r="1547" spans="2:12" x14ac:dyDescent="0.35">
      <c r="B1547" s="111">
        <f t="shared" si="116"/>
        <v>1537</v>
      </c>
      <c r="C1547" s="64" t="s">
        <v>28</v>
      </c>
      <c r="D1547" s="77" t="s">
        <v>26</v>
      </c>
      <c r="E1547" s="78">
        <f>E1540*0.8/10</f>
        <v>0.76</v>
      </c>
      <c r="F1547" s="65"/>
      <c r="G1547" s="65">
        <v>5860</v>
      </c>
      <c r="H1547" s="65">
        <f t="shared" si="120"/>
        <v>5860</v>
      </c>
      <c r="I1547" s="79">
        <f t="shared" si="117"/>
        <v>0</v>
      </c>
      <c r="J1547" s="79">
        <f t="shared" si="118"/>
        <v>4453.6000000000004</v>
      </c>
      <c r="K1547" s="79">
        <f t="shared" si="119"/>
        <v>4453.6000000000004</v>
      </c>
      <c r="L1547" s="121"/>
    </row>
    <row r="1548" spans="2:12" x14ac:dyDescent="0.35">
      <c r="B1548" s="111">
        <f t="shared" si="116"/>
        <v>1538</v>
      </c>
      <c r="C1548" s="80" t="s">
        <v>29</v>
      </c>
      <c r="D1548" s="77" t="s">
        <v>26</v>
      </c>
      <c r="E1548" s="78">
        <f>E1547*1.02</f>
        <v>0.7752</v>
      </c>
      <c r="F1548" s="65">
        <v>7100</v>
      </c>
      <c r="G1548" s="123"/>
      <c r="H1548" s="65">
        <f t="shared" si="120"/>
        <v>7100</v>
      </c>
      <c r="I1548" s="79">
        <f t="shared" si="117"/>
        <v>5503.92</v>
      </c>
      <c r="J1548" s="79">
        <f t="shared" si="118"/>
        <v>0</v>
      </c>
      <c r="K1548" s="79">
        <f t="shared" si="119"/>
        <v>5503.92</v>
      </c>
      <c r="L1548" s="121"/>
    </row>
    <row r="1549" spans="2:12" x14ac:dyDescent="0.35">
      <c r="B1549" s="111">
        <f t="shared" ref="B1549:B1612" si="121">B1548+1</f>
        <v>1539</v>
      </c>
      <c r="C1549" s="80" t="s">
        <v>30</v>
      </c>
      <c r="D1549" s="77" t="s">
        <v>31</v>
      </c>
      <c r="E1549" s="78">
        <f>E1540*1.22</f>
        <v>11.59</v>
      </c>
      <c r="F1549" s="65">
        <v>118.9</v>
      </c>
      <c r="G1549" s="123"/>
      <c r="H1549" s="65">
        <f t="shared" si="120"/>
        <v>118.9</v>
      </c>
      <c r="I1549" s="79">
        <f t="shared" ref="I1549:I1612" si="122">ROUND(F1549*E1549,2)</f>
        <v>1378.05</v>
      </c>
      <c r="J1549" s="79">
        <f t="shared" ref="J1549:J1612" si="123">ROUND(G1549*E1549,2)</f>
        <v>0</v>
      </c>
      <c r="K1549" s="79">
        <f t="shared" ref="K1549:K1612" si="124">I1549+J1549</f>
        <v>1378.05</v>
      </c>
      <c r="L1549" s="121"/>
    </row>
    <row r="1550" spans="2:12" x14ac:dyDescent="0.35">
      <c r="B1550" s="111">
        <f t="shared" si="121"/>
        <v>1540</v>
      </c>
      <c r="C1550" s="64" t="s">
        <v>189</v>
      </c>
      <c r="D1550" s="77" t="s">
        <v>27</v>
      </c>
      <c r="E1550" s="78">
        <f>E1540</f>
        <v>9.5</v>
      </c>
      <c r="F1550" s="65"/>
      <c r="G1550" s="65">
        <v>2928</v>
      </c>
      <c r="H1550" s="65">
        <f t="shared" si="120"/>
        <v>2928</v>
      </c>
      <c r="I1550" s="79">
        <f t="shared" si="122"/>
        <v>0</v>
      </c>
      <c r="J1550" s="79">
        <f t="shared" si="123"/>
        <v>27816</v>
      </c>
      <c r="K1550" s="79">
        <f t="shared" si="124"/>
        <v>27816</v>
      </c>
      <c r="L1550" s="121"/>
    </row>
    <row r="1551" spans="2:12" ht="31" x14ac:dyDescent="0.35">
      <c r="B1551" s="111">
        <f t="shared" si="121"/>
        <v>1541</v>
      </c>
      <c r="C1551" s="80" t="s">
        <v>195</v>
      </c>
      <c r="D1551" s="77" t="s">
        <v>27</v>
      </c>
      <c r="E1551" s="78">
        <f>E1550*1.1</f>
        <v>10.450000000000001</v>
      </c>
      <c r="F1551" s="65">
        <v>855</v>
      </c>
      <c r="G1551" s="65"/>
      <c r="H1551" s="65">
        <f t="shared" ref="H1551:H1614" si="125">F1551+G1551</f>
        <v>855</v>
      </c>
      <c r="I1551" s="79">
        <f t="shared" si="122"/>
        <v>8934.75</v>
      </c>
      <c r="J1551" s="79">
        <f t="shared" si="123"/>
        <v>0</v>
      </c>
      <c r="K1551" s="79">
        <f t="shared" si="124"/>
        <v>8934.75</v>
      </c>
      <c r="L1551" s="121"/>
    </row>
    <row r="1552" spans="2:12" ht="33" x14ac:dyDescent="0.35">
      <c r="B1552" s="111">
        <f t="shared" si="121"/>
        <v>1542</v>
      </c>
      <c r="C1552" s="64" t="s">
        <v>355</v>
      </c>
      <c r="D1552" s="81" t="s">
        <v>26</v>
      </c>
      <c r="E1552" s="78">
        <v>18.39</v>
      </c>
      <c r="F1552" s="65"/>
      <c r="G1552" s="65">
        <v>439</v>
      </c>
      <c r="H1552" s="65">
        <f t="shared" si="125"/>
        <v>439</v>
      </c>
      <c r="I1552" s="79">
        <f t="shared" si="122"/>
        <v>0</v>
      </c>
      <c r="J1552" s="79">
        <f t="shared" si="123"/>
        <v>8073.21</v>
      </c>
      <c r="K1552" s="79">
        <f t="shared" si="124"/>
        <v>8073.21</v>
      </c>
      <c r="L1552" s="121"/>
    </row>
    <row r="1553" spans="2:12" ht="45" x14ac:dyDescent="0.35">
      <c r="B1553" s="111">
        <f t="shared" si="121"/>
        <v>1543</v>
      </c>
      <c r="C1553" s="98" t="s">
        <v>266</v>
      </c>
      <c r="D1553" s="99" t="s">
        <v>27</v>
      </c>
      <c r="E1553" s="100">
        <v>3.5</v>
      </c>
      <c r="F1553" s="101"/>
      <c r="G1553" s="106"/>
      <c r="H1553" s="101">
        <f t="shared" si="125"/>
        <v>0</v>
      </c>
      <c r="I1553" s="101">
        <f t="shared" si="122"/>
        <v>0</v>
      </c>
      <c r="J1553" s="101">
        <f t="shared" si="123"/>
        <v>0</v>
      </c>
      <c r="K1553" s="101">
        <f t="shared" si="124"/>
        <v>0</v>
      </c>
      <c r="L1553" s="121"/>
    </row>
    <row r="1554" spans="2:12" ht="31" x14ac:dyDescent="0.35">
      <c r="B1554" s="111">
        <f t="shared" si="121"/>
        <v>1544</v>
      </c>
      <c r="C1554" s="64" t="s">
        <v>348</v>
      </c>
      <c r="D1554" s="77" t="s">
        <v>26</v>
      </c>
      <c r="E1554" s="78">
        <f>0.97*2.63</f>
        <v>2.5510999999999999</v>
      </c>
      <c r="F1554" s="65"/>
      <c r="G1554" s="65">
        <v>300</v>
      </c>
      <c r="H1554" s="65">
        <f t="shared" si="125"/>
        <v>300</v>
      </c>
      <c r="I1554" s="79">
        <f t="shared" si="122"/>
        <v>0</v>
      </c>
      <c r="J1554" s="79">
        <f t="shared" si="123"/>
        <v>765.33</v>
      </c>
      <c r="K1554" s="79">
        <f t="shared" si="124"/>
        <v>765.33</v>
      </c>
      <c r="L1554" s="121"/>
    </row>
    <row r="1555" spans="2:12" x14ac:dyDescent="0.35">
      <c r="B1555" s="111">
        <f t="shared" si="121"/>
        <v>1545</v>
      </c>
      <c r="C1555" s="64" t="s">
        <v>19</v>
      </c>
      <c r="D1555" s="77" t="s">
        <v>26</v>
      </c>
      <c r="E1555" s="78">
        <f>E1554/97*3</f>
        <v>7.8899999999999998E-2</v>
      </c>
      <c r="F1555" s="65"/>
      <c r="G1555" s="65">
        <v>1500</v>
      </c>
      <c r="H1555" s="65">
        <f t="shared" si="125"/>
        <v>1500</v>
      </c>
      <c r="I1555" s="79">
        <f t="shared" si="122"/>
        <v>0</v>
      </c>
      <c r="J1555" s="79">
        <f t="shared" si="123"/>
        <v>118.35</v>
      </c>
      <c r="K1555" s="79">
        <f t="shared" si="124"/>
        <v>118.35</v>
      </c>
      <c r="L1555" s="121"/>
    </row>
    <row r="1556" spans="2:12" x14ac:dyDescent="0.35">
      <c r="B1556" s="111">
        <f t="shared" si="121"/>
        <v>1546</v>
      </c>
      <c r="C1556" s="64" t="s">
        <v>184</v>
      </c>
      <c r="D1556" s="77" t="s">
        <v>25</v>
      </c>
      <c r="E1556" s="78">
        <f>E1553*0.7*2</f>
        <v>4.8999999999999995</v>
      </c>
      <c r="F1556" s="65"/>
      <c r="G1556" s="123"/>
      <c r="H1556" s="65">
        <f t="shared" si="125"/>
        <v>0</v>
      </c>
      <c r="I1556" s="79">
        <f t="shared" si="122"/>
        <v>0</v>
      </c>
      <c r="J1556" s="79">
        <f t="shared" si="123"/>
        <v>0</v>
      </c>
      <c r="K1556" s="79">
        <f t="shared" si="124"/>
        <v>0</v>
      </c>
      <c r="L1556" s="121"/>
    </row>
    <row r="1557" spans="2:12" ht="31" x14ac:dyDescent="0.35">
      <c r="B1557" s="111">
        <f t="shared" si="121"/>
        <v>1547</v>
      </c>
      <c r="C1557" s="64" t="s">
        <v>232</v>
      </c>
      <c r="D1557" s="77" t="s">
        <v>25</v>
      </c>
      <c r="E1557" s="78">
        <f>E1553*0.45*2</f>
        <v>3.15</v>
      </c>
      <c r="F1557" s="65">
        <f>1973*0.15</f>
        <v>295.95</v>
      </c>
      <c r="G1557" s="65">
        <f>1500*0.15</f>
        <v>225</v>
      </c>
      <c r="H1557" s="65">
        <f t="shared" si="125"/>
        <v>520.95000000000005</v>
      </c>
      <c r="I1557" s="79">
        <f t="shared" si="122"/>
        <v>932.24</v>
      </c>
      <c r="J1557" s="79">
        <f t="shared" si="123"/>
        <v>708.75</v>
      </c>
      <c r="K1557" s="79">
        <f t="shared" si="124"/>
        <v>1640.99</v>
      </c>
      <c r="L1557" s="121"/>
    </row>
    <row r="1558" spans="2:12" x14ac:dyDescent="0.35">
      <c r="B1558" s="111">
        <f t="shared" si="121"/>
        <v>1548</v>
      </c>
      <c r="C1558" s="64" t="s">
        <v>20</v>
      </c>
      <c r="D1558" s="77" t="s">
        <v>26</v>
      </c>
      <c r="E1558" s="78">
        <f>0.32*2*E1553*0.1</f>
        <v>0.22400000000000003</v>
      </c>
      <c r="F1558" s="65"/>
      <c r="G1558" s="65">
        <v>5860</v>
      </c>
      <c r="H1558" s="65">
        <f t="shared" si="125"/>
        <v>5860</v>
      </c>
      <c r="I1558" s="79">
        <f t="shared" si="122"/>
        <v>0</v>
      </c>
      <c r="J1558" s="79">
        <f t="shared" si="123"/>
        <v>1312.64</v>
      </c>
      <c r="K1558" s="79">
        <f t="shared" si="124"/>
        <v>1312.64</v>
      </c>
      <c r="L1558" s="121"/>
    </row>
    <row r="1559" spans="2:12" x14ac:dyDescent="0.35">
      <c r="B1559" s="111">
        <f t="shared" si="121"/>
        <v>1549</v>
      </c>
      <c r="C1559" s="80" t="s">
        <v>159</v>
      </c>
      <c r="D1559" s="77" t="s">
        <v>26</v>
      </c>
      <c r="E1559" s="78">
        <f>E1558*1.02</f>
        <v>0.22848000000000004</v>
      </c>
      <c r="F1559" s="65">
        <v>6700</v>
      </c>
      <c r="G1559" s="123"/>
      <c r="H1559" s="65">
        <f t="shared" si="125"/>
        <v>6700</v>
      </c>
      <c r="I1559" s="79">
        <f t="shared" si="122"/>
        <v>1530.82</v>
      </c>
      <c r="J1559" s="79">
        <f t="shared" si="123"/>
        <v>0</v>
      </c>
      <c r="K1559" s="79">
        <f t="shared" si="124"/>
        <v>1530.82</v>
      </c>
      <c r="L1559" s="121"/>
    </row>
    <row r="1560" spans="2:12" x14ac:dyDescent="0.35">
      <c r="B1560" s="111">
        <f t="shared" si="121"/>
        <v>1550</v>
      </c>
      <c r="C1560" s="64" t="s">
        <v>28</v>
      </c>
      <c r="D1560" s="77" t="s">
        <v>26</v>
      </c>
      <c r="E1560" s="78">
        <f>0.73*2*E1553*0.1</f>
        <v>0.51100000000000001</v>
      </c>
      <c r="F1560" s="65"/>
      <c r="G1560" s="65">
        <v>5860</v>
      </c>
      <c r="H1560" s="65">
        <f t="shared" si="125"/>
        <v>5860</v>
      </c>
      <c r="I1560" s="79">
        <f t="shared" si="122"/>
        <v>0</v>
      </c>
      <c r="J1560" s="79">
        <f t="shared" si="123"/>
        <v>2994.46</v>
      </c>
      <c r="K1560" s="79">
        <f t="shared" si="124"/>
        <v>2994.46</v>
      </c>
      <c r="L1560" s="121"/>
    </row>
    <row r="1561" spans="2:12" x14ac:dyDescent="0.35">
      <c r="B1561" s="111">
        <f t="shared" si="121"/>
        <v>1551</v>
      </c>
      <c r="C1561" s="80" t="s">
        <v>29</v>
      </c>
      <c r="D1561" s="77" t="s">
        <v>26</v>
      </c>
      <c r="E1561" s="78">
        <f>E1560*1.02</f>
        <v>0.52122000000000002</v>
      </c>
      <c r="F1561" s="65">
        <v>7100</v>
      </c>
      <c r="G1561" s="123"/>
      <c r="H1561" s="65">
        <f t="shared" si="125"/>
        <v>7100</v>
      </c>
      <c r="I1561" s="79">
        <f t="shared" si="122"/>
        <v>3700.66</v>
      </c>
      <c r="J1561" s="79">
        <f t="shared" si="123"/>
        <v>0</v>
      </c>
      <c r="K1561" s="79">
        <f t="shared" si="124"/>
        <v>3700.66</v>
      </c>
      <c r="L1561" s="121"/>
    </row>
    <row r="1562" spans="2:12" x14ac:dyDescent="0.35">
      <c r="B1562" s="111">
        <f t="shared" si="121"/>
        <v>1552</v>
      </c>
      <c r="C1562" s="80" t="s">
        <v>30</v>
      </c>
      <c r="D1562" s="77" t="s">
        <v>31</v>
      </c>
      <c r="E1562" s="78">
        <f>31.39*E1553*0.1*2</f>
        <v>21.973000000000003</v>
      </c>
      <c r="F1562" s="65">
        <v>118.9</v>
      </c>
      <c r="G1562" s="123"/>
      <c r="H1562" s="65">
        <f t="shared" si="125"/>
        <v>118.9</v>
      </c>
      <c r="I1562" s="79">
        <f t="shared" si="122"/>
        <v>2612.59</v>
      </c>
      <c r="J1562" s="79">
        <f t="shared" si="123"/>
        <v>0</v>
      </c>
      <c r="K1562" s="79">
        <f t="shared" si="124"/>
        <v>2612.59</v>
      </c>
      <c r="L1562" s="121"/>
    </row>
    <row r="1563" spans="2:12" x14ac:dyDescent="0.35">
      <c r="B1563" s="111">
        <f t="shared" si="121"/>
        <v>1553</v>
      </c>
      <c r="C1563" s="64" t="s">
        <v>233</v>
      </c>
      <c r="D1563" s="77" t="s">
        <v>27</v>
      </c>
      <c r="E1563" s="78">
        <f>E1553</f>
        <v>3.5</v>
      </c>
      <c r="F1563" s="65"/>
      <c r="G1563" s="65">
        <v>6000</v>
      </c>
      <c r="H1563" s="65">
        <f t="shared" si="125"/>
        <v>6000</v>
      </c>
      <c r="I1563" s="79">
        <f t="shared" si="122"/>
        <v>0</v>
      </c>
      <c r="J1563" s="79">
        <f t="shared" si="123"/>
        <v>21000</v>
      </c>
      <c r="K1563" s="79">
        <f t="shared" si="124"/>
        <v>21000</v>
      </c>
      <c r="L1563" s="121"/>
    </row>
    <row r="1564" spans="2:12" x14ac:dyDescent="0.35">
      <c r="B1564" s="111">
        <f t="shared" si="121"/>
        <v>1554</v>
      </c>
      <c r="C1564" s="80" t="s">
        <v>353</v>
      </c>
      <c r="D1564" s="77" t="s">
        <v>27</v>
      </c>
      <c r="E1564" s="78">
        <f>E1563*1.1*2</f>
        <v>7.7000000000000011</v>
      </c>
      <c r="F1564" s="65">
        <v>800</v>
      </c>
      <c r="G1564" s="65"/>
      <c r="H1564" s="65">
        <f t="shared" si="125"/>
        <v>800</v>
      </c>
      <c r="I1564" s="79">
        <f t="shared" si="122"/>
        <v>6160</v>
      </c>
      <c r="J1564" s="79">
        <f t="shared" si="123"/>
        <v>0</v>
      </c>
      <c r="K1564" s="79">
        <f t="shared" si="124"/>
        <v>6160</v>
      </c>
      <c r="L1564" s="121"/>
    </row>
    <row r="1565" spans="2:12" ht="33" x14ac:dyDescent="0.35">
      <c r="B1565" s="111">
        <f t="shared" si="121"/>
        <v>1555</v>
      </c>
      <c r="C1565" s="64" t="s">
        <v>355</v>
      </c>
      <c r="D1565" s="81" t="s">
        <v>26</v>
      </c>
      <c r="E1565" s="78">
        <v>21.72</v>
      </c>
      <c r="F1565" s="65"/>
      <c r="G1565" s="65">
        <v>439</v>
      </c>
      <c r="H1565" s="65">
        <f t="shared" si="125"/>
        <v>439</v>
      </c>
      <c r="I1565" s="79">
        <f t="shared" si="122"/>
        <v>0</v>
      </c>
      <c r="J1565" s="79">
        <f t="shared" si="123"/>
        <v>9535.08</v>
      </c>
      <c r="K1565" s="79">
        <f t="shared" si="124"/>
        <v>9535.08</v>
      </c>
      <c r="L1565" s="121"/>
    </row>
    <row r="1566" spans="2:12" ht="24" customHeight="1" x14ac:dyDescent="0.35">
      <c r="B1566" s="111">
        <f t="shared" si="121"/>
        <v>1556</v>
      </c>
      <c r="C1566" s="98" t="s">
        <v>66</v>
      </c>
      <c r="D1566" s="103" t="s">
        <v>32</v>
      </c>
      <c r="E1566" s="100">
        <v>1</v>
      </c>
      <c r="F1566" s="101"/>
      <c r="G1566" s="106"/>
      <c r="H1566" s="101">
        <f t="shared" si="125"/>
        <v>0</v>
      </c>
      <c r="I1566" s="101">
        <f t="shared" si="122"/>
        <v>0</v>
      </c>
      <c r="J1566" s="101">
        <f t="shared" si="123"/>
        <v>0</v>
      </c>
      <c r="K1566" s="101">
        <f t="shared" si="124"/>
        <v>0</v>
      </c>
      <c r="L1566" s="121"/>
    </row>
    <row r="1567" spans="2:12" ht="31" x14ac:dyDescent="0.35">
      <c r="B1567" s="111">
        <f t="shared" si="121"/>
        <v>1557</v>
      </c>
      <c r="C1567" s="64" t="s">
        <v>348</v>
      </c>
      <c r="D1567" s="81" t="s">
        <v>26</v>
      </c>
      <c r="E1567" s="78">
        <f>12.02*97</f>
        <v>1165.94</v>
      </c>
      <c r="F1567" s="65"/>
      <c r="G1567" s="65">
        <v>300</v>
      </c>
      <c r="H1567" s="65">
        <f t="shared" si="125"/>
        <v>300</v>
      </c>
      <c r="I1567" s="79">
        <f t="shared" si="122"/>
        <v>0</v>
      </c>
      <c r="J1567" s="79">
        <f t="shared" si="123"/>
        <v>349782</v>
      </c>
      <c r="K1567" s="79">
        <f t="shared" si="124"/>
        <v>349782</v>
      </c>
      <c r="L1567" s="121"/>
    </row>
    <row r="1568" spans="2:12" x14ac:dyDescent="0.35">
      <c r="B1568" s="111">
        <f t="shared" si="121"/>
        <v>1558</v>
      </c>
      <c r="C1568" s="64" t="s">
        <v>19</v>
      </c>
      <c r="D1568" s="81" t="s">
        <v>26</v>
      </c>
      <c r="E1568" s="78">
        <f>E1567/9</f>
        <v>129.54888888888888</v>
      </c>
      <c r="F1568" s="65"/>
      <c r="G1568" s="65">
        <v>1500</v>
      </c>
      <c r="H1568" s="65">
        <f t="shared" si="125"/>
        <v>1500</v>
      </c>
      <c r="I1568" s="79">
        <f t="shared" si="122"/>
        <v>0</v>
      </c>
      <c r="J1568" s="79">
        <f t="shared" si="123"/>
        <v>194323.33</v>
      </c>
      <c r="K1568" s="79">
        <f t="shared" si="124"/>
        <v>194323.33</v>
      </c>
      <c r="L1568" s="121"/>
    </row>
    <row r="1569" spans="2:12" x14ac:dyDescent="0.35">
      <c r="B1569" s="111">
        <f t="shared" si="121"/>
        <v>1559</v>
      </c>
      <c r="C1569" s="64" t="s">
        <v>67</v>
      </c>
      <c r="D1569" s="81" t="s">
        <v>25</v>
      </c>
      <c r="E1569" s="78">
        <f>(3.14*2.7^2)/4</f>
        <v>5.7226500000000007</v>
      </c>
      <c r="F1569" s="65"/>
      <c r="G1569" s="123"/>
      <c r="H1569" s="65">
        <f t="shared" si="125"/>
        <v>0</v>
      </c>
      <c r="I1569" s="79">
        <f t="shared" si="122"/>
        <v>0</v>
      </c>
      <c r="J1569" s="79">
        <f t="shared" si="123"/>
        <v>0</v>
      </c>
      <c r="K1569" s="79">
        <f t="shared" si="124"/>
        <v>0</v>
      </c>
      <c r="L1569" s="121"/>
    </row>
    <row r="1570" spans="2:12" x14ac:dyDescent="0.35">
      <c r="B1570" s="111">
        <f t="shared" si="121"/>
        <v>1560</v>
      </c>
      <c r="C1570" s="64" t="s">
        <v>68</v>
      </c>
      <c r="D1570" s="81" t="s">
        <v>26</v>
      </c>
      <c r="E1570" s="78">
        <f>(3.14*2.7^2)/4*0.1</f>
        <v>0.57226500000000013</v>
      </c>
      <c r="F1570" s="65"/>
      <c r="G1570" s="65">
        <v>5860</v>
      </c>
      <c r="H1570" s="65">
        <f t="shared" si="125"/>
        <v>5860</v>
      </c>
      <c r="I1570" s="79">
        <f t="shared" si="122"/>
        <v>0</v>
      </c>
      <c r="J1570" s="79">
        <f t="shared" si="123"/>
        <v>3353.47</v>
      </c>
      <c r="K1570" s="79">
        <f t="shared" si="124"/>
        <v>3353.47</v>
      </c>
      <c r="L1570" s="121"/>
    </row>
    <row r="1571" spans="2:12" x14ac:dyDescent="0.35">
      <c r="B1571" s="111">
        <f t="shared" si="121"/>
        <v>1561</v>
      </c>
      <c r="C1571" s="80" t="s">
        <v>159</v>
      </c>
      <c r="D1571" s="81" t="s">
        <v>26</v>
      </c>
      <c r="E1571" s="78">
        <f>E1570*1.02</f>
        <v>0.58371030000000013</v>
      </c>
      <c r="F1571" s="65">
        <v>6700</v>
      </c>
      <c r="G1571" s="123"/>
      <c r="H1571" s="65">
        <f t="shared" si="125"/>
        <v>6700</v>
      </c>
      <c r="I1571" s="79">
        <f t="shared" si="122"/>
        <v>3910.86</v>
      </c>
      <c r="J1571" s="79">
        <f t="shared" si="123"/>
        <v>0</v>
      </c>
      <c r="K1571" s="79">
        <f t="shared" si="124"/>
        <v>3910.86</v>
      </c>
      <c r="L1571" s="121"/>
    </row>
    <row r="1572" spans="2:12" x14ac:dyDescent="0.35">
      <c r="B1572" s="111">
        <f t="shared" si="121"/>
        <v>1562</v>
      </c>
      <c r="C1572" s="64" t="s">
        <v>151</v>
      </c>
      <c r="D1572" s="81" t="s">
        <v>25</v>
      </c>
      <c r="E1572" s="78">
        <f>(3.14*2.5^2)/4</f>
        <v>4.90625</v>
      </c>
      <c r="F1572" s="65">
        <v>68.5</v>
      </c>
      <c r="G1572" s="65">
        <v>150</v>
      </c>
      <c r="H1572" s="65">
        <f t="shared" si="125"/>
        <v>218.5</v>
      </c>
      <c r="I1572" s="79">
        <f t="shared" si="122"/>
        <v>336.08</v>
      </c>
      <c r="J1572" s="79">
        <f t="shared" si="123"/>
        <v>735.94</v>
      </c>
      <c r="K1572" s="79">
        <f t="shared" si="124"/>
        <v>1072.02</v>
      </c>
      <c r="L1572" s="121"/>
    </row>
    <row r="1573" spans="2:12" ht="31" x14ac:dyDescent="0.35">
      <c r="B1573" s="111">
        <f t="shared" si="121"/>
        <v>1563</v>
      </c>
      <c r="C1573" s="64" t="s">
        <v>152</v>
      </c>
      <c r="D1573" s="81" t="s">
        <v>25</v>
      </c>
      <c r="E1573" s="78">
        <f>E1572</f>
        <v>4.90625</v>
      </c>
      <c r="F1573" s="65">
        <v>927</v>
      </c>
      <c r="G1573" s="65">
        <v>400</v>
      </c>
      <c r="H1573" s="65">
        <f t="shared" si="125"/>
        <v>1327</v>
      </c>
      <c r="I1573" s="79">
        <f t="shared" si="122"/>
        <v>4548.09</v>
      </c>
      <c r="J1573" s="79">
        <f t="shared" si="123"/>
        <v>1962.5</v>
      </c>
      <c r="K1573" s="79">
        <f t="shared" si="124"/>
        <v>6510.59</v>
      </c>
      <c r="L1573" s="121"/>
    </row>
    <row r="1574" spans="2:12" ht="31" x14ac:dyDescent="0.35">
      <c r="B1574" s="111">
        <f t="shared" si="121"/>
        <v>1564</v>
      </c>
      <c r="C1574" s="64" t="s">
        <v>69</v>
      </c>
      <c r="D1574" s="81" t="s">
        <v>32</v>
      </c>
      <c r="E1574" s="78">
        <v>1</v>
      </c>
      <c r="F1574" s="65"/>
      <c r="G1574" s="65">
        <v>5662</v>
      </c>
      <c r="H1574" s="65">
        <f t="shared" si="125"/>
        <v>5662</v>
      </c>
      <c r="I1574" s="79">
        <f t="shared" si="122"/>
        <v>0</v>
      </c>
      <c r="J1574" s="79">
        <f t="shared" si="123"/>
        <v>5662</v>
      </c>
      <c r="K1574" s="79">
        <f t="shared" si="124"/>
        <v>5662</v>
      </c>
      <c r="L1574" s="121"/>
    </row>
    <row r="1575" spans="2:12" x14ac:dyDescent="0.35">
      <c r="B1575" s="111">
        <f t="shared" si="121"/>
        <v>1565</v>
      </c>
      <c r="C1575" s="82" t="s">
        <v>71</v>
      </c>
      <c r="D1575" s="81" t="s">
        <v>32</v>
      </c>
      <c r="E1575" s="78">
        <v>1</v>
      </c>
      <c r="F1575" s="65">
        <f>7000*1.2</f>
        <v>8400</v>
      </c>
      <c r="G1575" s="123"/>
      <c r="H1575" s="65">
        <f t="shared" si="125"/>
        <v>8400</v>
      </c>
      <c r="I1575" s="79">
        <f t="shared" si="122"/>
        <v>8400</v>
      </c>
      <c r="J1575" s="79">
        <f t="shared" si="123"/>
        <v>0</v>
      </c>
      <c r="K1575" s="79">
        <f t="shared" si="124"/>
        <v>8400</v>
      </c>
      <c r="L1575" s="121"/>
    </row>
    <row r="1576" spans="2:12" x14ac:dyDescent="0.35">
      <c r="B1576" s="111">
        <f t="shared" si="121"/>
        <v>1566</v>
      </c>
      <c r="C1576" s="82" t="s">
        <v>101</v>
      </c>
      <c r="D1576" s="81" t="s">
        <v>26</v>
      </c>
      <c r="E1576" s="78">
        <f>((3.14*2^2)/4*0.02)*1.02</f>
        <v>6.4056000000000016E-2</v>
      </c>
      <c r="F1576" s="65">
        <v>7300</v>
      </c>
      <c r="G1576" s="123"/>
      <c r="H1576" s="65">
        <f t="shared" si="125"/>
        <v>7300</v>
      </c>
      <c r="I1576" s="79">
        <f t="shared" si="122"/>
        <v>467.61</v>
      </c>
      <c r="J1576" s="79">
        <f t="shared" si="123"/>
        <v>0</v>
      </c>
      <c r="K1576" s="79">
        <f t="shared" si="124"/>
        <v>467.61</v>
      </c>
      <c r="L1576" s="121"/>
    </row>
    <row r="1577" spans="2:12" ht="31" x14ac:dyDescent="0.35">
      <c r="B1577" s="111">
        <f t="shared" si="121"/>
        <v>1567</v>
      </c>
      <c r="C1577" s="64" t="s">
        <v>179</v>
      </c>
      <c r="D1577" s="81" t="s">
        <v>26</v>
      </c>
      <c r="E1577" s="78">
        <v>1.2</v>
      </c>
      <c r="F1577" s="65"/>
      <c r="G1577" s="65">
        <v>5860</v>
      </c>
      <c r="H1577" s="65">
        <f t="shared" si="125"/>
        <v>5860</v>
      </c>
      <c r="I1577" s="79">
        <f t="shared" si="122"/>
        <v>0</v>
      </c>
      <c r="J1577" s="79">
        <f t="shared" si="123"/>
        <v>7032</v>
      </c>
      <c r="K1577" s="79">
        <f t="shared" si="124"/>
        <v>7032</v>
      </c>
      <c r="L1577" s="121"/>
    </row>
    <row r="1578" spans="2:12" x14ac:dyDescent="0.35">
      <c r="B1578" s="111">
        <f t="shared" si="121"/>
        <v>1568</v>
      </c>
      <c r="C1578" s="82" t="s">
        <v>75</v>
      </c>
      <c r="D1578" s="81" t="s">
        <v>26</v>
      </c>
      <c r="E1578" s="78">
        <f>E1577*1.02</f>
        <v>1.224</v>
      </c>
      <c r="F1578" s="65">
        <v>7100</v>
      </c>
      <c r="G1578" s="123"/>
      <c r="H1578" s="65">
        <f t="shared" si="125"/>
        <v>7100</v>
      </c>
      <c r="I1578" s="79">
        <f t="shared" si="122"/>
        <v>8690.4</v>
      </c>
      <c r="J1578" s="79">
        <f t="shared" si="123"/>
        <v>0</v>
      </c>
      <c r="K1578" s="79">
        <f t="shared" si="124"/>
        <v>8690.4</v>
      </c>
      <c r="L1578" s="121"/>
    </row>
    <row r="1579" spans="2:12" ht="31" x14ac:dyDescent="0.35">
      <c r="B1579" s="111">
        <f t="shared" si="121"/>
        <v>1569</v>
      </c>
      <c r="C1579" s="64" t="s">
        <v>78</v>
      </c>
      <c r="D1579" s="81" t="s">
        <v>32</v>
      </c>
      <c r="E1579" s="78">
        <v>7</v>
      </c>
      <c r="F1579" s="65"/>
      <c r="G1579" s="65">
        <v>5662</v>
      </c>
      <c r="H1579" s="65">
        <f t="shared" si="125"/>
        <v>5662</v>
      </c>
      <c r="I1579" s="79">
        <f t="shared" si="122"/>
        <v>0</v>
      </c>
      <c r="J1579" s="79">
        <f t="shared" si="123"/>
        <v>39634</v>
      </c>
      <c r="K1579" s="79">
        <f t="shared" si="124"/>
        <v>39634</v>
      </c>
      <c r="L1579" s="121"/>
    </row>
    <row r="1580" spans="2:12" x14ac:dyDescent="0.35">
      <c r="B1580" s="111">
        <f t="shared" si="121"/>
        <v>1570</v>
      </c>
      <c r="C1580" s="82" t="s">
        <v>76</v>
      </c>
      <c r="D1580" s="81" t="s">
        <v>32</v>
      </c>
      <c r="E1580" s="78">
        <v>3</v>
      </c>
      <c r="F1580" s="65">
        <f>7000*1.2</f>
        <v>8400</v>
      </c>
      <c r="G1580" s="123"/>
      <c r="H1580" s="65">
        <f t="shared" si="125"/>
        <v>8400</v>
      </c>
      <c r="I1580" s="79">
        <f t="shared" si="122"/>
        <v>25200</v>
      </c>
      <c r="J1580" s="79">
        <f t="shared" si="123"/>
        <v>0</v>
      </c>
      <c r="K1580" s="79">
        <f t="shared" si="124"/>
        <v>25200</v>
      </c>
      <c r="L1580" s="121"/>
    </row>
    <row r="1581" spans="2:12" x14ac:dyDescent="0.35">
      <c r="B1581" s="111">
        <f t="shared" si="121"/>
        <v>1571</v>
      </c>
      <c r="C1581" s="82" t="s">
        <v>77</v>
      </c>
      <c r="D1581" s="81" t="s">
        <v>32</v>
      </c>
      <c r="E1581" s="78">
        <v>2</v>
      </c>
      <c r="F1581" s="65">
        <f>5500*1.2</f>
        <v>6600</v>
      </c>
      <c r="G1581" s="123"/>
      <c r="H1581" s="65">
        <f t="shared" si="125"/>
        <v>6600</v>
      </c>
      <c r="I1581" s="79">
        <f t="shared" si="122"/>
        <v>13200</v>
      </c>
      <c r="J1581" s="79">
        <f t="shared" si="123"/>
        <v>0</v>
      </c>
      <c r="K1581" s="79">
        <f t="shared" si="124"/>
        <v>13200</v>
      </c>
      <c r="L1581" s="121"/>
    </row>
    <row r="1582" spans="2:12" x14ac:dyDescent="0.35">
      <c r="B1582" s="111">
        <f t="shared" si="121"/>
        <v>1572</v>
      </c>
      <c r="C1582" s="82" t="s">
        <v>294</v>
      </c>
      <c r="D1582" s="81" t="s">
        <v>32</v>
      </c>
      <c r="E1582" s="78">
        <v>1</v>
      </c>
      <c r="F1582" s="65">
        <f>1200*1.2</f>
        <v>1440</v>
      </c>
      <c r="G1582" s="123"/>
      <c r="H1582" s="65">
        <f t="shared" si="125"/>
        <v>1440</v>
      </c>
      <c r="I1582" s="79">
        <f t="shared" si="122"/>
        <v>1440</v>
      </c>
      <c r="J1582" s="79">
        <f t="shared" si="123"/>
        <v>0</v>
      </c>
      <c r="K1582" s="79">
        <f t="shared" si="124"/>
        <v>1440</v>
      </c>
      <c r="L1582" s="121"/>
    </row>
    <row r="1583" spans="2:12" x14ac:dyDescent="0.35">
      <c r="B1583" s="111">
        <f t="shared" si="121"/>
        <v>1573</v>
      </c>
      <c r="C1583" s="82" t="s">
        <v>293</v>
      </c>
      <c r="D1583" s="81" t="s">
        <v>32</v>
      </c>
      <c r="E1583" s="78">
        <v>1</v>
      </c>
      <c r="F1583" s="65">
        <f>900*1.2</f>
        <v>1080</v>
      </c>
      <c r="G1583" s="123"/>
      <c r="H1583" s="65">
        <f t="shared" si="125"/>
        <v>1080</v>
      </c>
      <c r="I1583" s="79">
        <f t="shared" si="122"/>
        <v>1080</v>
      </c>
      <c r="J1583" s="79">
        <f t="shared" si="123"/>
        <v>0</v>
      </c>
      <c r="K1583" s="79">
        <f t="shared" si="124"/>
        <v>1080</v>
      </c>
      <c r="L1583" s="121"/>
    </row>
    <row r="1584" spans="2:12" ht="31" x14ac:dyDescent="0.35">
      <c r="B1584" s="111">
        <f t="shared" si="121"/>
        <v>1574</v>
      </c>
      <c r="C1584" s="64" t="s">
        <v>85</v>
      </c>
      <c r="D1584" s="81" t="s">
        <v>32</v>
      </c>
      <c r="E1584" s="78">
        <v>1</v>
      </c>
      <c r="F1584" s="65"/>
      <c r="G1584" s="65">
        <v>2500</v>
      </c>
      <c r="H1584" s="65">
        <f t="shared" si="125"/>
        <v>2500</v>
      </c>
      <c r="I1584" s="79">
        <f t="shared" si="122"/>
        <v>0</v>
      </c>
      <c r="J1584" s="79">
        <f t="shared" si="123"/>
        <v>2500</v>
      </c>
      <c r="K1584" s="79">
        <f t="shared" si="124"/>
        <v>2500</v>
      </c>
      <c r="L1584" s="121"/>
    </row>
    <row r="1585" spans="2:12" x14ac:dyDescent="0.35">
      <c r="B1585" s="111">
        <f t="shared" si="121"/>
        <v>1575</v>
      </c>
      <c r="C1585" s="82" t="s">
        <v>79</v>
      </c>
      <c r="D1585" s="81" t="s">
        <v>32</v>
      </c>
      <c r="E1585" s="78">
        <v>1</v>
      </c>
      <c r="F1585" s="65">
        <f>6500*1.2</f>
        <v>7800</v>
      </c>
      <c r="G1585" s="123"/>
      <c r="H1585" s="65">
        <f t="shared" si="125"/>
        <v>7800</v>
      </c>
      <c r="I1585" s="79">
        <f t="shared" si="122"/>
        <v>7800</v>
      </c>
      <c r="J1585" s="79">
        <f t="shared" si="123"/>
        <v>0</v>
      </c>
      <c r="K1585" s="79">
        <f t="shared" si="124"/>
        <v>7800</v>
      </c>
      <c r="L1585" s="121"/>
    </row>
    <row r="1586" spans="2:12" ht="31" x14ac:dyDescent="0.35">
      <c r="B1586" s="111">
        <f t="shared" si="121"/>
        <v>1576</v>
      </c>
      <c r="C1586" s="64" t="s">
        <v>316</v>
      </c>
      <c r="D1586" s="81" t="s">
        <v>32</v>
      </c>
      <c r="E1586" s="78">
        <v>1</v>
      </c>
      <c r="F1586" s="65"/>
      <c r="G1586" s="65"/>
      <c r="H1586" s="65">
        <f t="shared" si="125"/>
        <v>0</v>
      </c>
      <c r="I1586" s="79">
        <f t="shared" si="122"/>
        <v>0</v>
      </c>
      <c r="J1586" s="79">
        <f t="shared" si="123"/>
        <v>0</v>
      </c>
      <c r="K1586" s="79">
        <f t="shared" si="124"/>
        <v>0</v>
      </c>
      <c r="L1586" s="121"/>
    </row>
    <row r="1587" spans="2:12" x14ac:dyDescent="0.35">
      <c r="B1587" s="111">
        <f t="shared" si="121"/>
        <v>1577</v>
      </c>
      <c r="C1587" s="88" t="s">
        <v>84</v>
      </c>
      <c r="D1587" s="81" t="s">
        <v>32</v>
      </c>
      <c r="E1587" s="78">
        <v>1</v>
      </c>
      <c r="F1587" s="65">
        <v>1300</v>
      </c>
      <c r="G1587" s="65">
        <v>990</v>
      </c>
      <c r="H1587" s="65">
        <f t="shared" si="125"/>
        <v>2290</v>
      </c>
      <c r="I1587" s="79">
        <f t="shared" si="122"/>
        <v>1300</v>
      </c>
      <c r="J1587" s="79">
        <f t="shared" si="123"/>
        <v>990</v>
      </c>
      <c r="K1587" s="79">
        <f t="shared" si="124"/>
        <v>2290</v>
      </c>
      <c r="L1587" s="121"/>
    </row>
    <row r="1588" spans="2:12" x14ac:dyDescent="0.35">
      <c r="B1588" s="111">
        <f t="shared" si="121"/>
        <v>1578</v>
      </c>
      <c r="C1588" s="80" t="s">
        <v>301</v>
      </c>
      <c r="D1588" s="81" t="s">
        <v>32</v>
      </c>
      <c r="E1588" s="78">
        <v>1</v>
      </c>
      <c r="F1588" s="65">
        <v>6000</v>
      </c>
      <c r="G1588" s="65">
        <v>1464.09</v>
      </c>
      <c r="H1588" s="65">
        <f t="shared" si="125"/>
        <v>7464.09</v>
      </c>
      <c r="I1588" s="79">
        <f t="shared" si="122"/>
        <v>6000</v>
      </c>
      <c r="J1588" s="79">
        <f t="shared" si="123"/>
        <v>1464.09</v>
      </c>
      <c r="K1588" s="79">
        <f t="shared" si="124"/>
        <v>7464.09</v>
      </c>
      <c r="L1588" s="121"/>
    </row>
    <row r="1589" spans="2:12" ht="31" x14ac:dyDescent="0.35">
      <c r="B1589" s="111">
        <f t="shared" si="121"/>
        <v>1579</v>
      </c>
      <c r="C1589" s="64" t="s">
        <v>156</v>
      </c>
      <c r="D1589" s="81" t="s">
        <v>25</v>
      </c>
      <c r="E1589" s="78">
        <f>(3.14*2.2)*4.98+3.8</f>
        <v>38.201840000000004</v>
      </c>
      <c r="F1589" s="65">
        <v>68.5</v>
      </c>
      <c r="G1589" s="65">
        <v>150</v>
      </c>
      <c r="H1589" s="65">
        <f t="shared" si="125"/>
        <v>218.5</v>
      </c>
      <c r="I1589" s="79">
        <f t="shared" si="122"/>
        <v>2616.83</v>
      </c>
      <c r="J1589" s="79">
        <f t="shared" si="123"/>
        <v>5730.28</v>
      </c>
      <c r="K1589" s="79">
        <f t="shared" si="124"/>
        <v>8347.11</v>
      </c>
      <c r="L1589" s="121"/>
    </row>
    <row r="1590" spans="2:12" ht="46.5" x14ac:dyDescent="0.35">
      <c r="B1590" s="111">
        <f t="shared" si="121"/>
        <v>1580</v>
      </c>
      <c r="C1590" s="64" t="s">
        <v>157</v>
      </c>
      <c r="D1590" s="81" t="s">
        <v>25</v>
      </c>
      <c r="E1590" s="78">
        <f>E1589</f>
        <v>38.201840000000004</v>
      </c>
      <c r="F1590" s="65">
        <v>927</v>
      </c>
      <c r="G1590" s="65">
        <v>400</v>
      </c>
      <c r="H1590" s="65">
        <f t="shared" si="125"/>
        <v>1327</v>
      </c>
      <c r="I1590" s="79">
        <f t="shared" si="122"/>
        <v>35413.11</v>
      </c>
      <c r="J1590" s="79">
        <f t="shared" si="123"/>
        <v>15280.74</v>
      </c>
      <c r="K1590" s="79">
        <f t="shared" si="124"/>
        <v>50693.85</v>
      </c>
      <c r="L1590" s="121"/>
    </row>
    <row r="1591" spans="2:12" x14ac:dyDescent="0.35">
      <c r="B1591" s="111">
        <f t="shared" si="121"/>
        <v>1581</v>
      </c>
      <c r="C1591" s="64" t="s">
        <v>335</v>
      </c>
      <c r="D1591" s="81" t="s">
        <v>32</v>
      </c>
      <c r="E1591" s="78">
        <v>1</v>
      </c>
      <c r="F1591" s="68"/>
      <c r="G1591" s="123"/>
      <c r="H1591" s="65">
        <f t="shared" si="125"/>
        <v>0</v>
      </c>
      <c r="I1591" s="79">
        <f t="shared" si="122"/>
        <v>0</v>
      </c>
      <c r="J1591" s="79">
        <f t="shared" si="123"/>
        <v>0</v>
      </c>
      <c r="K1591" s="79">
        <f t="shared" si="124"/>
        <v>0</v>
      </c>
      <c r="L1591" s="121"/>
    </row>
    <row r="1592" spans="2:12" x14ac:dyDescent="0.35">
      <c r="B1592" s="111">
        <f t="shared" si="121"/>
        <v>1582</v>
      </c>
      <c r="C1592" s="82" t="s">
        <v>336</v>
      </c>
      <c r="D1592" s="81" t="s">
        <v>31</v>
      </c>
      <c r="E1592" s="78">
        <v>46.06</v>
      </c>
      <c r="F1592" s="68">
        <v>71</v>
      </c>
      <c r="G1592" s="65">
        <v>97.61</v>
      </c>
      <c r="H1592" s="65">
        <f t="shared" si="125"/>
        <v>168.61</v>
      </c>
      <c r="I1592" s="79">
        <f t="shared" si="122"/>
        <v>3270.26</v>
      </c>
      <c r="J1592" s="79">
        <f t="shared" si="123"/>
        <v>4495.92</v>
      </c>
      <c r="K1592" s="79">
        <f t="shared" si="124"/>
        <v>7766.18</v>
      </c>
      <c r="L1592" s="121"/>
    </row>
    <row r="1593" spans="2:12" x14ac:dyDescent="0.35">
      <c r="B1593" s="111">
        <f t="shared" si="121"/>
        <v>1583</v>
      </c>
      <c r="C1593" s="64" t="s">
        <v>93</v>
      </c>
      <c r="D1593" s="81" t="s">
        <v>32</v>
      </c>
      <c r="E1593" s="78">
        <v>3</v>
      </c>
      <c r="F1593" s="68"/>
      <c r="G1593" s="123"/>
      <c r="H1593" s="65">
        <f t="shared" si="125"/>
        <v>0</v>
      </c>
      <c r="I1593" s="79">
        <f t="shared" si="122"/>
        <v>0</v>
      </c>
      <c r="J1593" s="79">
        <f t="shared" si="123"/>
        <v>0</v>
      </c>
      <c r="K1593" s="79">
        <f t="shared" si="124"/>
        <v>0</v>
      </c>
      <c r="L1593" s="121"/>
    </row>
    <row r="1594" spans="2:12" x14ac:dyDescent="0.35">
      <c r="B1594" s="111">
        <f t="shared" si="121"/>
        <v>1584</v>
      </c>
      <c r="C1594" s="82" t="s">
        <v>94</v>
      </c>
      <c r="D1594" s="81" t="s">
        <v>31</v>
      </c>
      <c r="E1594" s="78">
        <f>0.82*E1593</f>
        <v>2.46</v>
      </c>
      <c r="F1594" s="68">
        <v>71</v>
      </c>
      <c r="G1594" s="65">
        <v>97.61</v>
      </c>
      <c r="H1594" s="65">
        <f t="shared" si="125"/>
        <v>168.61</v>
      </c>
      <c r="I1594" s="79">
        <f t="shared" si="122"/>
        <v>174.66</v>
      </c>
      <c r="J1594" s="79">
        <f t="shared" si="123"/>
        <v>240.12</v>
      </c>
      <c r="K1594" s="79">
        <f t="shared" si="124"/>
        <v>414.78</v>
      </c>
      <c r="L1594" s="121"/>
    </row>
    <row r="1595" spans="2:12" ht="31" x14ac:dyDescent="0.35">
      <c r="B1595" s="111">
        <f t="shared" si="121"/>
        <v>1585</v>
      </c>
      <c r="C1595" s="64" t="s">
        <v>304</v>
      </c>
      <c r="D1595" s="81" t="s">
        <v>32</v>
      </c>
      <c r="E1595" s="78">
        <v>3</v>
      </c>
      <c r="F1595" s="68"/>
      <c r="G1595" s="65">
        <v>1464</v>
      </c>
      <c r="H1595" s="65">
        <f t="shared" si="125"/>
        <v>1464</v>
      </c>
      <c r="I1595" s="79">
        <f t="shared" si="122"/>
        <v>0</v>
      </c>
      <c r="J1595" s="79">
        <f t="shared" si="123"/>
        <v>4392</v>
      </c>
      <c r="K1595" s="79">
        <f t="shared" si="124"/>
        <v>4392</v>
      </c>
      <c r="L1595" s="121"/>
    </row>
    <row r="1596" spans="2:12" ht="33" x14ac:dyDescent="0.35">
      <c r="B1596" s="111">
        <f t="shared" si="121"/>
        <v>1586</v>
      </c>
      <c r="C1596" s="64" t="s">
        <v>362</v>
      </c>
      <c r="D1596" s="81" t="s">
        <v>26</v>
      </c>
      <c r="E1596" s="78">
        <f>70.42-18.92</f>
        <v>51.5</v>
      </c>
      <c r="F1596" s="68"/>
      <c r="G1596" s="65">
        <v>439</v>
      </c>
      <c r="H1596" s="65">
        <f t="shared" si="125"/>
        <v>439</v>
      </c>
      <c r="I1596" s="79">
        <f t="shared" si="122"/>
        <v>0</v>
      </c>
      <c r="J1596" s="79">
        <f t="shared" si="123"/>
        <v>22608.5</v>
      </c>
      <c r="K1596" s="79">
        <f t="shared" si="124"/>
        <v>22608.5</v>
      </c>
      <c r="L1596" s="121"/>
    </row>
    <row r="1597" spans="2:12" ht="30" x14ac:dyDescent="0.35">
      <c r="B1597" s="111">
        <f t="shared" si="121"/>
        <v>1587</v>
      </c>
      <c r="C1597" s="98" t="s">
        <v>267</v>
      </c>
      <c r="D1597" s="99" t="s">
        <v>27</v>
      </c>
      <c r="E1597" s="100">
        <v>7.3</v>
      </c>
      <c r="F1597" s="101"/>
      <c r="G1597" s="106"/>
      <c r="H1597" s="101">
        <f t="shared" si="125"/>
        <v>0</v>
      </c>
      <c r="I1597" s="101">
        <f t="shared" si="122"/>
        <v>0</v>
      </c>
      <c r="J1597" s="101">
        <f t="shared" si="123"/>
        <v>0</v>
      </c>
      <c r="K1597" s="101">
        <f t="shared" si="124"/>
        <v>0</v>
      </c>
      <c r="L1597" s="121"/>
    </row>
    <row r="1598" spans="2:12" ht="31" x14ac:dyDescent="0.35">
      <c r="B1598" s="111">
        <f t="shared" si="121"/>
        <v>1588</v>
      </c>
      <c r="C1598" s="64" t="s">
        <v>348</v>
      </c>
      <c r="D1598" s="77" t="s">
        <v>26</v>
      </c>
      <c r="E1598" s="78">
        <f>0.97*31.83</f>
        <v>30.875099999999996</v>
      </c>
      <c r="F1598" s="65"/>
      <c r="G1598" s="65">
        <v>300</v>
      </c>
      <c r="H1598" s="65">
        <f t="shared" si="125"/>
        <v>300</v>
      </c>
      <c r="I1598" s="79">
        <f t="shared" si="122"/>
        <v>0</v>
      </c>
      <c r="J1598" s="79">
        <f t="shared" si="123"/>
        <v>9262.5300000000007</v>
      </c>
      <c r="K1598" s="79">
        <f t="shared" si="124"/>
        <v>9262.5300000000007</v>
      </c>
      <c r="L1598" s="121"/>
    </row>
    <row r="1599" spans="2:12" x14ac:dyDescent="0.35">
      <c r="B1599" s="111">
        <f t="shared" si="121"/>
        <v>1589</v>
      </c>
      <c r="C1599" s="64" t="s">
        <v>19</v>
      </c>
      <c r="D1599" s="77" t="s">
        <v>26</v>
      </c>
      <c r="E1599" s="78">
        <f>E1598/97*3</f>
        <v>0.95489999999999986</v>
      </c>
      <c r="F1599" s="65"/>
      <c r="G1599" s="65">
        <v>1500</v>
      </c>
      <c r="H1599" s="65">
        <f t="shared" si="125"/>
        <v>1500</v>
      </c>
      <c r="I1599" s="79">
        <f t="shared" si="122"/>
        <v>0</v>
      </c>
      <c r="J1599" s="79">
        <f t="shared" si="123"/>
        <v>1432.35</v>
      </c>
      <c r="K1599" s="79">
        <f t="shared" si="124"/>
        <v>1432.35</v>
      </c>
      <c r="L1599" s="121"/>
    </row>
    <row r="1600" spans="2:12" x14ac:dyDescent="0.35">
      <c r="B1600" s="111">
        <f t="shared" si="121"/>
        <v>1590</v>
      </c>
      <c r="C1600" s="64" t="s">
        <v>184</v>
      </c>
      <c r="D1600" s="77" t="s">
        <v>25</v>
      </c>
      <c r="E1600" s="78">
        <f>E1597*0.75</f>
        <v>5.4749999999999996</v>
      </c>
      <c r="F1600" s="65"/>
      <c r="G1600" s="123"/>
      <c r="H1600" s="65">
        <f t="shared" si="125"/>
        <v>0</v>
      </c>
      <c r="I1600" s="79">
        <f t="shared" si="122"/>
        <v>0</v>
      </c>
      <c r="J1600" s="79">
        <f t="shared" si="123"/>
        <v>0</v>
      </c>
      <c r="K1600" s="79">
        <f t="shared" si="124"/>
        <v>0</v>
      </c>
      <c r="L1600" s="121"/>
    </row>
    <row r="1601" spans="2:12" ht="31" x14ac:dyDescent="0.35">
      <c r="B1601" s="111">
        <f t="shared" si="121"/>
        <v>1591</v>
      </c>
      <c r="C1601" s="64" t="s">
        <v>194</v>
      </c>
      <c r="D1601" s="77" t="s">
        <v>25</v>
      </c>
      <c r="E1601" s="78">
        <f>E1597*0.48</f>
        <v>3.504</v>
      </c>
      <c r="F1601" s="65">
        <f>1973*0.15</f>
        <v>295.95</v>
      </c>
      <c r="G1601" s="65">
        <f>1500*0.15</f>
        <v>225</v>
      </c>
      <c r="H1601" s="65">
        <f t="shared" si="125"/>
        <v>520.95000000000005</v>
      </c>
      <c r="I1601" s="79">
        <f t="shared" si="122"/>
        <v>1037.01</v>
      </c>
      <c r="J1601" s="79">
        <f t="shared" si="123"/>
        <v>788.4</v>
      </c>
      <c r="K1601" s="79">
        <f t="shared" si="124"/>
        <v>1825.4099999999999</v>
      </c>
      <c r="L1601" s="121"/>
    </row>
    <row r="1602" spans="2:12" x14ac:dyDescent="0.35">
      <c r="B1602" s="111">
        <f t="shared" si="121"/>
        <v>1592</v>
      </c>
      <c r="C1602" s="64" t="s">
        <v>20</v>
      </c>
      <c r="D1602" s="77" t="s">
        <v>26</v>
      </c>
      <c r="E1602" s="78">
        <f>0.34*E1597*0.1</f>
        <v>0.24820000000000003</v>
      </c>
      <c r="F1602" s="65"/>
      <c r="G1602" s="65">
        <v>5860</v>
      </c>
      <c r="H1602" s="65">
        <f t="shared" si="125"/>
        <v>5860</v>
      </c>
      <c r="I1602" s="79">
        <f t="shared" si="122"/>
        <v>0</v>
      </c>
      <c r="J1602" s="79">
        <f t="shared" si="123"/>
        <v>1454.45</v>
      </c>
      <c r="K1602" s="79">
        <f t="shared" si="124"/>
        <v>1454.45</v>
      </c>
      <c r="L1602" s="121"/>
    </row>
    <row r="1603" spans="2:12" x14ac:dyDescent="0.35">
      <c r="B1603" s="111">
        <f t="shared" si="121"/>
        <v>1593</v>
      </c>
      <c r="C1603" s="80" t="s">
        <v>159</v>
      </c>
      <c r="D1603" s="77" t="s">
        <v>26</v>
      </c>
      <c r="E1603" s="78">
        <f>E1602*1.02</f>
        <v>0.25316400000000006</v>
      </c>
      <c r="F1603" s="65">
        <v>6700</v>
      </c>
      <c r="G1603" s="123"/>
      <c r="H1603" s="65">
        <f t="shared" si="125"/>
        <v>6700</v>
      </c>
      <c r="I1603" s="79">
        <f t="shared" si="122"/>
        <v>1696.2</v>
      </c>
      <c r="J1603" s="79">
        <f t="shared" si="123"/>
        <v>0</v>
      </c>
      <c r="K1603" s="79">
        <f t="shared" si="124"/>
        <v>1696.2</v>
      </c>
      <c r="L1603" s="121"/>
    </row>
    <row r="1604" spans="2:12" x14ac:dyDescent="0.35">
      <c r="B1604" s="111">
        <f t="shared" si="121"/>
        <v>1594</v>
      </c>
      <c r="C1604" s="64" t="s">
        <v>28</v>
      </c>
      <c r="D1604" s="77" t="s">
        <v>26</v>
      </c>
      <c r="E1604" s="78">
        <f>E1597*0.8/10</f>
        <v>0.58399999999999996</v>
      </c>
      <c r="F1604" s="65"/>
      <c r="G1604" s="65">
        <v>5860</v>
      </c>
      <c r="H1604" s="65">
        <f t="shared" si="125"/>
        <v>5860</v>
      </c>
      <c r="I1604" s="79">
        <f t="shared" si="122"/>
        <v>0</v>
      </c>
      <c r="J1604" s="79">
        <f t="shared" si="123"/>
        <v>3422.24</v>
      </c>
      <c r="K1604" s="79">
        <f t="shared" si="124"/>
        <v>3422.24</v>
      </c>
      <c r="L1604" s="121"/>
    </row>
    <row r="1605" spans="2:12" x14ac:dyDescent="0.35">
      <c r="B1605" s="111">
        <f t="shared" si="121"/>
        <v>1595</v>
      </c>
      <c r="C1605" s="80" t="s">
        <v>29</v>
      </c>
      <c r="D1605" s="77" t="s">
        <v>26</v>
      </c>
      <c r="E1605" s="78">
        <f>E1604*1.02</f>
        <v>0.59567999999999999</v>
      </c>
      <c r="F1605" s="65">
        <v>7100</v>
      </c>
      <c r="G1605" s="123"/>
      <c r="H1605" s="65">
        <f t="shared" si="125"/>
        <v>7100</v>
      </c>
      <c r="I1605" s="79">
        <f t="shared" si="122"/>
        <v>4229.33</v>
      </c>
      <c r="J1605" s="79">
        <f t="shared" si="123"/>
        <v>0</v>
      </c>
      <c r="K1605" s="79">
        <f t="shared" si="124"/>
        <v>4229.33</v>
      </c>
      <c r="L1605" s="121"/>
    </row>
    <row r="1606" spans="2:12" x14ac:dyDescent="0.35">
      <c r="B1606" s="111">
        <f t="shared" si="121"/>
        <v>1596</v>
      </c>
      <c r="C1606" s="80" t="s">
        <v>30</v>
      </c>
      <c r="D1606" s="77" t="s">
        <v>31</v>
      </c>
      <c r="E1606" s="78">
        <f>E1597*1.22</f>
        <v>8.9059999999999988</v>
      </c>
      <c r="F1606" s="65">
        <v>118.9</v>
      </c>
      <c r="G1606" s="123"/>
      <c r="H1606" s="65">
        <f t="shared" si="125"/>
        <v>118.9</v>
      </c>
      <c r="I1606" s="79">
        <f t="shared" si="122"/>
        <v>1058.92</v>
      </c>
      <c r="J1606" s="79">
        <f t="shared" si="123"/>
        <v>0</v>
      </c>
      <c r="K1606" s="79">
        <f t="shared" si="124"/>
        <v>1058.92</v>
      </c>
      <c r="L1606" s="121"/>
    </row>
    <row r="1607" spans="2:12" x14ac:dyDescent="0.35">
      <c r="B1607" s="111">
        <f t="shared" si="121"/>
        <v>1597</v>
      </c>
      <c r="C1607" s="64" t="s">
        <v>189</v>
      </c>
      <c r="D1607" s="77" t="s">
        <v>27</v>
      </c>
      <c r="E1607" s="78">
        <f>E1597</f>
        <v>7.3</v>
      </c>
      <c r="F1607" s="65"/>
      <c r="G1607" s="65">
        <v>2928</v>
      </c>
      <c r="H1607" s="65">
        <f t="shared" si="125"/>
        <v>2928</v>
      </c>
      <c r="I1607" s="79">
        <f t="shared" si="122"/>
        <v>0</v>
      </c>
      <c r="J1607" s="79">
        <f t="shared" si="123"/>
        <v>21374.400000000001</v>
      </c>
      <c r="K1607" s="79">
        <f t="shared" si="124"/>
        <v>21374.400000000001</v>
      </c>
      <c r="L1607" s="121"/>
    </row>
    <row r="1608" spans="2:12" ht="31" x14ac:dyDescent="0.35">
      <c r="B1608" s="111">
        <f t="shared" si="121"/>
        <v>1598</v>
      </c>
      <c r="C1608" s="80" t="s">
        <v>195</v>
      </c>
      <c r="D1608" s="77" t="s">
        <v>27</v>
      </c>
      <c r="E1608" s="78">
        <f>E1607*1.1</f>
        <v>8.0300000000000011</v>
      </c>
      <c r="F1608" s="65">
        <v>855</v>
      </c>
      <c r="G1608" s="65"/>
      <c r="H1608" s="65">
        <f t="shared" si="125"/>
        <v>855</v>
      </c>
      <c r="I1608" s="79">
        <f t="shared" si="122"/>
        <v>6865.65</v>
      </c>
      <c r="J1608" s="79">
        <f t="shared" si="123"/>
        <v>0</v>
      </c>
      <c r="K1608" s="79">
        <f t="shared" si="124"/>
        <v>6865.65</v>
      </c>
      <c r="L1608" s="121"/>
    </row>
    <row r="1609" spans="2:12" ht="33" x14ac:dyDescent="0.35">
      <c r="B1609" s="111">
        <f t="shared" si="121"/>
        <v>1599</v>
      </c>
      <c r="C1609" s="64" t="s">
        <v>355</v>
      </c>
      <c r="D1609" s="81" t="s">
        <v>26</v>
      </c>
      <c r="E1609" s="78">
        <v>63.16</v>
      </c>
      <c r="F1609" s="65"/>
      <c r="G1609" s="65">
        <v>439</v>
      </c>
      <c r="H1609" s="65">
        <f t="shared" si="125"/>
        <v>439</v>
      </c>
      <c r="I1609" s="79">
        <f t="shared" si="122"/>
        <v>0</v>
      </c>
      <c r="J1609" s="79">
        <f t="shared" si="123"/>
        <v>27727.24</v>
      </c>
      <c r="K1609" s="79">
        <f t="shared" si="124"/>
        <v>27727.24</v>
      </c>
      <c r="L1609" s="121"/>
    </row>
    <row r="1610" spans="2:12" ht="45" x14ac:dyDescent="0.35">
      <c r="B1610" s="111">
        <f t="shared" si="121"/>
        <v>1600</v>
      </c>
      <c r="C1610" s="98" t="s">
        <v>268</v>
      </c>
      <c r="D1610" s="99" t="s">
        <v>27</v>
      </c>
      <c r="E1610" s="100">
        <v>4.0999999999999996</v>
      </c>
      <c r="F1610" s="101"/>
      <c r="G1610" s="106"/>
      <c r="H1610" s="101">
        <f t="shared" si="125"/>
        <v>0</v>
      </c>
      <c r="I1610" s="101">
        <f t="shared" si="122"/>
        <v>0</v>
      </c>
      <c r="J1610" s="101">
        <f t="shared" si="123"/>
        <v>0</v>
      </c>
      <c r="K1610" s="101">
        <f t="shared" si="124"/>
        <v>0</v>
      </c>
      <c r="L1610" s="121"/>
    </row>
    <row r="1611" spans="2:12" ht="31" x14ac:dyDescent="0.35">
      <c r="B1611" s="111">
        <f t="shared" si="121"/>
        <v>1601</v>
      </c>
      <c r="C1611" s="64" t="s">
        <v>348</v>
      </c>
      <c r="D1611" s="77" t="s">
        <v>26</v>
      </c>
      <c r="E1611" s="78">
        <f>0.97*41.22</f>
        <v>39.983399999999996</v>
      </c>
      <c r="F1611" s="65"/>
      <c r="G1611" s="65">
        <v>300</v>
      </c>
      <c r="H1611" s="65">
        <f t="shared" si="125"/>
        <v>300</v>
      </c>
      <c r="I1611" s="79">
        <f t="shared" si="122"/>
        <v>0</v>
      </c>
      <c r="J1611" s="79">
        <f t="shared" si="123"/>
        <v>11995.02</v>
      </c>
      <c r="K1611" s="79">
        <f t="shared" si="124"/>
        <v>11995.02</v>
      </c>
      <c r="L1611" s="121"/>
    </row>
    <row r="1612" spans="2:12" x14ac:dyDescent="0.35">
      <c r="B1612" s="111">
        <f t="shared" si="121"/>
        <v>1602</v>
      </c>
      <c r="C1612" s="64" t="s">
        <v>19</v>
      </c>
      <c r="D1612" s="77" t="s">
        <v>26</v>
      </c>
      <c r="E1612" s="78">
        <f>E1611/97*3</f>
        <v>1.2365999999999999</v>
      </c>
      <c r="F1612" s="65"/>
      <c r="G1612" s="65">
        <v>1500</v>
      </c>
      <c r="H1612" s="65">
        <f t="shared" si="125"/>
        <v>1500</v>
      </c>
      <c r="I1612" s="79">
        <f t="shared" si="122"/>
        <v>0</v>
      </c>
      <c r="J1612" s="79">
        <f t="shared" si="123"/>
        <v>1854.9</v>
      </c>
      <c r="K1612" s="79">
        <f t="shared" si="124"/>
        <v>1854.9</v>
      </c>
      <c r="L1612" s="121"/>
    </row>
    <row r="1613" spans="2:12" x14ac:dyDescent="0.35">
      <c r="B1613" s="111">
        <f t="shared" ref="B1613:B1676" si="126">B1612+1</f>
        <v>1603</v>
      </c>
      <c r="C1613" s="64" t="s">
        <v>184</v>
      </c>
      <c r="D1613" s="77" t="s">
        <v>25</v>
      </c>
      <c r="E1613" s="78">
        <f>E1610*0.7*2</f>
        <v>5.7399999999999993</v>
      </c>
      <c r="F1613" s="65"/>
      <c r="G1613" s="123"/>
      <c r="H1613" s="65">
        <f t="shared" si="125"/>
        <v>0</v>
      </c>
      <c r="I1613" s="79">
        <f t="shared" ref="I1613:I1676" si="127">ROUND(F1613*E1613,2)</f>
        <v>0</v>
      </c>
      <c r="J1613" s="79">
        <f t="shared" ref="J1613:J1676" si="128">ROUND(G1613*E1613,2)</f>
        <v>0</v>
      </c>
      <c r="K1613" s="79">
        <f t="shared" ref="K1613:K1676" si="129">I1613+J1613</f>
        <v>0</v>
      </c>
      <c r="L1613" s="121"/>
    </row>
    <row r="1614" spans="2:12" ht="31" x14ac:dyDescent="0.35">
      <c r="B1614" s="111">
        <f t="shared" si="126"/>
        <v>1604</v>
      </c>
      <c r="C1614" s="64" t="s">
        <v>232</v>
      </c>
      <c r="D1614" s="77" t="s">
        <v>25</v>
      </c>
      <c r="E1614" s="78">
        <f>E1610*0.45*2</f>
        <v>3.69</v>
      </c>
      <c r="F1614" s="65">
        <f>1973*0.15</f>
        <v>295.95</v>
      </c>
      <c r="G1614" s="65">
        <f>1500*0.15</f>
        <v>225</v>
      </c>
      <c r="H1614" s="65">
        <f t="shared" si="125"/>
        <v>520.95000000000005</v>
      </c>
      <c r="I1614" s="79">
        <f t="shared" si="127"/>
        <v>1092.06</v>
      </c>
      <c r="J1614" s="79">
        <f t="shared" si="128"/>
        <v>830.25</v>
      </c>
      <c r="K1614" s="79">
        <f t="shared" si="129"/>
        <v>1922.31</v>
      </c>
      <c r="L1614" s="121"/>
    </row>
    <row r="1615" spans="2:12" x14ac:dyDescent="0.35">
      <c r="B1615" s="111">
        <f t="shared" si="126"/>
        <v>1605</v>
      </c>
      <c r="C1615" s="64" t="s">
        <v>20</v>
      </c>
      <c r="D1615" s="77" t="s">
        <v>26</v>
      </c>
      <c r="E1615" s="78">
        <f>0.32*2*E1610*0.1</f>
        <v>0.26239999999999997</v>
      </c>
      <c r="F1615" s="65"/>
      <c r="G1615" s="65">
        <v>5860</v>
      </c>
      <c r="H1615" s="65">
        <f t="shared" ref="H1615:H1678" si="130">F1615+G1615</f>
        <v>5860</v>
      </c>
      <c r="I1615" s="79">
        <f t="shared" si="127"/>
        <v>0</v>
      </c>
      <c r="J1615" s="79">
        <f t="shared" si="128"/>
        <v>1537.66</v>
      </c>
      <c r="K1615" s="79">
        <f t="shared" si="129"/>
        <v>1537.66</v>
      </c>
      <c r="L1615" s="121"/>
    </row>
    <row r="1616" spans="2:12" x14ac:dyDescent="0.35">
      <c r="B1616" s="111">
        <f t="shared" si="126"/>
        <v>1606</v>
      </c>
      <c r="C1616" s="80" t="s">
        <v>159</v>
      </c>
      <c r="D1616" s="77" t="s">
        <v>26</v>
      </c>
      <c r="E1616" s="78">
        <f>E1615*1.02</f>
        <v>0.267648</v>
      </c>
      <c r="F1616" s="65">
        <v>6700</v>
      </c>
      <c r="G1616" s="123"/>
      <c r="H1616" s="65">
        <f t="shared" si="130"/>
        <v>6700</v>
      </c>
      <c r="I1616" s="79">
        <f t="shared" si="127"/>
        <v>1793.24</v>
      </c>
      <c r="J1616" s="79">
        <f t="shared" si="128"/>
        <v>0</v>
      </c>
      <c r="K1616" s="79">
        <f t="shared" si="129"/>
        <v>1793.24</v>
      </c>
      <c r="L1616" s="121"/>
    </row>
    <row r="1617" spans="2:12" x14ac:dyDescent="0.35">
      <c r="B1617" s="111">
        <f t="shared" si="126"/>
        <v>1607</v>
      </c>
      <c r="C1617" s="64" t="s">
        <v>28</v>
      </c>
      <c r="D1617" s="77" t="s">
        <v>26</v>
      </c>
      <c r="E1617" s="78">
        <f>0.73*2*E1610*0.1</f>
        <v>0.59860000000000002</v>
      </c>
      <c r="F1617" s="65"/>
      <c r="G1617" s="65">
        <v>5860</v>
      </c>
      <c r="H1617" s="65">
        <f t="shared" si="130"/>
        <v>5860</v>
      </c>
      <c r="I1617" s="79">
        <f t="shared" si="127"/>
        <v>0</v>
      </c>
      <c r="J1617" s="79">
        <f t="shared" si="128"/>
        <v>3507.8</v>
      </c>
      <c r="K1617" s="79">
        <f t="shared" si="129"/>
        <v>3507.8</v>
      </c>
      <c r="L1617" s="121"/>
    </row>
    <row r="1618" spans="2:12" x14ac:dyDescent="0.35">
      <c r="B1618" s="111">
        <f t="shared" si="126"/>
        <v>1608</v>
      </c>
      <c r="C1618" s="80" t="s">
        <v>29</v>
      </c>
      <c r="D1618" s="77" t="s">
        <v>26</v>
      </c>
      <c r="E1618" s="78">
        <f>E1617*1.02</f>
        <v>0.610572</v>
      </c>
      <c r="F1618" s="65">
        <v>7100</v>
      </c>
      <c r="G1618" s="123"/>
      <c r="H1618" s="65">
        <f t="shared" si="130"/>
        <v>7100</v>
      </c>
      <c r="I1618" s="79">
        <f t="shared" si="127"/>
        <v>4335.0600000000004</v>
      </c>
      <c r="J1618" s="79">
        <f t="shared" si="128"/>
        <v>0</v>
      </c>
      <c r="K1618" s="79">
        <f t="shared" si="129"/>
        <v>4335.0600000000004</v>
      </c>
      <c r="L1618" s="121"/>
    </row>
    <row r="1619" spans="2:12" x14ac:dyDescent="0.35">
      <c r="B1619" s="111">
        <f t="shared" si="126"/>
        <v>1609</v>
      </c>
      <c r="C1619" s="80" t="s">
        <v>30</v>
      </c>
      <c r="D1619" s="77" t="s">
        <v>31</v>
      </c>
      <c r="E1619" s="78">
        <f>31.39*E1610*0.1*2</f>
        <v>25.739799999999999</v>
      </c>
      <c r="F1619" s="65">
        <v>118.9</v>
      </c>
      <c r="G1619" s="123"/>
      <c r="H1619" s="65">
        <f t="shared" si="130"/>
        <v>118.9</v>
      </c>
      <c r="I1619" s="79">
        <f t="shared" si="127"/>
        <v>3060.46</v>
      </c>
      <c r="J1619" s="79">
        <f t="shared" si="128"/>
        <v>0</v>
      </c>
      <c r="K1619" s="79">
        <f t="shared" si="129"/>
        <v>3060.46</v>
      </c>
      <c r="L1619" s="121"/>
    </row>
    <row r="1620" spans="2:12" x14ac:dyDescent="0.35">
      <c r="B1620" s="111">
        <f t="shared" si="126"/>
        <v>1610</v>
      </c>
      <c r="C1620" s="64" t="s">
        <v>233</v>
      </c>
      <c r="D1620" s="77" t="s">
        <v>27</v>
      </c>
      <c r="E1620" s="78">
        <f>E1610</f>
        <v>4.0999999999999996</v>
      </c>
      <c r="F1620" s="65"/>
      <c r="G1620" s="65">
        <v>6000</v>
      </c>
      <c r="H1620" s="65">
        <f t="shared" si="130"/>
        <v>6000</v>
      </c>
      <c r="I1620" s="79">
        <f t="shared" si="127"/>
        <v>0</v>
      </c>
      <c r="J1620" s="79">
        <f t="shared" si="128"/>
        <v>24600</v>
      </c>
      <c r="K1620" s="79">
        <f t="shared" si="129"/>
        <v>24600</v>
      </c>
      <c r="L1620" s="121"/>
    </row>
    <row r="1621" spans="2:12" x14ac:dyDescent="0.35">
      <c r="B1621" s="111">
        <f t="shared" si="126"/>
        <v>1611</v>
      </c>
      <c r="C1621" s="80" t="s">
        <v>353</v>
      </c>
      <c r="D1621" s="77" t="s">
        <v>27</v>
      </c>
      <c r="E1621" s="78">
        <f>E1620*1.1*2</f>
        <v>9.02</v>
      </c>
      <c r="F1621" s="65">
        <v>800</v>
      </c>
      <c r="G1621" s="65"/>
      <c r="H1621" s="65">
        <f t="shared" si="130"/>
        <v>800</v>
      </c>
      <c r="I1621" s="79">
        <f t="shared" si="127"/>
        <v>7216</v>
      </c>
      <c r="J1621" s="79">
        <f t="shared" si="128"/>
        <v>0</v>
      </c>
      <c r="K1621" s="79">
        <f t="shared" si="129"/>
        <v>7216</v>
      </c>
      <c r="L1621" s="121"/>
    </row>
    <row r="1622" spans="2:12" ht="33" x14ac:dyDescent="0.35">
      <c r="B1622" s="111">
        <f t="shared" si="126"/>
        <v>1612</v>
      </c>
      <c r="C1622" s="64" t="s">
        <v>355</v>
      </c>
      <c r="D1622" s="81" t="s">
        <v>26</v>
      </c>
      <c r="E1622" s="78">
        <v>43.24</v>
      </c>
      <c r="F1622" s="65"/>
      <c r="G1622" s="65">
        <v>439</v>
      </c>
      <c r="H1622" s="65">
        <f t="shared" si="130"/>
        <v>439</v>
      </c>
      <c r="I1622" s="79">
        <f t="shared" si="127"/>
        <v>0</v>
      </c>
      <c r="J1622" s="79">
        <f t="shared" si="128"/>
        <v>18982.36</v>
      </c>
      <c r="K1622" s="79">
        <f t="shared" si="129"/>
        <v>18982.36</v>
      </c>
      <c r="L1622" s="121"/>
    </row>
    <row r="1623" spans="2:12" ht="29.4" customHeight="1" x14ac:dyDescent="0.35">
      <c r="B1623" s="111">
        <f t="shared" si="126"/>
        <v>1613</v>
      </c>
      <c r="C1623" s="98" t="s">
        <v>269</v>
      </c>
      <c r="D1623" s="103" t="s">
        <v>32</v>
      </c>
      <c r="E1623" s="100">
        <v>1</v>
      </c>
      <c r="F1623" s="101"/>
      <c r="G1623" s="106"/>
      <c r="H1623" s="101">
        <f t="shared" si="130"/>
        <v>0</v>
      </c>
      <c r="I1623" s="101">
        <f t="shared" si="127"/>
        <v>0</v>
      </c>
      <c r="J1623" s="101">
        <f t="shared" si="128"/>
        <v>0</v>
      </c>
      <c r="K1623" s="101">
        <f t="shared" si="129"/>
        <v>0</v>
      </c>
      <c r="L1623" s="121"/>
    </row>
    <row r="1624" spans="2:12" ht="31" x14ac:dyDescent="0.35">
      <c r="B1624" s="111">
        <f t="shared" si="126"/>
        <v>1614</v>
      </c>
      <c r="C1624" s="64" t="s">
        <v>348</v>
      </c>
      <c r="D1624" s="81" t="s">
        <v>26</v>
      </c>
      <c r="E1624" s="78">
        <f>67.25*0.97</f>
        <v>65.232500000000002</v>
      </c>
      <c r="F1624" s="65"/>
      <c r="G1624" s="65">
        <v>300</v>
      </c>
      <c r="H1624" s="65">
        <f t="shared" si="130"/>
        <v>300</v>
      </c>
      <c r="I1624" s="79">
        <f t="shared" si="127"/>
        <v>0</v>
      </c>
      <c r="J1624" s="79">
        <f t="shared" si="128"/>
        <v>19569.75</v>
      </c>
      <c r="K1624" s="79">
        <f t="shared" si="129"/>
        <v>19569.75</v>
      </c>
      <c r="L1624" s="121"/>
    </row>
    <row r="1625" spans="2:12" x14ac:dyDescent="0.35">
      <c r="B1625" s="111">
        <f t="shared" si="126"/>
        <v>1615</v>
      </c>
      <c r="C1625" s="64" t="s">
        <v>19</v>
      </c>
      <c r="D1625" s="81" t="s">
        <v>26</v>
      </c>
      <c r="E1625" s="78">
        <f>E1624/9</f>
        <v>7.2480555555555561</v>
      </c>
      <c r="F1625" s="65"/>
      <c r="G1625" s="65">
        <v>1500</v>
      </c>
      <c r="H1625" s="65">
        <f t="shared" si="130"/>
        <v>1500</v>
      </c>
      <c r="I1625" s="79">
        <f t="shared" si="127"/>
        <v>0</v>
      </c>
      <c r="J1625" s="79">
        <f t="shared" si="128"/>
        <v>10872.08</v>
      </c>
      <c r="K1625" s="79">
        <f t="shared" si="129"/>
        <v>10872.08</v>
      </c>
      <c r="L1625" s="121"/>
    </row>
    <row r="1626" spans="2:12" x14ac:dyDescent="0.35">
      <c r="B1626" s="111">
        <f t="shared" si="126"/>
        <v>1616</v>
      </c>
      <c r="C1626" s="64" t="s">
        <v>67</v>
      </c>
      <c r="D1626" s="81" t="s">
        <v>25</v>
      </c>
      <c r="E1626" s="78">
        <f>(3.14*2.7^2)/4</f>
        <v>5.7226500000000007</v>
      </c>
      <c r="F1626" s="65"/>
      <c r="G1626" s="123"/>
      <c r="H1626" s="65">
        <f t="shared" si="130"/>
        <v>0</v>
      </c>
      <c r="I1626" s="79">
        <f t="shared" si="127"/>
        <v>0</v>
      </c>
      <c r="J1626" s="79">
        <f t="shared" si="128"/>
        <v>0</v>
      </c>
      <c r="K1626" s="79">
        <f t="shared" si="129"/>
        <v>0</v>
      </c>
      <c r="L1626" s="121"/>
    </row>
    <row r="1627" spans="2:12" x14ac:dyDescent="0.35">
      <c r="B1627" s="111">
        <f t="shared" si="126"/>
        <v>1617</v>
      </c>
      <c r="C1627" s="64" t="s">
        <v>68</v>
      </c>
      <c r="D1627" s="81" t="s">
        <v>26</v>
      </c>
      <c r="E1627" s="78">
        <f>(3.14*2.7^2)/4*0.1</f>
        <v>0.57226500000000013</v>
      </c>
      <c r="F1627" s="65"/>
      <c r="G1627" s="65">
        <v>5860</v>
      </c>
      <c r="H1627" s="65">
        <f t="shared" si="130"/>
        <v>5860</v>
      </c>
      <c r="I1627" s="79">
        <f t="shared" si="127"/>
        <v>0</v>
      </c>
      <c r="J1627" s="79">
        <f t="shared" si="128"/>
        <v>3353.47</v>
      </c>
      <c r="K1627" s="79">
        <f t="shared" si="129"/>
        <v>3353.47</v>
      </c>
      <c r="L1627" s="121"/>
    </row>
    <row r="1628" spans="2:12" x14ac:dyDescent="0.35">
      <c r="B1628" s="111">
        <f t="shared" si="126"/>
        <v>1618</v>
      </c>
      <c r="C1628" s="80" t="s">
        <v>159</v>
      </c>
      <c r="D1628" s="81" t="s">
        <v>26</v>
      </c>
      <c r="E1628" s="78">
        <f>E1627*1.02</f>
        <v>0.58371030000000013</v>
      </c>
      <c r="F1628" s="65">
        <v>6700</v>
      </c>
      <c r="G1628" s="123"/>
      <c r="H1628" s="65">
        <f t="shared" si="130"/>
        <v>6700</v>
      </c>
      <c r="I1628" s="79">
        <f t="shared" si="127"/>
        <v>3910.86</v>
      </c>
      <c r="J1628" s="79">
        <f t="shared" si="128"/>
        <v>0</v>
      </c>
      <c r="K1628" s="79">
        <f t="shared" si="129"/>
        <v>3910.86</v>
      </c>
      <c r="L1628" s="121"/>
    </row>
    <row r="1629" spans="2:12" x14ac:dyDescent="0.35">
      <c r="B1629" s="111">
        <f t="shared" si="126"/>
        <v>1619</v>
      </c>
      <c r="C1629" s="64" t="s">
        <v>151</v>
      </c>
      <c r="D1629" s="81" t="s">
        <v>25</v>
      </c>
      <c r="E1629" s="78">
        <f>(3.14*2.5^2)/4</f>
        <v>4.90625</v>
      </c>
      <c r="F1629" s="65">
        <v>68.5</v>
      </c>
      <c r="G1629" s="65">
        <v>150</v>
      </c>
      <c r="H1629" s="65">
        <f t="shared" si="130"/>
        <v>218.5</v>
      </c>
      <c r="I1629" s="79">
        <f t="shared" si="127"/>
        <v>336.08</v>
      </c>
      <c r="J1629" s="79">
        <f t="shared" si="128"/>
        <v>735.94</v>
      </c>
      <c r="K1629" s="79">
        <f t="shared" si="129"/>
        <v>1072.02</v>
      </c>
      <c r="L1629" s="121"/>
    </row>
    <row r="1630" spans="2:12" ht="31" x14ac:dyDescent="0.35">
      <c r="B1630" s="111">
        <f t="shared" si="126"/>
        <v>1620</v>
      </c>
      <c r="C1630" s="64" t="s">
        <v>152</v>
      </c>
      <c r="D1630" s="81" t="s">
        <v>25</v>
      </c>
      <c r="E1630" s="78">
        <f>E1629</f>
        <v>4.90625</v>
      </c>
      <c r="F1630" s="65">
        <v>927</v>
      </c>
      <c r="G1630" s="65">
        <v>400</v>
      </c>
      <c r="H1630" s="65">
        <f t="shared" si="130"/>
        <v>1327</v>
      </c>
      <c r="I1630" s="79">
        <f t="shared" si="127"/>
        <v>4548.09</v>
      </c>
      <c r="J1630" s="79">
        <f t="shared" si="128"/>
        <v>1962.5</v>
      </c>
      <c r="K1630" s="79">
        <f t="shared" si="129"/>
        <v>6510.59</v>
      </c>
      <c r="L1630" s="121"/>
    </row>
    <row r="1631" spans="2:12" ht="31" x14ac:dyDescent="0.35">
      <c r="B1631" s="111">
        <f t="shared" si="126"/>
        <v>1621</v>
      </c>
      <c r="C1631" s="64" t="s">
        <v>69</v>
      </c>
      <c r="D1631" s="81" t="s">
        <v>32</v>
      </c>
      <c r="E1631" s="78">
        <v>1</v>
      </c>
      <c r="F1631" s="65"/>
      <c r="G1631" s="65">
        <v>5662</v>
      </c>
      <c r="H1631" s="65">
        <f t="shared" si="130"/>
        <v>5662</v>
      </c>
      <c r="I1631" s="79">
        <f t="shared" si="127"/>
        <v>0</v>
      </c>
      <c r="J1631" s="79">
        <f t="shared" si="128"/>
        <v>5662</v>
      </c>
      <c r="K1631" s="79">
        <f t="shared" si="129"/>
        <v>5662</v>
      </c>
      <c r="L1631" s="121"/>
    </row>
    <row r="1632" spans="2:12" x14ac:dyDescent="0.35">
      <c r="B1632" s="111">
        <f t="shared" si="126"/>
        <v>1622</v>
      </c>
      <c r="C1632" s="82" t="s">
        <v>71</v>
      </c>
      <c r="D1632" s="81" t="s">
        <v>32</v>
      </c>
      <c r="E1632" s="78">
        <v>1</v>
      </c>
      <c r="F1632" s="65">
        <f>7000*1.2</f>
        <v>8400</v>
      </c>
      <c r="G1632" s="123"/>
      <c r="H1632" s="65">
        <f t="shared" si="130"/>
        <v>8400</v>
      </c>
      <c r="I1632" s="79">
        <f t="shared" si="127"/>
        <v>8400</v>
      </c>
      <c r="J1632" s="79">
        <f t="shared" si="128"/>
        <v>0</v>
      </c>
      <c r="K1632" s="79">
        <f t="shared" si="129"/>
        <v>8400</v>
      </c>
      <c r="L1632" s="121"/>
    </row>
    <row r="1633" spans="2:12" x14ac:dyDescent="0.35">
      <c r="B1633" s="111">
        <f t="shared" si="126"/>
        <v>1623</v>
      </c>
      <c r="C1633" s="82" t="s">
        <v>101</v>
      </c>
      <c r="D1633" s="81" t="s">
        <v>26</v>
      </c>
      <c r="E1633" s="78">
        <f>((3.14*2^2)/4*0.02)*1.02</f>
        <v>6.4056000000000016E-2</v>
      </c>
      <c r="F1633" s="65">
        <v>7300</v>
      </c>
      <c r="G1633" s="123"/>
      <c r="H1633" s="65">
        <f t="shared" si="130"/>
        <v>7300</v>
      </c>
      <c r="I1633" s="79">
        <f t="shared" si="127"/>
        <v>467.61</v>
      </c>
      <c r="J1633" s="79">
        <f t="shared" si="128"/>
        <v>0</v>
      </c>
      <c r="K1633" s="79">
        <f t="shared" si="129"/>
        <v>467.61</v>
      </c>
      <c r="L1633" s="121"/>
    </row>
    <row r="1634" spans="2:12" ht="31" x14ac:dyDescent="0.35">
      <c r="B1634" s="111">
        <f t="shared" si="126"/>
        <v>1624</v>
      </c>
      <c r="C1634" s="64" t="s">
        <v>179</v>
      </c>
      <c r="D1634" s="81" t="s">
        <v>26</v>
      </c>
      <c r="E1634" s="78">
        <v>1.2</v>
      </c>
      <c r="F1634" s="65"/>
      <c r="G1634" s="65">
        <v>5860</v>
      </c>
      <c r="H1634" s="65">
        <f t="shared" si="130"/>
        <v>5860</v>
      </c>
      <c r="I1634" s="79">
        <f t="shared" si="127"/>
        <v>0</v>
      </c>
      <c r="J1634" s="79">
        <f t="shared" si="128"/>
        <v>7032</v>
      </c>
      <c r="K1634" s="79">
        <f t="shared" si="129"/>
        <v>7032</v>
      </c>
      <c r="L1634" s="121"/>
    </row>
    <row r="1635" spans="2:12" x14ac:dyDescent="0.35">
      <c r="B1635" s="111">
        <f t="shared" si="126"/>
        <v>1625</v>
      </c>
      <c r="C1635" s="82" t="s">
        <v>75</v>
      </c>
      <c r="D1635" s="81" t="s">
        <v>26</v>
      </c>
      <c r="E1635" s="78">
        <f>E1634*1.02</f>
        <v>1.224</v>
      </c>
      <c r="F1635" s="65">
        <v>7100</v>
      </c>
      <c r="G1635" s="123"/>
      <c r="H1635" s="65">
        <f t="shared" si="130"/>
        <v>7100</v>
      </c>
      <c r="I1635" s="79">
        <f t="shared" si="127"/>
        <v>8690.4</v>
      </c>
      <c r="J1635" s="79">
        <f t="shared" si="128"/>
        <v>0</v>
      </c>
      <c r="K1635" s="79">
        <f t="shared" si="129"/>
        <v>8690.4</v>
      </c>
      <c r="L1635" s="121"/>
    </row>
    <row r="1636" spans="2:12" ht="31" x14ac:dyDescent="0.35">
      <c r="B1636" s="111">
        <f t="shared" si="126"/>
        <v>1626</v>
      </c>
      <c r="C1636" s="64" t="s">
        <v>78</v>
      </c>
      <c r="D1636" s="81" t="s">
        <v>32</v>
      </c>
      <c r="E1636" s="78">
        <v>7</v>
      </c>
      <c r="F1636" s="65"/>
      <c r="G1636" s="65">
        <v>5662</v>
      </c>
      <c r="H1636" s="65">
        <f t="shared" si="130"/>
        <v>5662</v>
      </c>
      <c r="I1636" s="79">
        <f t="shared" si="127"/>
        <v>0</v>
      </c>
      <c r="J1636" s="79">
        <f t="shared" si="128"/>
        <v>39634</v>
      </c>
      <c r="K1636" s="79">
        <f t="shared" si="129"/>
        <v>39634</v>
      </c>
      <c r="L1636" s="121"/>
    </row>
    <row r="1637" spans="2:12" x14ac:dyDescent="0.35">
      <c r="B1637" s="111">
        <f t="shared" si="126"/>
        <v>1627</v>
      </c>
      <c r="C1637" s="82" t="s">
        <v>76</v>
      </c>
      <c r="D1637" s="81" t="s">
        <v>32</v>
      </c>
      <c r="E1637" s="78">
        <v>4</v>
      </c>
      <c r="F1637" s="65">
        <f>7000*1.2</f>
        <v>8400</v>
      </c>
      <c r="G1637" s="123"/>
      <c r="H1637" s="65">
        <f t="shared" si="130"/>
        <v>8400</v>
      </c>
      <c r="I1637" s="79">
        <f t="shared" si="127"/>
        <v>33600</v>
      </c>
      <c r="J1637" s="79">
        <f t="shared" si="128"/>
        <v>0</v>
      </c>
      <c r="K1637" s="79">
        <f t="shared" si="129"/>
        <v>33600</v>
      </c>
      <c r="L1637" s="121"/>
    </row>
    <row r="1638" spans="2:12" x14ac:dyDescent="0.35">
      <c r="B1638" s="111">
        <f t="shared" si="126"/>
        <v>1628</v>
      </c>
      <c r="C1638" s="82" t="s">
        <v>77</v>
      </c>
      <c r="D1638" s="81" t="s">
        <v>32</v>
      </c>
      <c r="E1638" s="78">
        <v>1</v>
      </c>
      <c r="F1638" s="65">
        <f>5500*1.2</f>
        <v>6600</v>
      </c>
      <c r="G1638" s="123"/>
      <c r="H1638" s="65">
        <f t="shared" si="130"/>
        <v>6600</v>
      </c>
      <c r="I1638" s="79">
        <f t="shared" si="127"/>
        <v>6600</v>
      </c>
      <c r="J1638" s="79">
        <f t="shared" si="128"/>
        <v>0</v>
      </c>
      <c r="K1638" s="79">
        <f t="shared" si="129"/>
        <v>6600</v>
      </c>
      <c r="L1638" s="121"/>
    </row>
    <row r="1639" spans="2:12" x14ac:dyDescent="0.35">
      <c r="B1639" s="111">
        <f t="shared" si="126"/>
        <v>1629</v>
      </c>
      <c r="C1639" s="82" t="s">
        <v>294</v>
      </c>
      <c r="D1639" s="81" t="s">
        <v>32</v>
      </c>
      <c r="E1639" s="78">
        <v>1</v>
      </c>
      <c r="F1639" s="65">
        <f>1200*1.2</f>
        <v>1440</v>
      </c>
      <c r="G1639" s="123"/>
      <c r="H1639" s="65">
        <f t="shared" si="130"/>
        <v>1440</v>
      </c>
      <c r="I1639" s="79">
        <f t="shared" si="127"/>
        <v>1440</v>
      </c>
      <c r="J1639" s="79">
        <f t="shared" si="128"/>
        <v>0</v>
      </c>
      <c r="K1639" s="79">
        <f t="shared" si="129"/>
        <v>1440</v>
      </c>
      <c r="L1639" s="121"/>
    </row>
    <row r="1640" spans="2:12" x14ac:dyDescent="0.35">
      <c r="B1640" s="111">
        <f t="shared" si="126"/>
        <v>1630</v>
      </c>
      <c r="C1640" s="82" t="s">
        <v>293</v>
      </c>
      <c r="D1640" s="81" t="s">
        <v>32</v>
      </c>
      <c r="E1640" s="78">
        <v>1</v>
      </c>
      <c r="F1640" s="65">
        <f>900*1.2</f>
        <v>1080</v>
      </c>
      <c r="G1640" s="123"/>
      <c r="H1640" s="65">
        <f t="shared" si="130"/>
        <v>1080</v>
      </c>
      <c r="I1640" s="79">
        <f t="shared" si="127"/>
        <v>1080</v>
      </c>
      <c r="J1640" s="79">
        <f t="shared" si="128"/>
        <v>0</v>
      </c>
      <c r="K1640" s="79">
        <f t="shared" si="129"/>
        <v>1080</v>
      </c>
      <c r="L1640" s="121"/>
    </row>
    <row r="1641" spans="2:12" ht="31" x14ac:dyDescent="0.35">
      <c r="B1641" s="111">
        <f t="shared" si="126"/>
        <v>1631</v>
      </c>
      <c r="C1641" s="64" t="s">
        <v>85</v>
      </c>
      <c r="D1641" s="81" t="s">
        <v>32</v>
      </c>
      <c r="E1641" s="78">
        <v>1</v>
      </c>
      <c r="F1641" s="65"/>
      <c r="G1641" s="65">
        <v>2500</v>
      </c>
      <c r="H1641" s="65">
        <f t="shared" si="130"/>
        <v>2500</v>
      </c>
      <c r="I1641" s="79">
        <f t="shared" si="127"/>
        <v>0</v>
      </c>
      <c r="J1641" s="79">
        <f t="shared" si="128"/>
        <v>2500</v>
      </c>
      <c r="K1641" s="79">
        <f t="shared" si="129"/>
        <v>2500</v>
      </c>
      <c r="L1641" s="121"/>
    </row>
    <row r="1642" spans="2:12" x14ac:dyDescent="0.35">
      <c r="B1642" s="111">
        <f t="shared" si="126"/>
        <v>1632</v>
      </c>
      <c r="C1642" s="82" t="s">
        <v>79</v>
      </c>
      <c r="D1642" s="81" t="s">
        <v>32</v>
      </c>
      <c r="E1642" s="78">
        <v>1</v>
      </c>
      <c r="F1642" s="65">
        <f>6500*1.2</f>
        <v>7800</v>
      </c>
      <c r="G1642" s="123"/>
      <c r="H1642" s="65">
        <f t="shared" si="130"/>
        <v>7800</v>
      </c>
      <c r="I1642" s="79">
        <f t="shared" si="127"/>
        <v>7800</v>
      </c>
      <c r="J1642" s="79">
        <f t="shared" si="128"/>
        <v>0</v>
      </c>
      <c r="K1642" s="79">
        <f t="shared" si="129"/>
        <v>7800</v>
      </c>
      <c r="L1642" s="121"/>
    </row>
    <row r="1643" spans="2:12" ht="31" x14ac:dyDescent="0.35">
      <c r="B1643" s="111">
        <f t="shared" si="126"/>
        <v>1633</v>
      </c>
      <c r="C1643" s="64" t="s">
        <v>316</v>
      </c>
      <c r="D1643" s="81" t="s">
        <v>32</v>
      </c>
      <c r="E1643" s="78">
        <v>1</v>
      </c>
      <c r="F1643" s="65"/>
      <c r="G1643" s="65"/>
      <c r="H1643" s="65">
        <f t="shared" si="130"/>
        <v>0</v>
      </c>
      <c r="I1643" s="79">
        <f t="shared" si="127"/>
        <v>0</v>
      </c>
      <c r="J1643" s="79">
        <f t="shared" si="128"/>
        <v>0</v>
      </c>
      <c r="K1643" s="79">
        <f t="shared" si="129"/>
        <v>0</v>
      </c>
      <c r="L1643" s="121"/>
    </row>
    <row r="1644" spans="2:12" x14ac:dyDescent="0.35">
      <c r="B1644" s="111">
        <f t="shared" si="126"/>
        <v>1634</v>
      </c>
      <c r="C1644" s="88" t="s">
        <v>84</v>
      </c>
      <c r="D1644" s="81" t="s">
        <v>32</v>
      </c>
      <c r="E1644" s="78">
        <v>1</v>
      </c>
      <c r="F1644" s="65">
        <v>1300</v>
      </c>
      <c r="G1644" s="65">
        <v>990</v>
      </c>
      <c r="H1644" s="65">
        <f t="shared" si="130"/>
        <v>2290</v>
      </c>
      <c r="I1644" s="79">
        <f t="shared" si="127"/>
        <v>1300</v>
      </c>
      <c r="J1644" s="79">
        <f t="shared" si="128"/>
        <v>990</v>
      </c>
      <c r="K1644" s="79">
        <f t="shared" si="129"/>
        <v>2290</v>
      </c>
      <c r="L1644" s="121"/>
    </row>
    <row r="1645" spans="2:12" x14ac:dyDescent="0.35">
      <c r="B1645" s="111">
        <f t="shared" si="126"/>
        <v>1635</v>
      </c>
      <c r="C1645" s="80" t="s">
        <v>301</v>
      </c>
      <c r="D1645" s="81" t="s">
        <v>32</v>
      </c>
      <c r="E1645" s="78">
        <v>1</v>
      </c>
      <c r="F1645" s="65">
        <v>6000</v>
      </c>
      <c r="G1645" s="65">
        <v>1464.09</v>
      </c>
      <c r="H1645" s="65">
        <f t="shared" si="130"/>
        <v>7464.09</v>
      </c>
      <c r="I1645" s="79">
        <f t="shared" si="127"/>
        <v>6000</v>
      </c>
      <c r="J1645" s="79">
        <f t="shared" si="128"/>
        <v>1464.09</v>
      </c>
      <c r="K1645" s="79">
        <f t="shared" si="129"/>
        <v>7464.09</v>
      </c>
      <c r="L1645" s="121"/>
    </row>
    <row r="1646" spans="2:12" ht="31" x14ac:dyDescent="0.35">
      <c r="B1646" s="111">
        <f t="shared" si="126"/>
        <v>1636</v>
      </c>
      <c r="C1646" s="64" t="s">
        <v>156</v>
      </c>
      <c r="D1646" s="81" t="s">
        <v>25</v>
      </c>
      <c r="E1646" s="78">
        <f>(3.14*2.2)*5.23+3.8</f>
        <v>39.928840000000008</v>
      </c>
      <c r="F1646" s="65">
        <v>68.5</v>
      </c>
      <c r="G1646" s="65">
        <v>150</v>
      </c>
      <c r="H1646" s="65">
        <f t="shared" si="130"/>
        <v>218.5</v>
      </c>
      <c r="I1646" s="79">
        <f t="shared" si="127"/>
        <v>2735.13</v>
      </c>
      <c r="J1646" s="79">
        <f t="shared" si="128"/>
        <v>5989.33</v>
      </c>
      <c r="K1646" s="79">
        <f t="shared" si="129"/>
        <v>8724.4599999999991</v>
      </c>
      <c r="L1646" s="121"/>
    </row>
    <row r="1647" spans="2:12" ht="46.5" x14ac:dyDescent="0.35">
      <c r="B1647" s="111">
        <f t="shared" si="126"/>
        <v>1637</v>
      </c>
      <c r="C1647" s="64" t="s">
        <v>157</v>
      </c>
      <c r="D1647" s="81" t="s">
        <v>25</v>
      </c>
      <c r="E1647" s="78">
        <f>E1646</f>
        <v>39.928840000000008</v>
      </c>
      <c r="F1647" s="65">
        <v>927</v>
      </c>
      <c r="G1647" s="65">
        <v>400</v>
      </c>
      <c r="H1647" s="65">
        <f t="shared" si="130"/>
        <v>1327</v>
      </c>
      <c r="I1647" s="79">
        <f t="shared" si="127"/>
        <v>37014.03</v>
      </c>
      <c r="J1647" s="79">
        <f t="shared" si="128"/>
        <v>15971.54</v>
      </c>
      <c r="K1647" s="79">
        <f t="shared" si="129"/>
        <v>52985.57</v>
      </c>
      <c r="L1647" s="121"/>
    </row>
    <row r="1648" spans="2:12" x14ac:dyDescent="0.35">
      <c r="B1648" s="111">
        <f t="shared" si="126"/>
        <v>1638</v>
      </c>
      <c r="C1648" s="64" t="s">
        <v>335</v>
      </c>
      <c r="D1648" s="81" t="s">
        <v>32</v>
      </c>
      <c r="E1648" s="78">
        <v>1</v>
      </c>
      <c r="F1648" s="68"/>
      <c r="G1648" s="123"/>
      <c r="H1648" s="65">
        <f t="shared" si="130"/>
        <v>0</v>
      </c>
      <c r="I1648" s="79">
        <f t="shared" si="127"/>
        <v>0</v>
      </c>
      <c r="J1648" s="79">
        <f t="shared" si="128"/>
        <v>0</v>
      </c>
      <c r="K1648" s="79">
        <f t="shared" si="129"/>
        <v>0</v>
      </c>
      <c r="L1648" s="121"/>
    </row>
    <row r="1649" spans="2:12" x14ac:dyDescent="0.35">
      <c r="B1649" s="111">
        <f t="shared" si="126"/>
        <v>1639</v>
      </c>
      <c r="C1649" s="82" t="s">
        <v>336</v>
      </c>
      <c r="D1649" s="81" t="s">
        <v>31</v>
      </c>
      <c r="E1649" s="78">
        <v>46.06</v>
      </c>
      <c r="F1649" s="68">
        <v>71</v>
      </c>
      <c r="G1649" s="65">
        <v>97.61</v>
      </c>
      <c r="H1649" s="65">
        <f t="shared" si="130"/>
        <v>168.61</v>
      </c>
      <c r="I1649" s="79">
        <f t="shared" si="127"/>
        <v>3270.26</v>
      </c>
      <c r="J1649" s="79">
        <f t="shared" si="128"/>
        <v>4495.92</v>
      </c>
      <c r="K1649" s="79">
        <f t="shared" si="129"/>
        <v>7766.18</v>
      </c>
      <c r="L1649" s="121"/>
    </row>
    <row r="1650" spans="2:12" x14ac:dyDescent="0.35">
      <c r="B1650" s="111">
        <f t="shared" si="126"/>
        <v>1640</v>
      </c>
      <c r="C1650" s="64" t="s">
        <v>93</v>
      </c>
      <c r="D1650" s="81" t="s">
        <v>32</v>
      </c>
      <c r="E1650" s="78">
        <v>3</v>
      </c>
      <c r="F1650" s="68"/>
      <c r="G1650" s="123"/>
      <c r="H1650" s="65">
        <f t="shared" si="130"/>
        <v>0</v>
      </c>
      <c r="I1650" s="79">
        <f t="shared" si="127"/>
        <v>0</v>
      </c>
      <c r="J1650" s="79">
        <f t="shared" si="128"/>
        <v>0</v>
      </c>
      <c r="K1650" s="79">
        <f t="shared" si="129"/>
        <v>0</v>
      </c>
      <c r="L1650" s="121"/>
    </row>
    <row r="1651" spans="2:12" x14ac:dyDescent="0.35">
      <c r="B1651" s="111">
        <f t="shared" si="126"/>
        <v>1641</v>
      </c>
      <c r="C1651" s="82" t="s">
        <v>94</v>
      </c>
      <c r="D1651" s="81" t="s">
        <v>31</v>
      </c>
      <c r="E1651" s="78">
        <f>0.82*E1650</f>
        <v>2.46</v>
      </c>
      <c r="F1651" s="68">
        <v>71</v>
      </c>
      <c r="G1651" s="65">
        <v>97.61</v>
      </c>
      <c r="H1651" s="65">
        <f t="shared" si="130"/>
        <v>168.61</v>
      </c>
      <c r="I1651" s="79">
        <f t="shared" si="127"/>
        <v>174.66</v>
      </c>
      <c r="J1651" s="79">
        <f t="shared" si="128"/>
        <v>240.12</v>
      </c>
      <c r="K1651" s="79">
        <f t="shared" si="129"/>
        <v>414.78</v>
      </c>
      <c r="L1651" s="121"/>
    </row>
    <row r="1652" spans="2:12" ht="31" x14ac:dyDescent="0.35">
      <c r="B1652" s="111">
        <f t="shared" si="126"/>
        <v>1642</v>
      </c>
      <c r="C1652" s="64" t="s">
        <v>304</v>
      </c>
      <c r="D1652" s="81" t="s">
        <v>32</v>
      </c>
      <c r="E1652" s="78">
        <v>3</v>
      </c>
      <c r="F1652" s="68"/>
      <c r="G1652" s="65">
        <v>1464</v>
      </c>
      <c r="H1652" s="65">
        <f t="shared" si="130"/>
        <v>1464</v>
      </c>
      <c r="I1652" s="79">
        <f t="shared" si="127"/>
        <v>0</v>
      </c>
      <c r="J1652" s="79">
        <f t="shared" si="128"/>
        <v>4392</v>
      </c>
      <c r="K1652" s="79">
        <f t="shared" si="129"/>
        <v>4392</v>
      </c>
      <c r="L1652" s="121"/>
    </row>
    <row r="1653" spans="2:12" x14ac:dyDescent="0.35">
      <c r="B1653" s="111">
        <f t="shared" si="126"/>
        <v>1643</v>
      </c>
      <c r="C1653" s="64" t="s">
        <v>340</v>
      </c>
      <c r="D1653" s="81"/>
      <c r="E1653" s="78"/>
      <c r="F1653" s="65"/>
      <c r="G1653" s="123"/>
      <c r="H1653" s="65">
        <f t="shared" si="130"/>
        <v>0</v>
      </c>
      <c r="I1653" s="79">
        <f t="shared" si="127"/>
        <v>0</v>
      </c>
      <c r="J1653" s="79">
        <f t="shared" si="128"/>
        <v>0</v>
      </c>
      <c r="K1653" s="79">
        <f t="shared" si="129"/>
        <v>0</v>
      </c>
      <c r="L1653" s="121">
        <v>1</v>
      </c>
    </row>
    <row r="1654" spans="2:12" ht="31" x14ac:dyDescent="0.35">
      <c r="B1654" s="111">
        <f t="shared" si="126"/>
        <v>1644</v>
      </c>
      <c r="C1654" s="80" t="s">
        <v>309</v>
      </c>
      <c r="D1654" s="81" t="s">
        <v>32</v>
      </c>
      <c r="E1654" s="78">
        <v>1</v>
      </c>
      <c r="F1654" s="65">
        <v>2263</v>
      </c>
      <c r="G1654" s="65">
        <v>1700</v>
      </c>
      <c r="H1654" s="65">
        <f t="shared" si="130"/>
        <v>3963</v>
      </c>
      <c r="I1654" s="79">
        <f t="shared" si="127"/>
        <v>2263</v>
      </c>
      <c r="J1654" s="79">
        <f t="shared" si="128"/>
        <v>1700</v>
      </c>
      <c r="K1654" s="79">
        <f t="shared" si="129"/>
        <v>3963</v>
      </c>
      <c r="L1654" s="121"/>
    </row>
    <row r="1655" spans="2:12" ht="31" x14ac:dyDescent="0.35">
      <c r="B1655" s="111">
        <f t="shared" si="126"/>
        <v>1645</v>
      </c>
      <c r="C1655" s="80" t="s">
        <v>310</v>
      </c>
      <c r="D1655" s="81" t="s">
        <v>32</v>
      </c>
      <c r="E1655" s="78">
        <v>1</v>
      </c>
      <c r="F1655" s="65">
        <v>1303</v>
      </c>
      <c r="G1655" s="65">
        <v>1700</v>
      </c>
      <c r="H1655" s="65">
        <f t="shared" si="130"/>
        <v>3003</v>
      </c>
      <c r="I1655" s="79">
        <f t="shared" si="127"/>
        <v>1303</v>
      </c>
      <c r="J1655" s="79">
        <f t="shared" si="128"/>
        <v>1700</v>
      </c>
      <c r="K1655" s="79">
        <f t="shared" si="129"/>
        <v>3003</v>
      </c>
      <c r="L1655" s="121"/>
    </row>
    <row r="1656" spans="2:12" ht="31" x14ac:dyDescent="0.35">
      <c r="B1656" s="111">
        <f t="shared" si="126"/>
        <v>1646</v>
      </c>
      <c r="C1656" s="80" t="s">
        <v>63</v>
      </c>
      <c r="D1656" s="81" t="s">
        <v>27</v>
      </c>
      <c r="E1656" s="78">
        <f>0.41*1.1</f>
        <v>0.45100000000000001</v>
      </c>
      <c r="F1656" s="65">
        <v>855</v>
      </c>
      <c r="G1656" s="65">
        <v>1700</v>
      </c>
      <c r="H1656" s="65">
        <f t="shared" si="130"/>
        <v>2555</v>
      </c>
      <c r="I1656" s="79">
        <f t="shared" si="127"/>
        <v>385.61</v>
      </c>
      <c r="J1656" s="79">
        <f t="shared" si="128"/>
        <v>766.7</v>
      </c>
      <c r="K1656" s="79">
        <f t="shared" si="129"/>
        <v>1152.31</v>
      </c>
      <c r="L1656" s="121"/>
    </row>
    <row r="1657" spans="2:12" ht="33" x14ac:dyDescent="0.35">
      <c r="B1657" s="111">
        <f t="shared" si="126"/>
        <v>1647</v>
      </c>
      <c r="C1657" s="64" t="s">
        <v>362</v>
      </c>
      <c r="D1657" s="81" t="s">
        <v>26</v>
      </c>
      <c r="E1657" s="78">
        <f>75.27-19.87</f>
        <v>55.399999999999991</v>
      </c>
      <c r="F1657" s="68"/>
      <c r="G1657" s="65">
        <v>439</v>
      </c>
      <c r="H1657" s="65">
        <f t="shared" si="130"/>
        <v>439</v>
      </c>
      <c r="I1657" s="79">
        <f t="shared" si="127"/>
        <v>0</v>
      </c>
      <c r="J1657" s="79">
        <f t="shared" si="128"/>
        <v>24320.6</v>
      </c>
      <c r="K1657" s="79">
        <f t="shared" si="129"/>
        <v>24320.6</v>
      </c>
      <c r="L1657" s="121"/>
    </row>
    <row r="1658" spans="2:12" ht="30" x14ac:dyDescent="0.35">
      <c r="B1658" s="111">
        <f t="shared" si="126"/>
        <v>1648</v>
      </c>
      <c r="C1658" s="98" t="s">
        <v>270</v>
      </c>
      <c r="D1658" s="99" t="s">
        <v>27</v>
      </c>
      <c r="E1658" s="100">
        <v>7.2</v>
      </c>
      <c r="F1658" s="101"/>
      <c r="G1658" s="106"/>
      <c r="H1658" s="101">
        <f t="shared" si="130"/>
        <v>0</v>
      </c>
      <c r="I1658" s="101">
        <f t="shared" si="127"/>
        <v>0</v>
      </c>
      <c r="J1658" s="101">
        <f t="shared" si="128"/>
        <v>0</v>
      </c>
      <c r="K1658" s="101">
        <f t="shared" si="129"/>
        <v>0</v>
      </c>
      <c r="L1658" s="121"/>
    </row>
    <row r="1659" spans="2:12" ht="31" x14ac:dyDescent="0.35">
      <c r="B1659" s="111">
        <f t="shared" si="126"/>
        <v>1649</v>
      </c>
      <c r="C1659" s="64" t="s">
        <v>348</v>
      </c>
      <c r="D1659" s="77" t="s">
        <v>26</v>
      </c>
      <c r="E1659" s="78">
        <f>0.97*72.7</f>
        <v>70.519000000000005</v>
      </c>
      <c r="F1659" s="65"/>
      <c r="G1659" s="65">
        <v>300</v>
      </c>
      <c r="H1659" s="65">
        <f t="shared" si="130"/>
        <v>300</v>
      </c>
      <c r="I1659" s="79">
        <f t="shared" si="127"/>
        <v>0</v>
      </c>
      <c r="J1659" s="79">
        <f t="shared" si="128"/>
        <v>21155.7</v>
      </c>
      <c r="K1659" s="79">
        <f t="shared" si="129"/>
        <v>21155.7</v>
      </c>
      <c r="L1659" s="121"/>
    </row>
    <row r="1660" spans="2:12" x14ac:dyDescent="0.35">
      <c r="B1660" s="111">
        <f t="shared" si="126"/>
        <v>1650</v>
      </c>
      <c r="C1660" s="64" t="s">
        <v>19</v>
      </c>
      <c r="D1660" s="77" t="s">
        <v>26</v>
      </c>
      <c r="E1660" s="78">
        <f>E1659/97*3</f>
        <v>2.181</v>
      </c>
      <c r="F1660" s="65"/>
      <c r="G1660" s="65">
        <v>1500</v>
      </c>
      <c r="H1660" s="65">
        <f t="shared" si="130"/>
        <v>1500</v>
      </c>
      <c r="I1660" s="79">
        <f t="shared" si="127"/>
        <v>0</v>
      </c>
      <c r="J1660" s="79">
        <f t="shared" si="128"/>
        <v>3271.5</v>
      </c>
      <c r="K1660" s="79">
        <f t="shared" si="129"/>
        <v>3271.5</v>
      </c>
      <c r="L1660" s="121"/>
    </row>
    <row r="1661" spans="2:12" x14ac:dyDescent="0.35">
      <c r="B1661" s="111">
        <f t="shared" si="126"/>
        <v>1651</v>
      </c>
      <c r="C1661" s="64" t="s">
        <v>184</v>
      </c>
      <c r="D1661" s="77" t="s">
        <v>25</v>
      </c>
      <c r="E1661" s="78">
        <f>E1658*0.75</f>
        <v>5.4</v>
      </c>
      <c r="F1661" s="65"/>
      <c r="G1661" s="123"/>
      <c r="H1661" s="65">
        <f t="shared" si="130"/>
        <v>0</v>
      </c>
      <c r="I1661" s="79">
        <f t="shared" si="127"/>
        <v>0</v>
      </c>
      <c r="J1661" s="79">
        <f t="shared" si="128"/>
        <v>0</v>
      </c>
      <c r="K1661" s="79">
        <f t="shared" si="129"/>
        <v>0</v>
      </c>
      <c r="L1661" s="121"/>
    </row>
    <row r="1662" spans="2:12" ht="31" x14ac:dyDescent="0.35">
      <c r="B1662" s="111">
        <f t="shared" si="126"/>
        <v>1652</v>
      </c>
      <c r="C1662" s="64" t="s">
        <v>194</v>
      </c>
      <c r="D1662" s="77" t="s">
        <v>25</v>
      </c>
      <c r="E1662" s="78">
        <f>E1658*0.48</f>
        <v>3.456</v>
      </c>
      <c r="F1662" s="65">
        <f>1973*0.15</f>
        <v>295.95</v>
      </c>
      <c r="G1662" s="65">
        <f>1500*0.15</f>
        <v>225</v>
      </c>
      <c r="H1662" s="65">
        <f t="shared" si="130"/>
        <v>520.95000000000005</v>
      </c>
      <c r="I1662" s="79">
        <f t="shared" si="127"/>
        <v>1022.8</v>
      </c>
      <c r="J1662" s="79">
        <f t="shared" si="128"/>
        <v>777.6</v>
      </c>
      <c r="K1662" s="79">
        <f t="shared" si="129"/>
        <v>1800.4</v>
      </c>
      <c r="L1662" s="121"/>
    </row>
    <row r="1663" spans="2:12" x14ac:dyDescent="0.35">
      <c r="B1663" s="111">
        <f t="shared" si="126"/>
        <v>1653</v>
      </c>
      <c r="C1663" s="64" t="s">
        <v>20</v>
      </c>
      <c r="D1663" s="77" t="s">
        <v>26</v>
      </c>
      <c r="E1663" s="78">
        <f>0.34*E1658*0.1</f>
        <v>0.24480000000000005</v>
      </c>
      <c r="F1663" s="65"/>
      <c r="G1663" s="65">
        <v>5860</v>
      </c>
      <c r="H1663" s="65">
        <f t="shared" si="130"/>
        <v>5860</v>
      </c>
      <c r="I1663" s="79">
        <f t="shared" si="127"/>
        <v>0</v>
      </c>
      <c r="J1663" s="79">
        <f t="shared" si="128"/>
        <v>1434.53</v>
      </c>
      <c r="K1663" s="79">
        <f t="shared" si="129"/>
        <v>1434.53</v>
      </c>
      <c r="L1663" s="121"/>
    </row>
    <row r="1664" spans="2:12" x14ac:dyDescent="0.35">
      <c r="B1664" s="111">
        <f t="shared" si="126"/>
        <v>1654</v>
      </c>
      <c r="C1664" s="80" t="s">
        <v>159</v>
      </c>
      <c r="D1664" s="77" t="s">
        <v>26</v>
      </c>
      <c r="E1664" s="78">
        <f>E1663*1.02</f>
        <v>0.24969600000000006</v>
      </c>
      <c r="F1664" s="65">
        <v>6700</v>
      </c>
      <c r="G1664" s="123"/>
      <c r="H1664" s="65">
        <f t="shared" si="130"/>
        <v>6700</v>
      </c>
      <c r="I1664" s="79">
        <f t="shared" si="127"/>
        <v>1672.96</v>
      </c>
      <c r="J1664" s="79">
        <f t="shared" si="128"/>
        <v>0</v>
      </c>
      <c r="K1664" s="79">
        <f t="shared" si="129"/>
        <v>1672.96</v>
      </c>
      <c r="L1664" s="121"/>
    </row>
    <row r="1665" spans="2:12" x14ac:dyDescent="0.35">
      <c r="B1665" s="111">
        <f t="shared" si="126"/>
        <v>1655</v>
      </c>
      <c r="C1665" s="64" t="s">
        <v>28</v>
      </c>
      <c r="D1665" s="77" t="s">
        <v>26</v>
      </c>
      <c r="E1665" s="78">
        <f>E1658*0.8/10</f>
        <v>0.57600000000000007</v>
      </c>
      <c r="F1665" s="65"/>
      <c r="G1665" s="65">
        <v>5860</v>
      </c>
      <c r="H1665" s="65">
        <f t="shared" si="130"/>
        <v>5860</v>
      </c>
      <c r="I1665" s="79">
        <f t="shared" si="127"/>
        <v>0</v>
      </c>
      <c r="J1665" s="79">
        <f t="shared" si="128"/>
        <v>3375.36</v>
      </c>
      <c r="K1665" s="79">
        <f t="shared" si="129"/>
        <v>3375.36</v>
      </c>
      <c r="L1665" s="121"/>
    </row>
    <row r="1666" spans="2:12" x14ac:dyDescent="0.35">
      <c r="B1666" s="111">
        <f t="shared" si="126"/>
        <v>1656</v>
      </c>
      <c r="C1666" s="80" t="s">
        <v>29</v>
      </c>
      <c r="D1666" s="77" t="s">
        <v>26</v>
      </c>
      <c r="E1666" s="78">
        <f>E1665*1.02</f>
        <v>0.58752000000000004</v>
      </c>
      <c r="F1666" s="65">
        <v>7100</v>
      </c>
      <c r="G1666" s="123"/>
      <c r="H1666" s="65">
        <f t="shared" si="130"/>
        <v>7100</v>
      </c>
      <c r="I1666" s="79">
        <f t="shared" si="127"/>
        <v>4171.3900000000003</v>
      </c>
      <c r="J1666" s="79">
        <f t="shared" si="128"/>
        <v>0</v>
      </c>
      <c r="K1666" s="79">
        <f t="shared" si="129"/>
        <v>4171.3900000000003</v>
      </c>
      <c r="L1666" s="121"/>
    </row>
    <row r="1667" spans="2:12" x14ac:dyDescent="0.35">
      <c r="B1667" s="111">
        <f t="shared" si="126"/>
        <v>1657</v>
      </c>
      <c r="C1667" s="80" t="s">
        <v>30</v>
      </c>
      <c r="D1667" s="77" t="s">
        <v>31</v>
      </c>
      <c r="E1667" s="78">
        <f>E1658*1.22</f>
        <v>8.7840000000000007</v>
      </c>
      <c r="F1667" s="65">
        <v>118.9</v>
      </c>
      <c r="G1667" s="123"/>
      <c r="H1667" s="65">
        <f t="shared" si="130"/>
        <v>118.9</v>
      </c>
      <c r="I1667" s="79">
        <f t="shared" si="127"/>
        <v>1044.42</v>
      </c>
      <c r="J1667" s="79">
        <f t="shared" si="128"/>
        <v>0</v>
      </c>
      <c r="K1667" s="79">
        <f t="shared" si="129"/>
        <v>1044.42</v>
      </c>
      <c r="L1667" s="121"/>
    </row>
    <row r="1668" spans="2:12" x14ac:dyDescent="0.35">
      <c r="B1668" s="111">
        <f t="shared" si="126"/>
        <v>1658</v>
      </c>
      <c r="C1668" s="64" t="s">
        <v>189</v>
      </c>
      <c r="D1668" s="77" t="s">
        <v>27</v>
      </c>
      <c r="E1668" s="78">
        <f>E1658</f>
        <v>7.2</v>
      </c>
      <c r="F1668" s="65"/>
      <c r="G1668" s="65">
        <v>2928</v>
      </c>
      <c r="H1668" s="65">
        <f t="shared" si="130"/>
        <v>2928</v>
      </c>
      <c r="I1668" s="79">
        <f t="shared" si="127"/>
        <v>0</v>
      </c>
      <c r="J1668" s="79">
        <f t="shared" si="128"/>
        <v>21081.599999999999</v>
      </c>
      <c r="K1668" s="79">
        <f t="shared" si="129"/>
        <v>21081.599999999999</v>
      </c>
      <c r="L1668" s="121"/>
    </row>
    <row r="1669" spans="2:12" ht="31" x14ac:dyDescent="0.35">
      <c r="B1669" s="111">
        <f t="shared" si="126"/>
        <v>1659</v>
      </c>
      <c r="C1669" s="80" t="s">
        <v>195</v>
      </c>
      <c r="D1669" s="77" t="s">
        <v>27</v>
      </c>
      <c r="E1669" s="78">
        <f>E1668*1.1</f>
        <v>7.9200000000000008</v>
      </c>
      <c r="F1669" s="65">
        <v>855</v>
      </c>
      <c r="G1669" s="65"/>
      <c r="H1669" s="65">
        <f t="shared" si="130"/>
        <v>855</v>
      </c>
      <c r="I1669" s="79">
        <f t="shared" si="127"/>
        <v>6771.6</v>
      </c>
      <c r="J1669" s="79">
        <f t="shared" si="128"/>
        <v>0</v>
      </c>
      <c r="K1669" s="79">
        <f t="shared" si="129"/>
        <v>6771.6</v>
      </c>
      <c r="L1669" s="121"/>
    </row>
    <row r="1670" spans="2:12" ht="33" x14ac:dyDescent="0.35">
      <c r="B1670" s="111">
        <f t="shared" si="126"/>
        <v>1660</v>
      </c>
      <c r="C1670" s="64" t="s">
        <v>355</v>
      </c>
      <c r="D1670" s="81" t="s">
        <v>26</v>
      </c>
      <c r="E1670" s="78">
        <v>79.81</v>
      </c>
      <c r="F1670" s="65"/>
      <c r="G1670" s="65">
        <v>439</v>
      </c>
      <c r="H1670" s="65">
        <f t="shared" si="130"/>
        <v>439</v>
      </c>
      <c r="I1670" s="79">
        <f t="shared" si="127"/>
        <v>0</v>
      </c>
      <c r="J1670" s="79">
        <f t="shared" si="128"/>
        <v>35036.589999999997</v>
      </c>
      <c r="K1670" s="79">
        <f t="shared" si="129"/>
        <v>35036.589999999997</v>
      </c>
      <c r="L1670" s="121"/>
    </row>
    <row r="1671" spans="2:12" ht="45" x14ac:dyDescent="0.35">
      <c r="B1671" s="111">
        <f t="shared" si="126"/>
        <v>1661</v>
      </c>
      <c r="C1671" s="98" t="s">
        <v>271</v>
      </c>
      <c r="D1671" s="99" t="s">
        <v>27</v>
      </c>
      <c r="E1671" s="100">
        <v>3.9</v>
      </c>
      <c r="F1671" s="101"/>
      <c r="G1671" s="106"/>
      <c r="H1671" s="101">
        <f t="shared" si="130"/>
        <v>0</v>
      </c>
      <c r="I1671" s="101">
        <f t="shared" si="127"/>
        <v>0</v>
      </c>
      <c r="J1671" s="101">
        <f t="shared" si="128"/>
        <v>0</v>
      </c>
      <c r="K1671" s="101">
        <f t="shared" si="129"/>
        <v>0</v>
      </c>
      <c r="L1671" s="121"/>
    </row>
    <row r="1672" spans="2:12" ht="31" x14ac:dyDescent="0.35">
      <c r="B1672" s="111">
        <f t="shared" si="126"/>
        <v>1662</v>
      </c>
      <c r="C1672" s="64" t="s">
        <v>348</v>
      </c>
      <c r="D1672" s="77" t="s">
        <v>26</v>
      </c>
      <c r="E1672" s="78">
        <f>0.97*41.32</f>
        <v>40.080399999999997</v>
      </c>
      <c r="F1672" s="65"/>
      <c r="G1672" s="65">
        <v>300</v>
      </c>
      <c r="H1672" s="65">
        <f t="shared" si="130"/>
        <v>300</v>
      </c>
      <c r="I1672" s="79">
        <f t="shared" si="127"/>
        <v>0</v>
      </c>
      <c r="J1672" s="79">
        <f t="shared" si="128"/>
        <v>12024.12</v>
      </c>
      <c r="K1672" s="79">
        <f t="shared" si="129"/>
        <v>12024.12</v>
      </c>
      <c r="L1672" s="121"/>
    </row>
    <row r="1673" spans="2:12" x14ac:dyDescent="0.35">
      <c r="B1673" s="111">
        <f t="shared" si="126"/>
        <v>1663</v>
      </c>
      <c r="C1673" s="64" t="s">
        <v>19</v>
      </c>
      <c r="D1673" s="77" t="s">
        <v>26</v>
      </c>
      <c r="E1673" s="78">
        <f>E1672/97*3</f>
        <v>1.2395999999999998</v>
      </c>
      <c r="F1673" s="65"/>
      <c r="G1673" s="65">
        <v>1500</v>
      </c>
      <c r="H1673" s="65">
        <f t="shared" si="130"/>
        <v>1500</v>
      </c>
      <c r="I1673" s="79">
        <f t="shared" si="127"/>
        <v>0</v>
      </c>
      <c r="J1673" s="79">
        <f t="shared" si="128"/>
        <v>1859.4</v>
      </c>
      <c r="K1673" s="79">
        <f t="shared" si="129"/>
        <v>1859.4</v>
      </c>
      <c r="L1673" s="121"/>
    </row>
    <row r="1674" spans="2:12" x14ac:dyDescent="0.35">
      <c r="B1674" s="111">
        <f t="shared" si="126"/>
        <v>1664</v>
      </c>
      <c r="C1674" s="64" t="s">
        <v>184</v>
      </c>
      <c r="D1674" s="77" t="s">
        <v>25</v>
      </c>
      <c r="E1674" s="78">
        <f>E1671*0.7*2</f>
        <v>5.46</v>
      </c>
      <c r="F1674" s="65"/>
      <c r="G1674" s="123"/>
      <c r="H1674" s="65">
        <f t="shared" si="130"/>
        <v>0</v>
      </c>
      <c r="I1674" s="79">
        <f t="shared" si="127"/>
        <v>0</v>
      </c>
      <c r="J1674" s="79">
        <f t="shared" si="128"/>
        <v>0</v>
      </c>
      <c r="K1674" s="79">
        <f t="shared" si="129"/>
        <v>0</v>
      </c>
      <c r="L1674" s="121"/>
    </row>
    <row r="1675" spans="2:12" ht="31" x14ac:dyDescent="0.35">
      <c r="B1675" s="111">
        <f t="shared" si="126"/>
        <v>1665</v>
      </c>
      <c r="C1675" s="64" t="s">
        <v>232</v>
      </c>
      <c r="D1675" s="77" t="s">
        <v>25</v>
      </c>
      <c r="E1675" s="78">
        <f>E1671*0.45*2</f>
        <v>3.51</v>
      </c>
      <c r="F1675" s="65">
        <f>1973*0.15</f>
        <v>295.95</v>
      </c>
      <c r="G1675" s="65">
        <f>1500*0.15</f>
        <v>225</v>
      </c>
      <c r="H1675" s="65">
        <f t="shared" si="130"/>
        <v>520.95000000000005</v>
      </c>
      <c r="I1675" s="79">
        <f t="shared" si="127"/>
        <v>1038.78</v>
      </c>
      <c r="J1675" s="79">
        <f t="shared" si="128"/>
        <v>789.75</v>
      </c>
      <c r="K1675" s="79">
        <f t="shared" si="129"/>
        <v>1828.53</v>
      </c>
      <c r="L1675" s="121"/>
    </row>
    <row r="1676" spans="2:12" x14ac:dyDescent="0.35">
      <c r="B1676" s="111">
        <f t="shared" si="126"/>
        <v>1666</v>
      </c>
      <c r="C1676" s="64" t="s">
        <v>20</v>
      </c>
      <c r="D1676" s="77" t="s">
        <v>26</v>
      </c>
      <c r="E1676" s="78">
        <f>0.32*2*E1671*0.1</f>
        <v>0.24960000000000002</v>
      </c>
      <c r="F1676" s="65"/>
      <c r="G1676" s="65">
        <v>5860</v>
      </c>
      <c r="H1676" s="65">
        <f t="shared" si="130"/>
        <v>5860</v>
      </c>
      <c r="I1676" s="79">
        <f t="shared" si="127"/>
        <v>0</v>
      </c>
      <c r="J1676" s="79">
        <f t="shared" si="128"/>
        <v>1462.66</v>
      </c>
      <c r="K1676" s="79">
        <f t="shared" si="129"/>
        <v>1462.66</v>
      </c>
      <c r="L1676" s="121"/>
    </row>
    <row r="1677" spans="2:12" x14ac:dyDescent="0.35">
      <c r="B1677" s="111">
        <f t="shared" ref="B1677:B1740" si="131">B1676+1</f>
        <v>1667</v>
      </c>
      <c r="C1677" s="80" t="s">
        <v>159</v>
      </c>
      <c r="D1677" s="77" t="s">
        <v>26</v>
      </c>
      <c r="E1677" s="78">
        <f>E1676*1.02</f>
        <v>0.25459200000000004</v>
      </c>
      <c r="F1677" s="65">
        <v>6700</v>
      </c>
      <c r="G1677" s="123"/>
      <c r="H1677" s="65">
        <f t="shared" si="130"/>
        <v>6700</v>
      </c>
      <c r="I1677" s="79">
        <f t="shared" ref="I1677:I1740" si="132">ROUND(F1677*E1677,2)</f>
        <v>1705.77</v>
      </c>
      <c r="J1677" s="79">
        <f t="shared" ref="J1677:J1740" si="133">ROUND(G1677*E1677,2)</f>
        <v>0</v>
      </c>
      <c r="K1677" s="79">
        <f t="shared" ref="K1677:K1740" si="134">I1677+J1677</f>
        <v>1705.77</v>
      </c>
      <c r="L1677" s="121"/>
    </row>
    <row r="1678" spans="2:12" x14ac:dyDescent="0.35">
      <c r="B1678" s="111">
        <f t="shared" si="131"/>
        <v>1668</v>
      </c>
      <c r="C1678" s="64" t="s">
        <v>28</v>
      </c>
      <c r="D1678" s="77" t="s">
        <v>26</v>
      </c>
      <c r="E1678" s="78">
        <f>0.73*2*E1671*0.1</f>
        <v>0.56940000000000002</v>
      </c>
      <c r="F1678" s="65"/>
      <c r="G1678" s="65">
        <v>5860</v>
      </c>
      <c r="H1678" s="65">
        <f t="shared" si="130"/>
        <v>5860</v>
      </c>
      <c r="I1678" s="79">
        <f t="shared" si="132"/>
        <v>0</v>
      </c>
      <c r="J1678" s="79">
        <f t="shared" si="133"/>
        <v>3336.68</v>
      </c>
      <c r="K1678" s="79">
        <f t="shared" si="134"/>
        <v>3336.68</v>
      </c>
      <c r="L1678" s="121"/>
    </row>
    <row r="1679" spans="2:12" x14ac:dyDescent="0.35">
      <c r="B1679" s="111">
        <f t="shared" si="131"/>
        <v>1669</v>
      </c>
      <c r="C1679" s="80" t="s">
        <v>29</v>
      </c>
      <c r="D1679" s="77" t="s">
        <v>26</v>
      </c>
      <c r="E1679" s="78">
        <f>E1678*1.02</f>
        <v>0.58078800000000008</v>
      </c>
      <c r="F1679" s="65">
        <v>7100</v>
      </c>
      <c r="G1679" s="123"/>
      <c r="H1679" s="65">
        <f t="shared" ref="H1679:H1742" si="135">F1679+G1679</f>
        <v>7100</v>
      </c>
      <c r="I1679" s="79">
        <f t="shared" si="132"/>
        <v>4123.59</v>
      </c>
      <c r="J1679" s="79">
        <f t="shared" si="133"/>
        <v>0</v>
      </c>
      <c r="K1679" s="79">
        <f t="shared" si="134"/>
        <v>4123.59</v>
      </c>
      <c r="L1679" s="121"/>
    </row>
    <row r="1680" spans="2:12" x14ac:dyDescent="0.35">
      <c r="B1680" s="111">
        <f t="shared" si="131"/>
        <v>1670</v>
      </c>
      <c r="C1680" s="80" t="s">
        <v>30</v>
      </c>
      <c r="D1680" s="77" t="s">
        <v>31</v>
      </c>
      <c r="E1680" s="78">
        <f>31.39*E1671*0.1*2</f>
        <v>24.484200000000001</v>
      </c>
      <c r="F1680" s="65">
        <v>118.9</v>
      </c>
      <c r="G1680" s="123"/>
      <c r="H1680" s="65">
        <f t="shared" si="135"/>
        <v>118.9</v>
      </c>
      <c r="I1680" s="79">
        <f t="shared" si="132"/>
        <v>2911.17</v>
      </c>
      <c r="J1680" s="79">
        <f t="shared" si="133"/>
        <v>0</v>
      </c>
      <c r="K1680" s="79">
        <f t="shared" si="134"/>
        <v>2911.17</v>
      </c>
      <c r="L1680" s="121"/>
    </row>
    <row r="1681" spans="2:12" x14ac:dyDescent="0.35">
      <c r="B1681" s="111">
        <f t="shared" si="131"/>
        <v>1671</v>
      </c>
      <c r="C1681" s="64" t="s">
        <v>233</v>
      </c>
      <c r="D1681" s="77" t="s">
        <v>27</v>
      </c>
      <c r="E1681" s="78">
        <f>E1671</f>
        <v>3.9</v>
      </c>
      <c r="F1681" s="65"/>
      <c r="G1681" s="65">
        <v>6000</v>
      </c>
      <c r="H1681" s="65">
        <f t="shared" si="135"/>
        <v>6000</v>
      </c>
      <c r="I1681" s="79">
        <f t="shared" si="132"/>
        <v>0</v>
      </c>
      <c r="J1681" s="79">
        <f t="shared" si="133"/>
        <v>23400</v>
      </c>
      <c r="K1681" s="79">
        <f t="shared" si="134"/>
        <v>23400</v>
      </c>
      <c r="L1681" s="121"/>
    </row>
    <row r="1682" spans="2:12" x14ac:dyDescent="0.35">
      <c r="B1682" s="111">
        <f t="shared" si="131"/>
        <v>1672</v>
      </c>
      <c r="C1682" s="80" t="s">
        <v>353</v>
      </c>
      <c r="D1682" s="77" t="s">
        <v>27</v>
      </c>
      <c r="E1682" s="78">
        <f>E1681*1.1*2</f>
        <v>8.58</v>
      </c>
      <c r="F1682" s="65">
        <v>800</v>
      </c>
      <c r="G1682" s="65"/>
      <c r="H1682" s="65">
        <f t="shared" si="135"/>
        <v>800</v>
      </c>
      <c r="I1682" s="79">
        <f t="shared" si="132"/>
        <v>6864</v>
      </c>
      <c r="J1682" s="79">
        <f t="shared" si="133"/>
        <v>0</v>
      </c>
      <c r="K1682" s="79">
        <f t="shared" si="134"/>
        <v>6864</v>
      </c>
      <c r="L1682" s="121"/>
    </row>
    <row r="1683" spans="2:12" ht="33" x14ac:dyDescent="0.35">
      <c r="B1683" s="111">
        <f t="shared" si="131"/>
        <v>1673</v>
      </c>
      <c r="C1683" s="64" t="s">
        <v>355</v>
      </c>
      <c r="D1683" s="81" t="s">
        <v>26</v>
      </c>
      <c r="E1683" s="78">
        <v>43.37</v>
      </c>
      <c r="F1683" s="65"/>
      <c r="G1683" s="65">
        <v>439</v>
      </c>
      <c r="H1683" s="65">
        <f t="shared" si="135"/>
        <v>439</v>
      </c>
      <c r="I1683" s="79">
        <f t="shared" si="132"/>
        <v>0</v>
      </c>
      <c r="J1683" s="79">
        <f t="shared" si="133"/>
        <v>19039.43</v>
      </c>
      <c r="K1683" s="79">
        <f t="shared" si="134"/>
        <v>19039.43</v>
      </c>
      <c r="L1683" s="121"/>
    </row>
    <row r="1684" spans="2:12" ht="45" x14ac:dyDescent="0.35">
      <c r="B1684" s="111">
        <f t="shared" si="131"/>
        <v>1674</v>
      </c>
      <c r="C1684" s="98" t="s">
        <v>341</v>
      </c>
      <c r="D1684" s="99" t="s">
        <v>27</v>
      </c>
      <c r="E1684" s="100">
        <v>3</v>
      </c>
      <c r="F1684" s="101"/>
      <c r="G1684" s="106"/>
      <c r="H1684" s="101">
        <f t="shared" si="135"/>
        <v>0</v>
      </c>
      <c r="I1684" s="101">
        <f t="shared" si="132"/>
        <v>0</v>
      </c>
      <c r="J1684" s="101">
        <f t="shared" si="133"/>
        <v>0</v>
      </c>
      <c r="K1684" s="101">
        <f t="shared" si="134"/>
        <v>0</v>
      </c>
      <c r="L1684" s="121"/>
    </row>
    <row r="1685" spans="2:12" ht="31" x14ac:dyDescent="0.35">
      <c r="B1685" s="111">
        <f t="shared" si="131"/>
        <v>1675</v>
      </c>
      <c r="C1685" s="64" t="s">
        <v>348</v>
      </c>
      <c r="D1685" s="77" t="s">
        <v>26</v>
      </c>
      <c r="E1685" s="78">
        <f>0.97*2.25</f>
        <v>2.1825000000000001</v>
      </c>
      <c r="F1685" s="65"/>
      <c r="G1685" s="65">
        <v>300</v>
      </c>
      <c r="H1685" s="65">
        <f t="shared" si="135"/>
        <v>300</v>
      </c>
      <c r="I1685" s="79">
        <f t="shared" si="132"/>
        <v>0</v>
      </c>
      <c r="J1685" s="79">
        <f t="shared" si="133"/>
        <v>654.75</v>
      </c>
      <c r="K1685" s="79">
        <f t="shared" si="134"/>
        <v>654.75</v>
      </c>
      <c r="L1685" s="121"/>
    </row>
    <row r="1686" spans="2:12" x14ac:dyDescent="0.35">
      <c r="B1686" s="111">
        <f t="shared" si="131"/>
        <v>1676</v>
      </c>
      <c r="C1686" s="64" t="s">
        <v>19</v>
      </c>
      <c r="D1686" s="77" t="s">
        <v>26</v>
      </c>
      <c r="E1686" s="78">
        <f>E1685/97*3</f>
        <v>6.7500000000000004E-2</v>
      </c>
      <c r="F1686" s="65"/>
      <c r="G1686" s="65">
        <v>1500</v>
      </c>
      <c r="H1686" s="65">
        <f t="shared" si="135"/>
        <v>1500</v>
      </c>
      <c r="I1686" s="79">
        <f t="shared" si="132"/>
        <v>0</v>
      </c>
      <c r="J1686" s="79">
        <f t="shared" si="133"/>
        <v>101.25</v>
      </c>
      <c r="K1686" s="79">
        <f t="shared" si="134"/>
        <v>101.25</v>
      </c>
      <c r="L1686" s="121"/>
    </row>
    <row r="1687" spans="2:12" x14ac:dyDescent="0.35">
      <c r="B1687" s="111">
        <f t="shared" si="131"/>
        <v>1677</v>
      </c>
      <c r="C1687" s="64" t="s">
        <v>184</v>
      </c>
      <c r="D1687" s="77" t="s">
        <v>25</v>
      </c>
      <c r="E1687" s="78">
        <f>E1684*0.7*2</f>
        <v>4.1999999999999993</v>
      </c>
      <c r="F1687" s="65"/>
      <c r="G1687" s="123"/>
      <c r="H1687" s="65">
        <f t="shared" si="135"/>
        <v>0</v>
      </c>
      <c r="I1687" s="79">
        <f t="shared" si="132"/>
        <v>0</v>
      </c>
      <c r="J1687" s="79">
        <f t="shared" si="133"/>
        <v>0</v>
      </c>
      <c r="K1687" s="79">
        <f t="shared" si="134"/>
        <v>0</v>
      </c>
      <c r="L1687" s="121"/>
    </row>
    <row r="1688" spans="2:12" ht="31" x14ac:dyDescent="0.35">
      <c r="B1688" s="111">
        <f t="shared" si="131"/>
        <v>1678</v>
      </c>
      <c r="C1688" s="64" t="s">
        <v>232</v>
      </c>
      <c r="D1688" s="77" t="s">
        <v>25</v>
      </c>
      <c r="E1688" s="78">
        <f>E1684*0.45*2</f>
        <v>2.7</v>
      </c>
      <c r="F1688" s="65">
        <f>1973*0.15</f>
        <v>295.95</v>
      </c>
      <c r="G1688" s="65">
        <f>1500*0.15</f>
        <v>225</v>
      </c>
      <c r="H1688" s="65">
        <f t="shared" si="135"/>
        <v>520.95000000000005</v>
      </c>
      <c r="I1688" s="79">
        <f t="shared" si="132"/>
        <v>799.07</v>
      </c>
      <c r="J1688" s="79">
        <f t="shared" si="133"/>
        <v>607.5</v>
      </c>
      <c r="K1688" s="79">
        <f t="shared" si="134"/>
        <v>1406.5700000000002</v>
      </c>
      <c r="L1688" s="121"/>
    </row>
    <row r="1689" spans="2:12" x14ac:dyDescent="0.35">
      <c r="B1689" s="111">
        <f t="shared" si="131"/>
        <v>1679</v>
      </c>
      <c r="C1689" s="64" t="s">
        <v>20</v>
      </c>
      <c r="D1689" s="77" t="s">
        <v>26</v>
      </c>
      <c r="E1689" s="78">
        <f>0.32*2*E1684*0.1</f>
        <v>0.192</v>
      </c>
      <c r="F1689" s="65"/>
      <c r="G1689" s="65">
        <v>5860</v>
      </c>
      <c r="H1689" s="65">
        <f t="shared" si="135"/>
        <v>5860</v>
      </c>
      <c r="I1689" s="79">
        <f t="shared" si="132"/>
        <v>0</v>
      </c>
      <c r="J1689" s="79">
        <f t="shared" si="133"/>
        <v>1125.1199999999999</v>
      </c>
      <c r="K1689" s="79">
        <f t="shared" si="134"/>
        <v>1125.1199999999999</v>
      </c>
      <c r="L1689" s="121"/>
    </row>
    <row r="1690" spans="2:12" x14ac:dyDescent="0.35">
      <c r="B1690" s="111">
        <f t="shared" si="131"/>
        <v>1680</v>
      </c>
      <c r="C1690" s="80" t="s">
        <v>159</v>
      </c>
      <c r="D1690" s="77" t="s">
        <v>26</v>
      </c>
      <c r="E1690" s="78">
        <f>E1689*1.02</f>
        <v>0.19584000000000001</v>
      </c>
      <c r="F1690" s="65">
        <v>6700</v>
      </c>
      <c r="G1690" s="123"/>
      <c r="H1690" s="65">
        <f t="shared" si="135"/>
        <v>6700</v>
      </c>
      <c r="I1690" s="79">
        <f t="shared" si="132"/>
        <v>1312.13</v>
      </c>
      <c r="J1690" s="79">
        <f t="shared" si="133"/>
        <v>0</v>
      </c>
      <c r="K1690" s="79">
        <f t="shared" si="134"/>
        <v>1312.13</v>
      </c>
      <c r="L1690" s="121"/>
    </row>
    <row r="1691" spans="2:12" x14ac:dyDescent="0.35">
      <c r="B1691" s="111">
        <f t="shared" si="131"/>
        <v>1681</v>
      </c>
      <c r="C1691" s="64" t="s">
        <v>28</v>
      </c>
      <c r="D1691" s="77" t="s">
        <v>26</v>
      </c>
      <c r="E1691" s="78">
        <f>0.73*2*E1684*0.1</f>
        <v>0.438</v>
      </c>
      <c r="F1691" s="65"/>
      <c r="G1691" s="65">
        <v>5860</v>
      </c>
      <c r="H1691" s="65">
        <f t="shared" si="135"/>
        <v>5860</v>
      </c>
      <c r="I1691" s="79">
        <f t="shared" si="132"/>
        <v>0</v>
      </c>
      <c r="J1691" s="79">
        <f t="shared" si="133"/>
        <v>2566.6799999999998</v>
      </c>
      <c r="K1691" s="79">
        <f t="shared" si="134"/>
        <v>2566.6799999999998</v>
      </c>
      <c r="L1691" s="121"/>
    </row>
    <row r="1692" spans="2:12" x14ac:dyDescent="0.35">
      <c r="B1692" s="111">
        <f t="shared" si="131"/>
        <v>1682</v>
      </c>
      <c r="C1692" s="80" t="s">
        <v>29</v>
      </c>
      <c r="D1692" s="77" t="s">
        <v>26</v>
      </c>
      <c r="E1692" s="78">
        <f>E1691*1.02</f>
        <v>0.44675999999999999</v>
      </c>
      <c r="F1692" s="65">
        <v>7100</v>
      </c>
      <c r="G1692" s="123"/>
      <c r="H1692" s="65">
        <f t="shared" si="135"/>
        <v>7100</v>
      </c>
      <c r="I1692" s="79">
        <f t="shared" si="132"/>
        <v>3172</v>
      </c>
      <c r="J1692" s="79">
        <f t="shared" si="133"/>
        <v>0</v>
      </c>
      <c r="K1692" s="79">
        <f t="shared" si="134"/>
        <v>3172</v>
      </c>
      <c r="L1692" s="121"/>
    </row>
    <row r="1693" spans="2:12" x14ac:dyDescent="0.35">
      <c r="B1693" s="111">
        <f t="shared" si="131"/>
        <v>1683</v>
      </c>
      <c r="C1693" s="80" t="s">
        <v>30</v>
      </c>
      <c r="D1693" s="77" t="s">
        <v>31</v>
      </c>
      <c r="E1693" s="78">
        <f>31.39*E1684*0.1*2</f>
        <v>18.834</v>
      </c>
      <c r="F1693" s="65">
        <v>118.9</v>
      </c>
      <c r="G1693" s="123"/>
      <c r="H1693" s="65">
        <f t="shared" si="135"/>
        <v>118.9</v>
      </c>
      <c r="I1693" s="79">
        <f t="shared" si="132"/>
        <v>2239.36</v>
      </c>
      <c r="J1693" s="79">
        <f t="shared" si="133"/>
        <v>0</v>
      </c>
      <c r="K1693" s="79">
        <f t="shared" si="134"/>
        <v>2239.36</v>
      </c>
      <c r="L1693" s="121"/>
    </row>
    <row r="1694" spans="2:12" x14ac:dyDescent="0.35">
      <c r="B1694" s="111">
        <f t="shared" si="131"/>
        <v>1684</v>
      </c>
      <c r="C1694" s="64" t="s">
        <v>233</v>
      </c>
      <c r="D1694" s="77" t="s">
        <v>27</v>
      </c>
      <c r="E1694" s="78">
        <f>E1684</f>
        <v>3</v>
      </c>
      <c r="F1694" s="65"/>
      <c r="G1694" s="65">
        <v>6000</v>
      </c>
      <c r="H1694" s="65">
        <f t="shared" si="135"/>
        <v>6000</v>
      </c>
      <c r="I1694" s="79">
        <f t="shared" si="132"/>
        <v>0</v>
      </c>
      <c r="J1694" s="79">
        <f t="shared" si="133"/>
        <v>18000</v>
      </c>
      <c r="K1694" s="79">
        <f t="shared" si="134"/>
        <v>18000</v>
      </c>
      <c r="L1694" s="121"/>
    </row>
    <row r="1695" spans="2:12" x14ac:dyDescent="0.35">
      <c r="B1695" s="111">
        <f t="shared" si="131"/>
        <v>1685</v>
      </c>
      <c r="C1695" s="80" t="s">
        <v>352</v>
      </c>
      <c r="D1695" s="77" t="s">
        <v>27</v>
      </c>
      <c r="E1695" s="78">
        <f>E1694*1.1</f>
        <v>3.3000000000000003</v>
      </c>
      <c r="F1695" s="65">
        <v>1162</v>
      </c>
      <c r="G1695" s="65"/>
      <c r="H1695" s="65">
        <f t="shared" si="135"/>
        <v>1162</v>
      </c>
      <c r="I1695" s="79">
        <f t="shared" si="132"/>
        <v>3834.6</v>
      </c>
      <c r="J1695" s="79">
        <f t="shared" si="133"/>
        <v>0</v>
      </c>
      <c r="K1695" s="79">
        <f t="shared" si="134"/>
        <v>3834.6</v>
      </c>
      <c r="L1695" s="121"/>
    </row>
    <row r="1696" spans="2:12" x14ac:dyDescent="0.35">
      <c r="B1696" s="111">
        <f t="shared" si="131"/>
        <v>1686</v>
      </c>
      <c r="C1696" s="80" t="s">
        <v>353</v>
      </c>
      <c r="D1696" s="77" t="s">
        <v>27</v>
      </c>
      <c r="E1696" s="78">
        <f>E1694*1.1</f>
        <v>3.3000000000000003</v>
      </c>
      <c r="F1696" s="65">
        <v>800</v>
      </c>
      <c r="G1696" s="65"/>
      <c r="H1696" s="65">
        <f t="shared" si="135"/>
        <v>800</v>
      </c>
      <c r="I1696" s="79">
        <f t="shared" si="132"/>
        <v>2640</v>
      </c>
      <c r="J1696" s="79">
        <f t="shared" si="133"/>
        <v>0</v>
      </c>
      <c r="K1696" s="79">
        <f t="shared" si="134"/>
        <v>2640</v>
      </c>
      <c r="L1696" s="121"/>
    </row>
    <row r="1697" spans="2:12" ht="33" x14ac:dyDescent="0.35">
      <c r="B1697" s="111">
        <f t="shared" si="131"/>
        <v>1687</v>
      </c>
      <c r="C1697" s="64" t="s">
        <v>355</v>
      </c>
      <c r="D1697" s="81" t="s">
        <v>26</v>
      </c>
      <c r="E1697" s="78">
        <v>2.2799999999999998</v>
      </c>
      <c r="F1697" s="65"/>
      <c r="G1697" s="65">
        <v>439</v>
      </c>
      <c r="H1697" s="65">
        <f t="shared" si="135"/>
        <v>439</v>
      </c>
      <c r="I1697" s="79">
        <f t="shared" si="132"/>
        <v>0</v>
      </c>
      <c r="J1697" s="79">
        <f t="shared" si="133"/>
        <v>1000.92</v>
      </c>
      <c r="K1697" s="79">
        <f t="shared" si="134"/>
        <v>1000.92</v>
      </c>
      <c r="L1697" s="121"/>
    </row>
    <row r="1698" spans="2:12" ht="33.65" customHeight="1" x14ac:dyDescent="0.35">
      <c r="B1698" s="111">
        <f t="shared" si="131"/>
        <v>1688</v>
      </c>
      <c r="C1698" s="98" t="s">
        <v>273</v>
      </c>
      <c r="D1698" s="103" t="s">
        <v>32</v>
      </c>
      <c r="E1698" s="100">
        <v>1</v>
      </c>
      <c r="F1698" s="101"/>
      <c r="G1698" s="106"/>
      <c r="H1698" s="101">
        <f t="shared" si="135"/>
        <v>0</v>
      </c>
      <c r="I1698" s="101">
        <f t="shared" si="132"/>
        <v>0</v>
      </c>
      <c r="J1698" s="101">
        <f t="shared" si="133"/>
        <v>0</v>
      </c>
      <c r="K1698" s="101">
        <f t="shared" si="134"/>
        <v>0</v>
      </c>
      <c r="L1698" s="121"/>
    </row>
    <row r="1699" spans="2:12" ht="31" x14ac:dyDescent="0.35">
      <c r="B1699" s="111">
        <f t="shared" si="131"/>
        <v>1689</v>
      </c>
      <c r="C1699" s="64" t="s">
        <v>348</v>
      </c>
      <c r="D1699" s="81" t="s">
        <v>26</v>
      </c>
      <c r="E1699" s="78">
        <f>9.04*0.97</f>
        <v>8.7687999999999988</v>
      </c>
      <c r="F1699" s="65"/>
      <c r="G1699" s="65">
        <v>300</v>
      </c>
      <c r="H1699" s="65">
        <f t="shared" si="135"/>
        <v>300</v>
      </c>
      <c r="I1699" s="79">
        <f t="shared" si="132"/>
        <v>0</v>
      </c>
      <c r="J1699" s="79">
        <f t="shared" si="133"/>
        <v>2630.64</v>
      </c>
      <c r="K1699" s="79">
        <f t="shared" si="134"/>
        <v>2630.64</v>
      </c>
      <c r="L1699" s="121"/>
    </row>
    <row r="1700" spans="2:12" x14ac:dyDescent="0.35">
      <c r="B1700" s="111">
        <f t="shared" si="131"/>
        <v>1690</v>
      </c>
      <c r="C1700" s="64" t="s">
        <v>19</v>
      </c>
      <c r="D1700" s="81" t="s">
        <v>26</v>
      </c>
      <c r="E1700" s="78">
        <f>E1699/9</f>
        <v>0.97431111111111102</v>
      </c>
      <c r="F1700" s="65"/>
      <c r="G1700" s="65">
        <v>1500</v>
      </c>
      <c r="H1700" s="65">
        <f t="shared" si="135"/>
        <v>1500</v>
      </c>
      <c r="I1700" s="79">
        <f t="shared" si="132"/>
        <v>0</v>
      </c>
      <c r="J1700" s="79">
        <f t="shared" si="133"/>
        <v>1461.47</v>
      </c>
      <c r="K1700" s="79">
        <f t="shared" si="134"/>
        <v>1461.47</v>
      </c>
      <c r="L1700" s="121"/>
    </row>
    <row r="1701" spans="2:12" x14ac:dyDescent="0.35">
      <c r="B1701" s="111">
        <f t="shared" si="131"/>
        <v>1691</v>
      </c>
      <c r="C1701" s="64" t="s">
        <v>67</v>
      </c>
      <c r="D1701" s="81" t="s">
        <v>25</v>
      </c>
      <c r="E1701" s="78">
        <f>(3.14*2.2^2)/4</f>
        <v>3.7994000000000008</v>
      </c>
      <c r="F1701" s="65"/>
      <c r="G1701" s="123"/>
      <c r="H1701" s="65">
        <f t="shared" si="135"/>
        <v>0</v>
      </c>
      <c r="I1701" s="79">
        <f t="shared" si="132"/>
        <v>0</v>
      </c>
      <c r="J1701" s="79">
        <f t="shared" si="133"/>
        <v>0</v>
      </c>
      <c r="K1701" s="79">
        <f t="shared" si="134"/>
        <v>0</v>
      </c>
      <c r="L1701" s="121"/>
    </row>
    <row r="1702" spans="2:12" x14ac:dyDescent="0.35">
      <c r="B1702" s="111">
        <f t="shared" si="131"/>
        <v>1692</v>
      </c>
      <c r="C1702" s="64" t="s">
        <v>68</v>
      </c>
      <c r="D1702" s="81" t="s">
        <v>26</v>
      </c>
      <c r="E1702" s="78">
        <f>(3.14*2.2^2)/4*0.1</f>
        <v>0.37994000000000011</v>
      </c>
      <c r="F1702" s="65"/>
      <c r="G1702" s="65">
        <v>5860</v>
      </c>
      <c r="H1702" s="65">
        <f t="shared" si="135"/>
        <v>5860</v>
      </c>
      <c r="I1702" s="79">
        <f t="shared" si="132"/>
        <v>0</v>
      </c>
      <c r="J1702" s="79">
        <f t="shared" si="133"/>
        <v>2226.4499999999998</v>
      </c>
      <c r="K1702" s="79">
        <f t="shared" si="134"/>
        <v>2226.4499999999998</v>
      </c>
      <c r="L1702" s="121"/>
    </row>
    <row r="1703" spans="2:12" x14ac:dyDescent="0.35">
      <c r="B1703" s="111">
        <f t="shared" si="131"/>
        <v>1693</v>
      </c>
      <c r="C1703" s="80" t="s">
        <v>159</v>
      </c>
      <c r="D1703" s="81" t="s">
        <v>26</v>
      </c>
      <c r="E1703" s="78">
        <f>E1702*1.02</f>
        <v>0.38753880000000013</v>
      </c>
      <c r="F1703" s="65">
        <v>6700</v>
      </c>
      <c r="G1703" s="123"/>
      <c r="H1703" s="65">
        <f t="shared" si="135"/>
        <v>6700</v>
      </c>
      <c r="I1703" s="79">
        <f t="shared" si="132"/>
        <v>2596.5100000000002</v>
      </c>
      <c r="J1703" s="79">
        <f t="shared" si="133"/>
        <v>0</v>
      </c>
      <c r="K1703" s="79">
        <f t="shared" si="134"/>
        <v>2596.5100000000002</v>
      </c>
      <c r="L1703" s="121"/>
    </row>
    <row r="1704" spans="2:12" x14ac:dyDescent="0.35">
      <c r="B1704" s="111">
        <f t="shared" si="131"/>
        <v>1694</v>
      </c>
      <c r="C1704" s="64" t="s">
        <v>151</v>
      </c>
      <c r="D1704" s="81" t="s">
        <v>25</v>
      </c>
      <c r="E1704" s="78">
        <f>(3.14*2^2)/4</f>
        <v>3.14</v>
      </c>
      <c r="F1704" s="65">
        <v>68.5</v>
      </c>
      <c r="G1704" s="65">
        <v>150</v>
      </c>
      <c r="H1704" s="65">
        <f t="shared" si="135"/>
        <v>218.5</v>
      </c>
      <c r="I1704" s="79">
        <f t="shared" si="132"/>
        <v>215.09</v>
      </c>
      <c r="J1704" s="79">
        <f t="shared" si="133"/>
        <v>471</v>
      </c>
      <c r="K1704" s="79">
        <f t="shared" si="134"/>
        <v>686.09</v>
      </c>
      <c r="L1704" s="121"/>
    </row>
    <row r="1705" spans="2:12" ht="31" x14ac:dyDescent="0.35">
      <c r="B1705" s="111">
        <f t="shared" si="131"/>
        <v>1695</v>
      </c>
      <c r="C1705" s="64" t="s">
        <v>152</v>
      </c>
      <c r="D1705" s="81" t="s">
        <v>25</v>
      </c>
      <c r="E1705" s="78">
        <f>E1704</f>
        <v>3.14</v>
      </c>
      <c r="F1705" s="65">
        <v>927</v>
      </c>
      <c r="G1705" s="65">
        <v>400</v>
      </c>
      <c r="H1705" s="65">
        <f t="shared" si="135"/>
        <v>1327</v>
      </c>
      <c r="I1705" s="79">
        <f t="shared" si="132"/>
        <v>2910.78</v>
      </c>
      <c r="J1705" s="79">
        <f t="shared" si="133"/>
        <v>1256</v>
      </c>
      <c r="K1705" s="79">
        <f t="shared" si="134"/>
        <v>4166.7800000000007</v>
      </c>
      <c r="L1705" s="121"/>
    </row>
    <row r="1706" spans="2:12" ht="31" x14ac:dyDescent="0.35">
      <c r="B1706" s="111">
        <f t="shared" si="131"/>
        <v>1696</v>
      </c>
      <c r="C1706" s="64" t="s">
        <v>107</v>
      </c>
      <c r="D1706" s="81" t="s">
        <v>32</v>
      </c>
      <c r="E1706" s="78">
        <v>1</v>
      </c>
      <c r="F1706" s="65"/>
      <c r="G1706" s="65">
        <v>5662</v>
      </c>
      <c r="H1706" s="65">
        <f t="shared" si="135"/>
        <v>5662</v>
      </c>
      <c r="I1706" s="79">
        <f t="shared" si="132"/>
        <v>0</v>
      </c>
      <c r="J1706" s="79">
        <f t="shared" si="133"/>
        <v>5662</v>
      </c>
      <c r="K1706" s="79">
        <f t="shared" si="134"/>
        <v>5662</v>
      </c>
      <c r="L1706" s="121"/>
    </row>
    <row r="1707" spans="2:12" x14ac:dyDescent="0.35">
      <c r="B1707" s="111">
        <f t="shared" si="131"/>
        <v>1697</v>
      </c>
      <c r="C1707" s="82" t="s">
        <v>108</v>
      </c>
      <c r="D1707" s="81" t="s">
        <v>32</v>
      </c>
      <c r="E1707" s="78">
        <v>1</v>
      </c>
      <c r="F1707" s="65">
        <f>6000*1.2</f>
        <v>7200</v>
      </c>
      <c r="G1707" s="123"/>
      <c r="H1707" s="65">
        <f t="shared" si="135"/>
        <v>7200</v>
      </c>
      <c r="I1707" s="79">
        <f t="shared" si="132"/>
        <v>7200</v>
      </c>
      <c r="J1707" s="79">
        <f t="shared" si="133"/>
        <v>0</v>
      </c>
      <c r="K1707" s="79">
        <f t="shared" si="134"/>
        <v>7200</v>
      </c>
      <c r="L1707" s="121"/>
    </row>
    <row r="1708" spans="2:12" x14ac:dyDescent="0.35">
      <c r="B1708" s="111">
        <f t="shared" si="131"/>
        <v>1698</v>
      </c>
      <c r="C1708" s="82" t="s">
        <v>101</v>
      </c>
      <c r="D1708" s="81" t="s">
        <v>26</v>
      </c>
      <c r="E1708" s="78">
        <f>((3.14*2^2)/4*0.02)*1.02</f>
        <v>6.4056000000000016E-2</v>
      </c>
      <c r="F1708" s="65">
        <v>7300</v>
      </c>
      <c r="G1708" s="123"/>
      <c r="H1708" s="65">
        <f t="shared" si="135"/>
        <v>7300</v>
      </c>
      <c r="I1708" s="79">
        <f t="shared" si="132"/>
        <v>467.61</v>
      </c>
      <c r="J1708" s="79">
        <f t="shared" si="133"/>
        <v>0</v>
      </c>
      <c r="K1708" s="79">
        <f t="shared" si="134"/>
        <v>467.61</v>
      </c>
      <c r="L1708" s="121"/>
    </row>
    <row r="1709" spans="2:12" ht="31" x14ac:dyDescent="0.35">
      <c r="B1709" s="111">
        <f t="shared" si="131"/>
        <v>1699</v>
      </c>
      <c r="C1709" s="64" t="s">
        <v>179</v>
      </c>
      <c r="D1709" s="81" t="s">
        <v>26</v>
      </c>
      <c r="E1709" s="78">
        <v>1.2</v>
      </c>
      <c r="F1709" s="65"/>
      <c r="G1709" s="65">
        <v>5860</v>
      </c>
      <c r="H1709" s="65">
        <f t="shared" si="135"/>
        <v>5860</v>
      </c>
      <c r="I1709" s="79">
        <f t="shared" si="132"/>
        <v>0</v>
      </c>
      <c r="J1709" s="79">
        <f t="shared" si="133"/>
        <v>7032</v>
      </c>
      <c r="K1709" s="79">
        <f t="shared" si="134"/>
        <v>7032</v>
      </c>
      <c r="L1709" s="121"/>
    </row>
    <row r="1710" spans="2:12" x14ac:dyDescent="0.35">
      <c r="B1710" s="111">
        <f t="shared" si="131"/>
        <v>1700</v>
      </c>
      <c r="C1710" s="82" t="s">
        <v>75</v>
      </c>
      <c r="D1710" s="81" t="s">
        <v>26</v>
      </c>
      <c r="E1710" s="78">
        <f>E1709*1.02</f>
        <v>1.224</v>
      </c>
      <c r="F1710" s="65">
        <v>7100</v>
      </c>
      <c r="G1710" s="123"/>
      <c r="H1710" s="65">
        <f t="shared" si="135"/>
        <v>7100</v>
      </c>
      <c r="I1710" s="79">
        <f t="shared" si="132"/>
        <v>8690.4</v>
      </c>
      <c r="J1710" s="79">
        <f t="shared" si="133"/>
        <v>0</v>
      </c>
      <c r="K1710" s="79">
        <f t="shared" si="134"/>
        <v>8690.4</v>
      </c>
      <c r="L1710" s="121"/>
    </row>
    <row r="1711" spans="2:12" ht="31" x14ac:dyDescent="0.35">
      <c r="B1711" s="111">
        <f t="shared" si="131"/>
        <v>1701</v>
      </c>
      <c r="C1711" s="64" t="s">
        <v>78</v>
      </c>
      <c r="D1711" s="81" t="s">
        <v>32</v>
      </c>
      <c r="E1711" s="78">
        <v>7</v>
      </c>
      <c r="F1711" s="65"/>
      <c r="G1711" s="65">
        <v>5662</v>
      </c>
      <c r="H1711" s="65">
        <f t="shared" si="135"/>
        <v>5662</v>
      </c>
      <c r="I1711" s="79">
        <f t="shared" si="132"/>
        <v>0</v>
      </c>
      <c r="J1711" s="79">
        <f t="shared" si="133"/>
        <v>39634</v>
      </c>
      <c r="K1711" s="79">
        <f t="shared" si="134"/>
        <v>39634</v>
      </c>
      <c r="L1711" s="121"/>
    </row>
    <row r="1712" spans="2:12" x14ac:dyDescent="0.35">
      <c r="B1712" s="111">
        <f t="shared" si="131"/>
        <v>1702</v>
      </c>
      <c r="C1712" s="82" t="s">
        <v>110</v>
      </c>
      <c r="D1712" s="81" t="s">
        <v>32</v>
      </c>
      <c r="E1712" s="78">
        <v>2</v>
      </c>
      <c r="F1712" s="65">
        <f>4500*1.2</f>
        <v>5400</v>
      </c>
      <c r="G1712" s="123"/>
      <c r="H1712" s="65">
        <f t="shared" si="135"/>
        <v>5400</v>
      </c>
      <c r="I1712" s="79">
        <f t="shared" si="132"/>
        <v>10800</v>
      </c>
      <c r="J1712" s="79">
        <f t="shared" si="133"/>
        <v>0</v>
      </c>
      <c r="K1712" s="79">
        <f t="shared" si="134"/>
        <v>10800</v>
      </c>
      <c r="L1712" s="121"/>
    </row>
    <row r="1713" spans="2:12" ht="31" x14ac:dyDescent="0.35">
      <c r="B1713" s="111">
        <f t="shared" si="131"/>
        <v>1703</v>
      </c>
      <c r="C1713" s="64" t="s">
        <v>85</v>
      </c>
      <c r="D1713" s="81" t="s">
        <v>32</v>
      </c>
      <c r="E1713" s="78">
        <v>1</v>
      </c>
      <c r="F1713" s="65"/>
      <c r="G1713" s="65">
        <v>2500</v>
      </c>
      <c r="H1713" s="65">
        <f t="shared" si="135"/>
        <v>2500</v>
      </c>
      <c r="I1713" s="79">
        <f t="shared" si="132"/>
        <v>0</v>
      </c>
      <c r="J1713" s="79">
        <f t="shared" si="133"/>
        <v>2500</v>
      </c>
      <c r="K1713" s="79">
        <f t="shared" si="134"/>
        <v>2500</v>
      </c>
      <c r="L1713" s="121"/>
    </row>
    <row r="1714" spans="2:12" x14ac:dyDescent="0.35">
      <c r="B1714" s="111">
        <f t="shared" si="131"/>
        <v>1704</v>
      </c>
      <c r="C1714" s="82" t="s">
        <v>111</v>
      </c>
      <c r="D1714" s="81" t="s">
        <v>32</v>
      </c>
      <c r="E1714" s="78">
        <v>1</v>
      </c>
      <c r="F1714" s="65">
        <f>6000*1.2</f>
        <v>7200</v>
      </c>
      <c r="G1714" s="123"/>
      <c r="H1714" s="65">
        <f t="shared" si="135"/>
        <v>7200</v>
      </c>
      <c r="I1714" s="79">
        <f t="shared" si="132"/>
        <v>7200</v>
      </c>
      <c r="J1714" s="79">
        <f t="shared" si="133"/>
        <v>0</v>
      </c>
      <c r="K1714" s="79">
        <f t="shared" si="134"/>
        <v>7200</v>
      </c>
      <c r="L1714" s="121"/>
    </row>
    <row r="1715" spans="2:12" x14ac:dyDescent="0.35">
      <c r="B1715" s="111">
        <f t="shared" si="131"/>
        <v>1705</v>
      </c>
      <c r="C1715" s="80" t="s">
        <v>301</v>
      </c>
      <c r="D1715" s="81" t="s">
        <v>32</v>
      </c>
      <c r="E1715" s="78">
        <v>1</v>
      </c>
      <c r="F1715" s="65">
        <v>6000</v>
      </c>
      <c r="G1715" s="65">
        <v>1464.09</v>
      </c>
      <c r="H1715" s="65">
        <f t="shared" si="135"/>
        <v>7464.09</v>
      </c>
      <c r="I1715" s="79">
        <f t="shared" si="132"/>
        <v>6000</v>
      </c>
      <c r="J1715" s="79">
        <f t="shared" si="133"/>
        <v>1464.09</v>
      </c>
      <c r="K1715" s="79">
        <f t="shared" si="134"/>
        <v>7464.09</v>
      </c>
      <c r="L1715" s="121"/>
    </row>
    <row r="1716" spans="2:12" ht="31" x14ac:dyDescent="0.35">
      <c r="B1716" s="111">
        <f t="shared" si="131"/>
        <v>1706</v>
      </c>
      <c r="C1716" s="64" t="s">
        <v>156</v>
      </c>
      <c r="D1716" s="81" t="s">
        <v>25</v>
      </c>
      <c r="E1716" s="78">
        <f>(3.14*1.68)*1.75+2.9</f>
        <v>12.131600000000001</v>
      </c>
      <c r="F1716" s="65">
        <v>68.5</v>
      </c>
      <c r="G1716" s="65">
        <v>150</v>
      </c>
      <c r="H1716" s="65">
        <f t="shared" si="135"/>
        <v>218.5</v>
      </c>
      <c r="I1716" s="79">
        <f t="shared" si="132"/>
        <v>831.01</v>
      </c>
      <c r="J1716" s="79">
        <f t="shared" si="133"/>
        <v>1819.74</v>
      </c>
      <c r="K1716" s="79">
        <f t="shared" si="134"/>
        <v>2650.75</v>
      </c>
      <c r="L1716" s="121"/>
    </row>
    <row r="1717" spans="2:12" ht="46.5" x14ac:dyDescent="0.35">
      <c r="B1717" s="111">
        <f t="shared" si="131"/>
        <v>1707</v>
      </c>
      <c r="C1717" s="64" t="s">
        <v>157</v>
      </c>
      <c r="D1717" s="81" t="s">
        <v>25</v>
      </c>
      <c r="E1717" s="78">
        <f>E1716</f>
        <v>12.131600000000001</v>
      </c>
      <c r="F1717" s="65">
        <v>927</v>
      </c>
      <c r="G1717" s="65">
        <v>400</v>
      </c>
      <c r="H1717" s="65">
        <f t="shared" si="135"/>
        <v>1327</v>
      </c>
      <c r="I1717" s="79">
        <f t="shared" si="132"/>
        <v>11245.99</v>
      </c>
      <c r="J1717" s="79">
        <f t="shared" si="133"/>
        <v>4852.6400000000003</v>
      </c>
      <c r="K1717" s="79">
        <f t="shared" si="134"/>
        <v>16098.630000000001</v>
      </c>
      <c r="L1717" s="121"/>
    </row>
    <row r="1718" spans="2:12" x14ac:dyDescent="0.35">
      <c r="B1718" s="111">
        <f t="shared" si="131"/>
        <v>1708</v>
      </c>
      <c r="C1718" s="64" t="s">
        <v>302</v>
      </c>
      <c r="D1718" s="81" t="s">
        <v>32</v>
      </c>
      <c r="E1718" s="78">
        <v>1</v>
      </c>
      <c r="F1718" s="68"/>
      <c r="G1718" s="123"/>
      <c r="H1718" s="65">
        <f t="shared" si="135"/>
        <v>0</v>
      </c>
      <c r="I1718" s="79">
        <f t="shared" si="132"/>
        <v>0</v>
      </c>
      <c r="J1718" s="79">
        <f t="shared" si="133"/>
        <v>0</v>
      </c>
      <c r="K1718" s="79">
        <f t="shared" si="134"/>
        <v>0</v>
      </c>
      <c r="L1718" s="121"/>
    </row>
    <row r="1719" spans="2:12" x14ac:dyDescent="0.35">
      <c r="B1719" s="111">
        <f t="shared" si="131"/>
        <v>1709</v>
      </c>
      <c r="C1719" s="82" t="s">
        <v>303</v>
      </c>
      <c r="D1719" s="81" t="s">
        <v>31</v>
      </c>
      <c r="E1719" s="78">
        <v>13.84</v>
      </c>
      <c r="F1719" s="68">
        <v>71</v>
      </c>
      <c r="G1719" s="65">
        <v>97.61</v>
      </c>
      <c r="H1719" s="65">
        <f t="shared" si="135"/>
        <v>168.61</v>
      </c>
      <c r="I1719" s="79">
        <f t="shared" si="132"/>
        <v>982.64</v>
      </c>
      <c r="J1719" s="79">
        <f t="shared" si="133"/>
        <v>1350.92</v>
      </c>
      <c r="K1719" s="79">
        <f t="shared" si="134"/>
        <v>2333.56</v>
      </c>
      <c r="L1719" s="121"/>
    </row>
    <row r="1720" spans="2:12" x14ac:dyDescent="0.35">
      <c r="B1720" s="111">
        <f t="shared" si="131"/>
        <v>1710</v>
      </c>
      <c r="C1720" s="64" t="s">
        <v>93</v>
      </c>
      <c r="D1720" s="81" t="s">
        <v>32</v>
      </c>
      <c r="E1720" s="78">
        <v>1</v>
      </c>
      <c r="F1720" s="68"/>
      <c r="G1720" s="123"/>
      <c r="H1720" s="65">
        <f t="shared" si="135"/>
        <v>0</v>
      </c>
      <c r="I1720" s="79">
        <f t="shared" si="132"/>
        <v>0</v>
      </c>
      <c r="J1720" s="79">
        <f t="shared" si="133"/>
        <v>0</v>
      </c>
      <c r="K1720" s="79">
        <f t="shared" si="134"/>
        <v>0</v>
      </c>
      <c r="L1720" s="121"/>
    </row>
    <row r="1721" spans="2:12" x14ac:dyDescent="0.35">
      <c r="B1721" s="111">
        <f t="shared" si="131"/>
        <v>1711</v>
      </c>
      <c r="C1721" s="82" t="s">
        <v>94</v>
      </c>
      <c r="D1721" s="81" t="s">
        <v>31</v>
      </c>
      <c r="E1721" s="78">
        <f>0.82*E1720</f>
        <v>0.82</v>
      </c>
      <c r="F1721" s="68">
        <v>71</v>
      </c>
      <c r="G1721" s="65">
        <v>97.61</v>
      </c>
      <c r="H1721" s="65">
        <f t="shared" si="135"/>
        <v>168.61</v>
      </c>
      <c r="I1721" s="79">
        <f t="shared" si="132"/>
        <v>58.22</v>
      </c>
      <c r="J1721" s="79">
        <f t="shared" si="133"/>
        <v>80.040000000000006</v>
      </c>
      <c r="K1721" s="79">
        <f t="shared" si="134"/>
        <v>138.26</v>
      </c>
      <c r="L1721" s="121"/>
    </row>
    <row r="1722" spans="2:12" ht="31" x14ac:dyDescent="0.35">
      <c r="B1722" s="111">
        <f t="shared" si="131"/>
        <v>1712</v>
      </c>
      <c r="C1722" s="64" t="s">
        <v>304</v>
      </c>
      <c r="D1722" s="81" t="s">
        <v>32</v>
      </c>
      <c r="E1722" s="78">
        <v>3</v>
      </c>
      <c r="F1722" s="68"/>
      <c r="G1722" s="65">
        <v>1464</v>
      </c>
      <c r="H1722" s="65">
        <f t="shared" si="135"/>
        <v>1464</v>
      </c>
      <c r="I1722" s="79">
        <f t="shared" si="132"/>
        <v>0</v>
      </c>
      <c r="J1722" s="79">
        <f t="shared" si="133"/>
        <v>4392</v>
      </c>
      <c r="K1722" s="79">
        <f t="shared" si="134"/>
        <v>4392</v>
      </c>
      <c r="L1722" s="121"/>
    </row>
    <row r="1723" spans="2:12" x14ac:dyDescent="0.35">
      <c r="B1723" s="111">
        <f t="shared" si="131"/>
        <v>1713</v>
      </c>
      <c r="C1723" s="64" t="s">
        <v>342</v>
      </c>
      <c r="D1723" s="81"/>
      <c r="E1723" s="78"/>
      <c r="F1723" s="65"/>
      <c r="G1723" s="123"/>
      <c r="H1723" s="65">
        <f t="shared" si="135"/>
        <v>0</v>
      </c>
      <c r="I1723" s="79">
        <f t="shared" si="132"/>
        <v>0</v>
      </c>
      <c r="J1723" s="79">
        <f t="shared" si="133"/>
        <v>0</v>
      </c>
      <c r="K1723" s="79">
        <f t="shared" si="134"/>
        <v>0</v>
      </c>
      <c r="L1723" s="121">
        <v>1</v>
      </c>
    </row>
    <row r="1724" spans="2:12" ht="31" x14ac:dyDescent="0.35">
      <c r="B1724" s="111">
        <f t="shared" si="131"/>
        <v>1714</v>
      </c>
      <c r="C1724" s="80" t="s">
        <v>309</v>
      </c>
      <c r="D1724" s="81" t="s">
        <v>32</v>
      </c>
      <c r="E1724" s="78">
        <v>1</v>
      </c>
      <c r="F1724" s="65">
        <v>2263</v>
      </c>
      <c r="G1724" s="65">
        <v>1700</v>
      </c>
      <c r="H1724" s="65">
        <f t="shared" si="135"/>
        <v>3963</v>
      </c>
      <c r="I1724" s="79">
        <f t="shared" si="132"/>
        <v>2263</v>
      </c>
      <c r="J1724" s="79">
        <f t="shared" si="133"/>
        <v>1700</v>
      </c>
      <c r="K1724" s="79">
        <f t="shared" si="134"/>
        <v>3963</v>
      </c>
      <c r="L1724" s="121"/>
    </row>
    <row r="1725" spans="2:12" ht="31" x14ac:dyDescent="0.35">
      <c r="B1725" s="111">
        <f t="shared" si="131"/>
        <v>1715</v>
      </c>
      <c r="C1725" s="80" t="s">
        <v>310</v>
      </c>
      <c r="D1725" s="81" t="s">
        <v>32</v>
      </c>
      <c r="E1725" s="78">
        <v>1</v>
      </c>
      <c r="F1725" s="65">
        <v>1303</v>
      </c>
      <c r="G1725" s="65">
        <v>1700</v>
      </c>
      <c r="H1725" s="65">
        <f t="shared" si="135"/>
        <v>3003</v>
      </c>
      <c r="I1725" s="79">
        <f t="shared" si="132"/>
        <v>1303</v>
      </c>
      <c r="J1725" s="79">
        <f t="shared" si="133"/>
        <v>1700</v>
      </c>
      <c r="K1725" s="79">
        <f t="shared" si="134"/>
        <v>3003</v>
      </c>
      <c r="L1725" s="121"/>
    </row>
    <row r="1726" spans="2:12" ht="31" x14ac:dyDescent="0.35">
      <c r="B1726" s="111">
        <f t="shared" si="131"/>
        <v>1716</v>
      </c>
      <c r="C1726" s="80" t="s">
        <v>63</v>
      </c>
      <c r="D1726" s="81" t="s">
        <v>27</v>
      </c>
      <c r="E1726" s="78">
        <f>0.79*1.1</f>
        <v>0.86900000000000011</v>
      </c>
      <c r="F1726" s="65">
        <v>855</v>
      </c>
      <c r="G1726" s="65">
        <v>1700</v>
      </c>
      <c r="H1726" s="65">
        <f t="shared" si="135"/>
        <v>2555</v>
      </c>
      <c r="I1726" s="79">
        <f t="shared" si="132"/>
        <v>743</v>
      </c>
      <c r="J1726" s="79">
        <f t="shared" si="133"/>
        <v>1477.3</v>
      </c>
      <c r="K1726" s="79">
        <f t="shared" si="134"/>
        <v>2220.3000000000002</v>
      </c>
      <c r="L1726" s="121"/>
    </row>
    <row r="1727" spans="2:12" ht="33" x14ac:dyDescent="0.35">
      <c r="B1727" s="111">
        <f t="shared" si="131"/>
        <v>1717</v>
      </c>
      <c r="C1727" s="64" t="s">
        <v>362</v>
      </c>
      <c r="D1727" s="81" t="s">
        <v>26</v>
      </c>
      <c r="E1727" s="78">
        <f>12.69-3.88</f>
        <v>8.8099999999999987</v>
      </c>
      <c r="F1727" s="68"/>
      <c r="G1727" s="65">
        <v>439</v>
      </c>
      <c r="H1727" s="65">
        <f t="shared" si="135"/>
        <v>439</v>
      </c>
      <c r="I1727" s="79">
        <f t="shared" si="132"/>
        <v>0</v>
      </c>
      <c r="J1727" s="79">
        <f t="shared" si="133"/>
        <v>3867.59</v>
      </c>
      <c r="K1727" s="79">
        <f t="shared" si="134"/>
        <v>3867.59</v>
      </c>
      <c r="L1727" s="121"/>
    </row>
    <row r="1728" spans="2:12" ht="30" x14ac:dyDescent="0.35">
      <c r="B1728" s="111">
        <f t="shared" si="131"/>
        <v>1718</v>
      </c>
      <c r="C1728" s="98" t="s">
        <v>274</v>
      </c>
      <c r="D1728" s="99" t="s">
        <v>27</v>
      </c>
      <c r="E1728" s="100">
        <v>7.5</v>
      </c>
      <c r="F1728" s="101"/>
      <c r="G1728" s="106"/>
      <c r="H1728" s="101">
        <f t="shared" si="135"/>
        <v>0</v>
      </c>
      <c r="I1728" s="101">
        <f t="shared" si="132"/>
        <v>0</v>
      </c>
      <c r="J1728" s="101">
        <f t="shared" si="133"/>
        <v>0</v>
      </c>
      <c r="K1728" s="101">
        <f t="shared" si="134"/>
        <v>0</v>
      </c>
      <c r="L1728" s="121"/>
    </row>
    <row r="1729" spans="2:12" ht="31" x14ac:dyDescent="0.35">
      <c r="B1729" s="111">
        <f t="shared" si="131"/>
        <v>1719</v>
      </c>
      <c r="C1729" s="64" t="s">
        <v>348</v>
      </c>
      <c r="D1729" s="77" t="s">
        <v>26</v>
      </c>
      <c r="E1729" s="78">
        <f>0.97*6.94</f>
        <v>6.7317999999999998</v>
      </c>
      <c r="F1729" s="65"/>
      <c r="G1729" s="65">
        <v>300</v>
      </c>
      <c r="H1729" s="65">
        <f t="shared" si="135"/>
        <v>300</v>
      </c>
      <c r="I1729" s="79">
        <f t="shared" si="132"/>
        <v>0</v>
      </c>
      <c r="J1729" s="79">
        <f t="shared" si="133"/>
        <v>2019.54</v>
      </c>
      <c r="K1729" s="79">
        <f t="shared" si="134"/>
        <v>2019.54</v>
      </c>
      <c r="L1729" s="121"/>
    </row>
    <row r="1730" spans="2:12" x14ac:dyDescent="0.35">
      <c r="B1730" s="111">
        <f t="shared" si="131"/>
        <v>1720</v>
      </c>
      <c r="C1730" s="64" t="s">
        <v>19</v>
      </c>
      <c r="D1730" s="77" t="s">
        <v>26</v>
      </c>
      <c r="E1730" s="78">
        <f>E1729/97*3</f>
        <v>0.2082</v>
      </c>
      <c r="F1730" s="65"/>
      <c r="G1730" s="65">
        <v>1500</v>
      </c>
      <c r="H1730" s="65">
        <f t="shared" si="135"/>
        <v>1500</v>
      </c>
      <c r="I1730" s="79">
        <f t="shared" si="132"/>
        <v>0</v>
      </c>
      <c r="J1730" s="79">
        <f t="shared" si="133"/>
        <v>312.3</v>
      </c>
      <c r="K1730" s="79">
        <f t="shared" si="134"/>
        <v>312.3</v>
      </c>
      <c r="L1730" s="121"/>
    </row>
    <row r="1731" spans="2:12" x14ac:dyDescent="0.35">
      <c r="B1731" s="111">
        <f t="shared" si="131"/>
        <v>1721</v>
      </c>
      <c r="C1731" s="64" t="s">
        <v>184</v>
      </c>
      <c r="D1731" s="77" t="s">
        <v>25</v>
      </c>
      <c r="E1731" s="78">
        <f>E1728*0.75</f>
        <v>5.625</v>
      </c>
      <c r="F1731" s="65"/>
      <c r="G1731" s="123"/>
      <c r="H1731" s="65">
        <f t="shared" si="135"/>
        <v>0</v>
      </c>
      <c r="I1731" s="79">
        <f t="shared" si="132"/>
        <v>0</v>
      </c>
      <c r="J1731" s="79">
        <f t="shared" si="133"/>
        <v>0</v>
      </c>
      <c r="K1731" s="79">
        <f t="shared" si="134"/>
        <v>0</v>
      </c>
      <c r="L1731" s="121"/>
    </row>
    <row r="1732" spans="2:12" ht="31" x14ac:dyDescent="0.35">
      <c r="B1732" s="111">
        <f t="shared" si="131"/>
        <v>1722</v>
      </c>
      <c r="C1732" s="64" t="s">
        <v>194</v>
      </c>
      <c r="D1732" s="77" t="s">
        <v>25</v>
      </c>
      <c r="E1732" s="78">
        <f>E1728*0.48</f>
        <v>3.5999999999999996</v>
      </c>
      <c r="F1732" s="65">
        <f>1973*0.15</f>
        <v>295.95</v>
      </c>
      <c r="G1732" s="65">
        <f>1500*0.15</f>
        <v>225</v>
      </c>
      <c r="H1732" s="65">
        <f t="shared" si="135"/>
        <v>520.95000000000005</v>
      </c>
      <c r="I1732" s="79">
        <f t="shared" si="132"/>
        <v>1065.42</v>
      </c>
      <c r="J1732" s="79">
        <f t="shared" si="133"/>
        <v>810</v>
      </c>
      <c r="K1732" s="79">
        <f t="shared" si="134"/>
        <v>1875.42</v>
      </c>
      <c r="L1732" s="121"/>
    </row>
    <row r="1733" spans="2:12" x14ac:dyDescent="0.35">
      <c r="B1733" s="111">
        <f t="shared" si="131"/>
        <v>1723</v>
      </c>
      <c r="C1733" s="64" t="s">
        <v>20</v>
      </c>
      <c r="D1733" s="77" t="s">
        <v>26</v>
      </c>
      <c r="E1733" s="78">
        <f>0.34*E1728*0.1</f>
        <v>0.25500000000000006</v>
      </c>
      <c r="F1733" s="65"/>
      <c r="G1733" s="65">
        <v>5860</v>
      </c>
      <c r="H1733" s="65">
        <f t="shared" si="135"/>
        <v>5860</v>
      </c>
      <c r="I1733" s="79">
        <f t="shared" si="132"/>
        <v>0</v>
      </c>
      <c r="J1733" s="79">
        <f t="shared" si="133"/>
        <v>1494.3</v>
      </c>
      <c r="K1733" s="79">
        <f t="shared" si="134"/>
        <v>1494.3</v>
      </c>
      <c r="L1733" s="121"/>
    </row>
    <row r="1734" spans="2:12" x14ac:dyDescent="0.35">
      <c r="B1734" s="111">
        <f t="shared" si="131"/>
        <v>1724</v>
      </c>
      <c r="C1734" s="80" t="s">
        <v>159</v>
      </c>
      <c r="D1734" s="77" t="s">
        <v>26</v>
      </c>
      <c r="E1734" s="78">
        <f>E1733*1.02</f>
        <v>0.26010000000000005</v>
      </c>
      <c r="F1734" s="65">
        <v>6700</v>
      </c>
      <c r="G1734" s="123"/>
      <c r="H1734" s="65">
        <f t="shared" si="135"/>
        <v>6700</v>
      </c>
      <c r="I1734" s="79">
        <f t="shared" si="132"/>
        <v>1742.67</v>
      </c>
      <c r="J1734" s="79">
        <f t="shared" si="133"/>
        <v>0</v>
      </c>
      <c r="K1734" s="79">
        <f t="shared" si="134"/>
        <v>1742.67</v>
      </c>
      <c r="L1734" s="121"/>
    </row>
    <row r="1735" spans="2:12" x14ac:dyDescent="0.35">
      <c r="B1735" s="111">
        <f t="shared" si="131"/>
        <v>1725</v>
      </c>
      <c r="C1735" s="64" t="s">
        <v>28</v>
      </c>
      <c r="D1735" s="77" t="s">
        <v>26</v>
      </c>
      <c r="E1735" s="78">
        <f>E1728*0.8/10</f>
        <v>0.6</v>
      </c>
      <c r="F1735" s="65"/>
      <c r="G1735" s="65">
        <v>5860</v>
      </c>
      <c r="H1735" s="65">
        <f t="shared" si="135"/>
        <v>5860</v>
      </c>
      <c r="I1735" s="79">
        <f t="shared" si="132"/>
        <v>0</v>
      </c>
      <c r="J1735" s="79">
        <f t="shared" si="133"/>
        <v>3516</v>
      </c>
      <c r="K1735" s="79">
        <f t="shared" si="134"/>
        <v>3516</v>
      </c>
      <c r="L1735" s="121"/>
    </row>
    <row r="1736" spans="2:12" x14ac:dyDescent="0.35">
      <c r="B1736" s="111">
        <f t="shared" si="131"/>
        <v>1726</v>
      </c>
      <c r="C1736" s="80" t="s">
        <v>29</v>
      </c>
      <c r="D1736" s="77" t="s">
        <v>26</v>
      </c>
      <c r="E1736" s="78">
        <f>E1735*1.02</f>
        <v>0.61199999999999999</v>
      </c>
      <c r="F1736" s="65">
        <v>7100</v>
      </c>
      <c r="G1736" s="123"/>
      <c r="H1736" s="65">
        <f t="shared" si="135"/>
        <v>7100</v>
      </c>
      <c r="I1736" s="79">
        <f t="shared" si="132"/>
        <v>4345.2</v>
      </c>
      <c r="J1736" s="79">
        <f t="shared" si="133"/>
        <v>0</v>
      </c>
      <c r="K1736" s="79">
        <f t="shared" si="134"/>
        <v>4345.2</v>
      </c>
      <c r="L1736" s="121"/>
    </row>
    <row r="1737" spans="2:12" x14ac:dyDescent="0.35">
      <c r="B1737" s="111">
        <f t="shared" si="131"/>
        <v>1727</v>
      </c>
      <c r="C1737" s="80" t="s">
        <v>30</v>
      </c>
      <c r="D1737" s="77" t="s">
        <v>31</v>
      </c>
      <c r="E1737" s="78">
        <f>E1728*1.22</f>
        <v>9.15</v>
      </c>
      <c r="F1737" s="65">
        <v>118.9</v>
      </c>
      <c r="G1737" s="123"/>
      <c r="H1737" s="65">
        <f t="shared" si="135"/>
        <v>118.9</v>
      </c>
      <c r="I1737" s="79">
        <f t="shared" si="132"/>
        <v>1087.94</v>
      </c>
      <c r="J1737" s="79">
        <f t="shared" si="133"/>
        <v>0</v>
      </c>
      <c r="K1737" s="79">
        <f t="shared" si="134"/>
        <v>1087.94</v>
      </c>
      <c r="L1737" s="121"/>
    </row>
    <row r="1738" spans="2:12" x14ac:dyDescent="0.35">
      <c r="B1738" s="111">
        <f t="shared" si="131"/>
        <v>1728</v>
      </c>
      <c r="C1738" s="64" t="s">
        <v>189</v>
      </c>
      <c r="D1738" s="77" t="s">
        <v>27</v>
      </c>
      <c r="E1738" s="78">
        <f>E1728</f>
        <v>7.5</v>
      </c>
      <c r="F1738" s="65"/>
      <c r="G1738" s="65">
        <v>2928</v>
      </c>
      <c r="H1738" s="65">
        <f t="shared" si="135"/>
        <v>2928</v>
      </c>
      <c r="I1738" s="79">
        <f t="shared" si="132"/>
        <v>0</v>
      </c>
      <c r="J1738" s="79">
        <f t="shared" si="133"/>
        <v>21960</v>
      </c>
      <c r="K1738" s="79">
        <f t="shared" si="134"/>
        <v>21960</v>
      </c>
      <c r="L1738" s="121"/>
    </row>
    <row r="1739" spans="2:12" ht="31" x14ac:dyDescent="0.35">
      <c r="B1739" s="111">
        <f t="shared" si="131"/>
        <v>1729</v>
      </c>
      <c r="C1739" s="80" t="s">
        <v>195</v>
      </c>
      <c r="D1739" s="77" t="s">
        <v>27</v>
      </c>
      <c r="E1739" s="78">
        <f>E1738*1.1</f>
        <v>8.25</v>
      </c>
      <c r="F1739" s="65">
        <v>855</v>
      </c>
      <c r="G1739" s="65"/>
      <c r="H1739" s="65">
        <f t="shared" si="135"/>
        <v>855</v>
      </c>
      <c r="I1739" s="79">
        <f t="shared" si="132"/>
        <v>7053.75</v>
      </c>
      <c r="J1739" s="79">
        <f t="shared" si="133"/>
        <v>0</v>
      </c>
      <c r="K1739" s="79">
        <f t="shared" si="134"/>
        <v>7053.75</v>
      </c>
      <c r="L1739" s="121"/>
    </row>
    <row r="1740" spans="2:12" ht="33" x14ac:dyDescent="0.35">
      <c r="B1740" s="111">
        <f t="shared" si="131"/>
        <v>1730</v>
      </c>
      <c r="C1740" s="64" t="s">
        <v>355</v>
      </c>
      <c r="D1740" s="81" t="s">
        <v>26</v>
      </c>
      <c r="E1740" s="78">
        <v>8.98</v>
      </c>
      <c r="F1740" s="65"/>
      <c r="G1740" s="65">
        <v>439</v>
      </c>
      <c r="H1740" s="65">
        <f t="shared" si="135"/>
        <v>439</v>
      </c>
      <c r="I1740" s="79">
        <f t="shared" si="132"/>
        <v>0</v>
      </c>
      <c r="J1740" s="79">
        <f t="shared" si="133"/>
        <v>3942.22</v>
      </c>
      <c r="K1740" s="79">
        <f t="shared" si="134"/>
        <v>3942.22</v>
      </c>
      <c r="L1740" s="121"/>
    </row>
    <row r="1741" spans="2:12" ht="45" x14ac:dyDescent="0.35">
      <c r="B1741" s="111">
        <f t="shared" ref="B1741:B1804" si="136">B1740+1</f>
        <v>1731</v>
      </c>
      <c r="C1741" s="98" t="s">
        <v>277</v>
      </c>
      <c r="D1741" s="99" t="s">
        <v>27</v>
      </c>
      <c r="E1741" s="100">
        <v>6.2</v>
      </c>
      <c r="F1741" s="101"/>
      <c r="G1741" s="106"/>
      <c r="H1741" s="101">
        <f t="shared" si="135"/>
        <v>0</v>
      </c>
      <c r="I1741" s="101">
        <f t="shared" ref="I1741:I1804" si="137">ROUND(F1741*E1741,2)</f>
        <v>0</v>
      </c>
      <c r="J1741" s="101">
        <f t="shared" ref="J1741:J1804" si="138">ROUND(G1741*E1741,2)</f>
        <v>0</v>
      </c>
      <c r="K1741" s="101">
        <f t="shared" ref="K1741:K1804" si="139">I1741+J1741</f>
        <v>0</v>
      </c>
      <c r="L1741" s="121"/>
    </row>
    <row r="1742" spans="2:12" ht="31" x14ac:dyDescent="0.35">
      <c r="B1742" s="111">
        <f t="shared" si="136"/>
        <v>1732</v>
      </c>
      <c r="C1742" s="64" t="s">
        <v>348</v>
      </c>
      <c r="D1742" s="77" t="s">
        <v>26</v>
      </c>
      <c r="E1742" s="78">
        <f>0.97*49.12</f>
        <v>47.646399999999993</v>
      </c>
      <c r="F1742" s="65"/>
      <c r="G1742" s="65">
        <v>300</v>
      </c>
      <c r="H1742" s="65">
        <f t="shared" si="135"/>
        <v>300</v>
      </c>
      <c r="I1742" s="79">
        <f t="shared" si="137"/>
        <v>0</v>
      </c>
      <c r="J1742" s="79">
        <f t="shared" si="138"/>
        <v>14293.92</v>
      </c>
      <c r="K1742" s="79">
        <f t="shared" si="139"/>
        <v>14293.92</v>
      </c>
      <c r="L1742" s="121"/>
    </row>
    <row r="1743" spans="2:12" x14ac:dyDescent="0.35">
      <c r="B1743" s="111">
        <f t="shared" si="136"/>
        <v>1733</v>
      </c>
      <c r="C1743" s="64" t="s">
        <v>19</v>
      </c>
      <c r="D1743" s="77" t="s">
        <v>26</v>
      </c>
      <c r="E1743" s="78">
        <f>E1742/97*3</f>
        <v>1.4735999999999998</v>
      </c>
      <c r="F1743" s="65"/>
      <c r="G1743" s="65">
        <v>1500</v>
      </c>
      <c r="H1743" s="65">
        <f t="shared" ref="H1743:H1806" si="140">F1743+G1743</f>
        <v>1500</v>
      </c>
      <c r="I1743" s="79">
        <f t="shared" si="137"/>
        <v>0</v>
      </c>
      <c r="J1743" s="79">
        <f t="shared" si="138"/>
        <v>2210.4</v>
      </c>
      <c r="K1743" s="79">
        <f t="shared" si="139"/>
        <v>2210.4</v>
      </c>
      <c r="L1743" s="121"/>
    </row>
    <row r="1744" spans="2:12" x14ac:dyDescent="0.35">
      <c r="B1744" s="111">
        <f t="shared" si="136"/>
        <v>1734</v>
      </c>
      <c r="C1744" s="64" t="s">
        <v>184</v>
      </c>
      <c r="D1744" s="77" t="s">
        <v>25</v>
      </c>
      <c r="E1744" s="78">
        <f>E1741*0.7*2</f>
        <v>8.68</v>
      </c>
      <c r="F1744" s="65"/>
      <c r="G1744" s="123"/>
      <c r="H1744" s="65">
        <f t="shared" si="140"/>
        <v>0</v>
      </c>
      <c r="I1744" s="79">
        <f t="shared" si="137"/>
        <v>0</v>
      </c>
      <c r="J1744" s="79">
        <f t="shared" si="138"/>
        <v>0</v>
      </c>
      <c r="K1744" s="79">
        <f t="shared" si="139"/>
        <v>0</v>
      </c>
      <c r="L1744" s="121"/>
    </row>
    <row r="1745" spans="2:12" ht="31" x14ac:dyDescent="0.35">
      <c r="B1745" s="111">
        <f t="shared" si="136"/>
        <v>1735</v>
      </c>
      <c r="C1745" s="64" t="s">
        <v>232</v>
      </c>
      <c r="D1745" s="77" t="s">
        <v>25</v>
      </c>
      <c r="E1745" s="78">
        <f>E1741*0.45*2</f>
        <v>5.58</v>
      </c>
      <c r="F1745" s="65">
        <f>1973*0.15</f>
        <v>295.95</v>
      </c>
      <c r="G1745" s="65">
        <f>1500*0.15</f>
        <v>225</v>
      </c>
      <c r="H1745" s="65">
        <f t="shared" si="140"/>
        <v>520.95000000000005</v>
      </c>
      <c r="I1745" s="79">
        <f t="shared" si="137"/>
        <v>1651.4</v>
      </c>
      <c r="J1745" s="79">
        <f t="shared" si="138"/>
        <v>1255.5</v>
      </c>
      <c r="K1745" s="79">
        <f t="shared" si="139"/>
        <v>2906.9</v>
      </c>
      <c r="L1745" s="121"/>
    </row>
    <row r="1746" spans="2:12" x14ac:dyDescent="0.35">
      <c r="B1746" s="111">
        <f t="shared" si="136"/>
        <v>1736</v>
      </c>
      <c r="C1746" s="64" t="s">
        <v>20</v>
      </c>
      <c r="D1746" s="77" t="s">
        <v>26</v>
      </c>
      <c r="E1746" s="78">
        <f>0.32*2*E1741*0.1</f>
        <v>0.39680000000000004</v>
      </c>
      <c r="F1746" s="65"/>
      <c r="G1746" s="65">
        <v>5860</v>
      </c>
      <c r="H1746" s="65">
        <f t="shared" si="140"/>
        <v>5860</v>
      </c>
      <c r="I1746" s="79">
        <f t="shared" si="137"/>
        <v>0</v>
      </c>
      <c r="J1746" s="79">
        <f t="shared" si="138"/>
        <v>2325.25</v>
      </c>
      <c r="K1746" s="79">
        <f t="shared" si="139"/>
        <v>2325.25</v>
      </c>
      <c r="L1746" s="121"/>
    </row>
    <row r="1747" spans="2:12" x14ac:dyDescent="0.35">
      <c r="B1747" s="111">
        <f t="shared" si="136"/>
        <v>1737</v>
      </c>
      <c r="C1747" s="80" t="s">
        <v>159</v>
      </c>
      <c r="D1747" s="77" t="s">
        <v>26</v>
      </c>
      <c r="E1747" s="78">
        <f>E1746*1.02</f>
        <v>0.40473600000000004</v>
      </c>
      <c r="F1747" s="65">
        <v>6700</v>
      </c>
      <c r="G1747" s="123"/>
      <c r="H1747" s="65">
        <f t="shared" si="140"/>
        <v>6700</v>
      </c>
      <c r="I1747" s="79">
        <f t="shared" si="137"/>
        <v>2711.73</v>
      </c>
      <c r="J1747" s="79">
        <f t="shared" si="138"/>
        <v>0</v>
      </c>
      <c r="K1747" s="79">
        <f t="shared" si="139"/>
        <v>2711.73</v>
      </c>
      <c r="L1747" s="121"/>
    </row>
    <row r="1748" spans="2:12" x14ac:dyDescent="0.35">
      <c r="B1748" s="111">
        <f t="shared" si="136"/>
        <v>1738</v>
      </c>
      <c r="C1748" s="64" t="s">
        <v>28</v>
      </c>
      <c r="D1748" s="77" t="s">
        <v>26</v>
      </c>
      <c r="E1748" s="78">
        <f>0.73*2*E1741*0.1</f>
        <v>0.9052</v>
      </c>
      <c r="F1748" s="65"/>
      <c r="G1748" s="65">
        <v>5860</v>
      </c>
      <c r="H1748" s="65">
        <f t="shared" si="140"/>
        <v>5860</v>
      </c>
      <c r="I1748" s="79">
        <f t="shared" si="137"/>
        <v>0</v>
      </c>
      <c r="J1748" s="79">
        <f t="shared" si="138"/>
        <v>5304.47</v>
      </c>
      <c r="K1748" s="79">
        <f t="shared" si="139"/>
        <v>5304.47</v>
      </c>
      <c r="L1748" s="121"/>
    </row>
    <row r="1749" spans="2:12" x14ac:dyDescent="0.35">
      <c r="B1749" s="111">
        <f t="shared" si="136"/>
        <v>1739</v>
      </c>
      <c r="C1749" s="80" t="s">
        <v>29</v>
      </c>
      <c r="D1749" s="77" t="s">
        <v>26</v>
      </c>
      <c r="E1749" s="78">
        <f>E1748*1.02</f>
        <v>0.92330400000000001</v>
      </c>
      <c r="F1749" s="65">
        <v>7100</v>
      </c>
      <c r="G1749" s="123"/>
      <c r="H1749" s="65">
        <f t="shared" si="140"/>
        <v>7100</v>
      </c>
      <c r="I1749" s="79">
        <f t="shared" si="137"/>
        <v>6555.46</v>
      </c>
      <c r="J1749" s="79">
        <f t="shared" si="138"/>
        <v>0</v>
      </c>
      <c r="K1749" s="79">
        <f t="shared" si="139"/>
        <v>6555.46</v>
      </c>
      <c r="L1749" s="121"/>
    </row>
    <row r="1750" spans="2:12" x14ac:dyDescent="0.35">
      <c r="B1750" s="111">
        <f t="shared" si="136"/>
        <v>1740</v>
      </c>
      <c r="C1750" s="80" t="s">
        <v>30</v>
      </c>
      <c r="D1750" s="77" t="s">
        <v>31</v>
      </c>
      <c r="E1750" s="78">
        <f>31.39*E1741*0.1*2</f>
        <v>38.9236</v>
      </c>
      <c r="F1750" s="65">
        <v>118.9</v>
      </c>
      <c r="G1750" s="123"/>
      <c r="H1750" s="65">
        <f t="shared" si="140"/>
        <v>118.9</v>
      </c>
      <c r="I1750" s="79">
        <f t="shared" si="137"/>
        <v>4628.0200000000004</v>
      </c>
      <c r="J1750" s="79">
        <f t="shared" si="138"/>
        <v>0</v>
      </c>
      <c r="K1750" s="79">
        <f t="shared" si="139"/>
        <v>4628.0200000000004</v>
      </c>
      <c r="L1750" s="121"/>
    </row>
    <row r="1751" spans="2:12" x14ac:dyDescent="0.35">
      <c r="B1751" s="111">
        <f t="shared" si="136"/>
        <v>1741</v>
      </c>
      <c r="C1751" s="64" t="s">
        <v>233</v>
      </c>
      <c r="D1751" s="77" t="s">
        <v>27</v>
      </c>
      <c r="E1751" s="78">
        <f>E1741</f>
        <v>6.2</v>
      </c>
      <c r="F1751" s="65"/>
      <c r="G1751" s="65">
        <v>6000</v>
      </c>
      <c r="H1751" s="65">
        <f t="shared" si="140"/>
        <v>6000</v>
      </c>
      <c r="I1751" s="79">
        <f t="shared" si="137"/>
        <v>0</v>
      </c>
      <c r="J1751" s="79">
        <f t="shared" si="138"/>
        <v>37200</v>
      </c>
      <c r="K1751" s="79">
        <f t="shared" si="139"/>
        <v>37200</v>
      </c>
      <c r="L1751" s="121"/>
    </row>
    <row r="1752" spans="2:12" x14ac:dyDescent="0.35">
      <c r="B1752" s="111">
        <f t="shared" si="136"/>
        <v>1742</v>
      </c>
      <c r="C1752" s="80" t="s">
        <v>353</v>
      </c>
      <c r="D1752" s="77" t="s">
        <v>27</v>
      </c>
      <c r="E1752" s="78">
        <f>E1751*1.1*2</f>
        <v>13.640000000000002</v>
      </c>
      <c r="F1752" s="65">
        <v>800</v>
      </c>
      <c r="G1752" s="65"/>
      <c r="H1752" s="65">
        <f t="shared" si="140"/>
        <v>800</v>
      </c>
      <c r="I1752" s="79">
        <f t="shared" si="137"/>
        <v>10912</v>
      </c>
      <c r="J1752" s="79">
        <f t="shared" si="138"/>
        <v>0</v>
      </c>
      <c r="K1752" s="79">
        <f t="shared" si="139"/>
        <v>10912</v>
      </c>
      <c r="L1752" s="121"/>
    </row>
    <row r="1753" spans="2:12" ht="33" x14ac:dyDescent="0.35">
      <c r="B1753" s="111">
        <f t="shared" si="136"/>
        <v>1743</v>
      </c>
      <c r="C1753" s="64" t="s">
        <v>355</v>
      </c>
      <c r="D1753" s="81" t="s">
        <v>26</v>
      </c>
      <c r="E1753" s="78">
        <v>56.46</v>
      </c>
      <c r="F1753" s="65"/>
      <c r="G1753" s="65">
        <v>439</v>
      </c>
      <c r="H1753" s="65">
        <f t="shared" si="140"/>
        <v>439</v>
      </c>
      <c r="I1753" s="79">
        <f t="shared" si="137"/>
        <v>0</v>
      </c>
      <c r="J1753" s="79">
        <f t="shared" si="138"/>
        <v>24785.94</v>
      </c>
      <c r="K1753" s="79">
        <f t="shared" si="139"/>
        <v>24785.94</v>
      </c>
      <c r="L1753" s="121"/>
    </row>
    <row r="1754" spans="2:12" ht="25.25" customHeight="1" x14ac:dyDescent="0.35">
      <c r="B1754" s="111">
        <f t="shared" si="136"/>
        <v>1744</v>
      </c>
      <c r="C1754" s="98" t="s">
        <v>275</v>
      </c>
      <c r="D1754" s="103" t="s">
        <v>32</v>
      </c>
      <c r="E1754" s="100">
        <v>1</v>
      </c>
      <c r="F1754" s="101"/>
      <c r="G1754" s="106"/>
      <c r="H1754" s="101">
        <f t="shared" si="140"/>
        <v>0</v>
      </c>
      <c r="I1754" s="101">
        <f t="shared" si="137"/>
        <v>0</v>
      </c>
      <c r="J1754" s="101">
        <f t="shared" si="138"/>
        <v>0</v>
      </c>
      <c r="K1754" s="101">
        <f t="shared" si="139"/>
        <v>0</v>
      </c>
      <c r="L1754" s="121"/>
    </row>
    <row r="1755" spans="2:12" ht="31" x14ac:dyDescent="0.35">
      <c r="B1755" s="111">
        <f t="shared" si="136"/>
        <v>1745</v>
      </c>
      <c r="C1755" s="64" t="s">
        <v>348</v>
      </c>
      <c r="D1755" s="81" t="s">
        <v>26</v>
      </c>
      <c r="E1755" s="78">
        <f>45.03*0.97</f>
        <v>43.679099999999998</v>
      </c>
      <c r="F1755" s="65"/>
      <c r="G1755" s="65">
        <v>300</v>
      </c>
      <c r="H1755" s="65">
        <f t="shared" si="140"/>
        <v>300</v>
      </c>
      <c r="I1755" s="79">
        <f t="shared" si="137"/>
        <v>0</v>
      </c>
      <c r="J1755" s="79">
        <f t="shared" si="138"/>
        <v>13103.73</v>
      </c>
      <c r="K1755" s="79">
        <f t="shared" si="139"/>
        <v>13103.73</v>
      </c>
      <c r="L1755" s="121"/>
    </row>
    <row r="1756" spans="2:12" x14ac:dyDescent="0.35">
      <c r="B1756" s="111">
        <f t="shared" si="136"/>
        <v>1746</v>
      </c>
      <c r="C1756" s="64" t="s">
        <v>19</v>
      </c>
      <c r="D1756" s="81" t="s">
        <v>26</v>
      </c>
      <c r="E1756" s="78">
        <f>E1755/9</f>
        <v>4.8532333333333328</v>
      </c>
      <c r="F1756" s="65"/>
      <c r="G1756" s="65">
        <v>1500</v>
      </c>
      <c r="H1756" s="65">
        <f t="shared" si="140"/>
        <v>1500</v>
      </c>
      <c r="I1756" s="79">
        <f t="shared" si="137"/>
        <v>0</v>
      </c>
      <c r="J1756" s="79">
        <f t="shared" si="138"/>
        <v>7279.85</v>
      </c>
      <c r="K1756" s="79">
        <f t="shared" si="139"/>
        <v>7279.85</v>
      </c>
      <c r="L1756" s="121"/>
    </row>
    <row r="1757" spans="2:12" x14ac:dyDescent="0.35">
      <c r="B1757" s="111">
        <f t="shared" si="136"/>
        <v>1747</v>
      </c>
      <c r="C1757" s="64" t="s">
        <v>67</v>
      </c>
      <c r="D1757" s="81" t="s">
        <v>25</v>
      </c>
      <c r="E1757" s="78">
        <f>(3.14*2.7^2)/4</f>
        <v>5.7226500000000007</v>
      </c>
      <c r="F1757" s="65"/>
      <c r="G1757" s="123"/>
      <c r="H1757" s="65">
        <f t="shared" si="140"/>
        <v>0</v>
      </c>
      <c r="I1757" s="79">
        <f t="shared" si="137"/>
        <v>0</v>
      </c>
      <c r="J1757" s="79">
        <f t="shared" si="138"/>
        <v>0</v>
      </c>
      <c r="K1757" s="79">
        <f t="shared" si="139"/>
        <v>0</v>
      </c>
      <c r="L1757" s="121"/>
    </row>
    <row r="1758" spans="2:12" x14ac:dyDescent="0.35">
      <c r="B1758" s="111">
        <f t="shared" si="136"/>
        <v>1748</v>
      </c>
      <c r="C1758" s="64" t="s">
        <v>68</v>
      </c>
      <c r="D1758" s="81" t="s">
        <v>26</v>
      </c>
      <c r="E1758" s="78">
        <f>(3.14*2.7^2)/4*0.1</f>
        <v>0.57226500000000013</v>
      </c>
      <c r="F1758" s="65"/>
      <c r="G1758" s="65">
        <v>5860</v>
      </c>
      <c r="H1758" s="65">
        <f t="shared" si="140"/>
        <v>5860</v>
      </c>
      <c r="I1758" s="79">
        <f t="shared" si="137"/>
        <v>0</v>
      </c>
      <c r="J1758" s="79">
        <f t="shared" si="138"/>
        <v>3353.47</v>
      </c>
      <c r="K1758" s="79">
        <f t="shared" si="139"/>
        <v>3353.47</v>
      </c>
      <c r="L1758" s="121"/>
    </row>
    <row r="1759" spans="2:12" x14ac:dyDescent="0.35">
      <c r="B1759" s="111">
        <f t="shared" si="136"/>
        <v>1749</v>
      </c>
      <c r="C1759" s="80" t="s">
        <v>159</v>
      </c>
      <c r="D1759" s="81" t="s">
        <v>26</v>
      </c>
      <c r="E1759" s="78">
        <f>E1758*1.02</f>
        <v>0.58371030000000013</v>
      </c>
      <c r="F1759" s="65">
        <v>6700</v>
      </c>
      <c r="G1759" s="123"/>
      <c r="H1759" s="65">
        <f t="shared" si="140"/>
        <v>6700</v>
      </c>
      <c r="I1759" s="79">
        <f t="shared" si="137"/>
        <v>3910.86</v>
      </c>
      <c r="J1759" s="79">
        <f t="shared" si="138"/>
        <v>0</v>
      </c>
      <c r="K1759" s="79">
        <f t="shared" si="139"/>
        <v>3910.86</v>
      </c>
      <c r="L1759" s="121"/>
    </row>
    <row r="1760" spans="2:12" x14ac:dyDescent="0.35">
      <c r="B1760" s="111">
        <f t="shared" si="136"/>
        <v>1750</v>
      </c>
      <c r="C1760" s="64" t="s">
        <v>151</v>
      </c>
      <c r="D1760" s="81" t="s">
        <v>25</v>
      </c>
      <c r="E1760" s="78">
        <f>(3.14*2.5^2)/4</f>
        <v>4.90625</v>
      </c>
      <c r="F1760" s="65">
        <v>68.5</v>
      </c>
      <c r="G1760" s="65">
        <v>150</v>
      </c>
      <c r="H1760" s="65">
        <f t="shared" si="140"/>
        <v>218.5</v>
      </c>
      <c r="I1760" s="79">
        <f t="shared" si="137"/>
        <v>336.08</v>
      </c>
      <c r="J1760" s="79">
        <f t="shared" si="138"/>
        <v>735.94</v>
      </c>
      <c r="K1760" s="79">
        <f t="shared" si="139"/>
        <v>1072.02</v>
      </c>
      <c r="L1760" s="121"/>
    </row>
    <row r="1761" spans="2:12" ht="31" x14ac:dyDescent="0.35">
      <c r="B1761" s="111">
        <f t="shared" si="136"/>
        <v>1751</v>
      </c>
      <c r="C1761" s="64" t="s">
        <v>152</v>
      </c>
      <c r="D1761" s="81" t="s">
        <v>25</v>
      </c>
      <c r="E1761" s="78">
        <f>E1760</f>
        <v>4.90625</v>
      </c>
      <c r="F1761" s="65">
        <v>927</v>
      </c>
      <c r="G1761" s="65">
        <v>400</v>
      </c>
      <c r="H1761" s="65">
        <f t="shared" si="140"/>
        <v>1327</v>
      </c>
      <c r="I1761" s="79">
        <f t="shared" si="137"/>
        <v>4548.09</v>
      </c>
      <c r="J1761" s="79">
        <f t="shared" si="138"/>
        <v>1962.5</v>
      </c>
      <c r="K1761" s="79">
        <f t="shared" si="139"/>
        <v>6510.59</v>
      </c>
      <c r="L1761" s="121"/>
    </row>
    <row r="1762" spans="2:12" ht="31" x14ac:dyDescent="0.35">
      <c r="B1762" s="111">
        <f t="shared" si="136"/>
        <v>1752</v>
      </c>
      <c r="C1762" s="64" t="s">
        <v>69</v>
      </c>
      <c r="D1762" s="81" t="s">
        <v>32</v>
      </c>
      <c r="E1762" s="78">
        <v>1</v>
      </c>
      <c r="F1762" s="65"/>
      <c r="G1762" s="65">
        <v>5662</v>
      </c>
      <c r="H1762" s="65">
        <f t="shared" si="140"/>
        <v>5662</v>
      </c>
      <c r="I1762" s="79">
        <f t="shared" si="137"/>
        <v>0</v>
      </c>
      <c r="J1762" s="79">
        <f t="shared" si="138"/>
        <v>5662</v>
      </c>
      <c r="K1762" s="79">
        <f t="shared" si="139"/>
        <v>5662</v>
      </c>
      <c r="L1762" s="121"/>
    </row>
    <row r="1763" spans="2:12" x14ac:dyDescent="0.35">
      <c r="B1763" s="111">
        <f t="shared" si="136"/>
        <v>1753</v>
      </c>
      <c r="C1763" s="82" t="s">
        <v>71</v>
      </c>
      <c r="D1763" s="81" t="s">
        <v>32</v>
      </c>
      <c r="E1763" s="78">
        <v>1</v>
      </c>
      <c r="F1763" s="65">
        <f>7000*1.2</f>
        <v>8400</v>
      </c>
      <c r="G1763" s="123"/>
      <c r="H1763" s="65">
        <f t="shared" si="140"/>
        <v>8400</v>
      </c>
      <c r="I1763" s="79">
        <f t="shared" si="137"/>
        <v>8400</v>
      </c>
      <c r="J1763" s="79">
        <f t="shared" si="138"/>
        <v>0</v>
      </c>
      <c r="K1763" s="79">
        <f t="shared" si="139"/>
        <v>8400</v>
      </c>
      <c r="L1763" s="121"/>
    </row>
    <row r="1764" spans="2:12" x14ac:dyDescent="0.35">
      <c r="B1764" s="111">
        <f t="shared" si="136"/>
        <v>1754</v>
      </c>
      <c r="C1764" s="82" t="s">
        <v>101</v>
      </c>
      <c r="D1764" s="81" t="s">
        <v>26</v>
      </c>
      <c r="E1764" s="78">
        <f>((3.14*2^2)/4*0.02)*1.02</f>
        <v>6.4056000000000016E-2</v>
      </c>
      <c r="F1764" s="65">
        <v>7300</v>
      </c>
      <c r="G1764" s="123"/>
      <c r="H1764" s="65">
        <f t="shared" si="140"/>
        <v>7300</v>
      </c>
      <c r="I1764" s="79">
        <f t="shared" si="137"/>
        <v>467.61</v>
      </c>
      <c r="J1764" s="79">
        <f t="shared" si="138"/>
        <v>0</v>
      </c>
      <c r="K1764" s="79">
        <f t="shared" si="139"/>
        <v>467.61</v>
      </c>
      <c r="L1764" s="121"/>
    </row>
    <row r="1765" spans="2:12" ht="31" x14ac:dyDescent="0.35">
      <c r="B1765" s="111">
        <f t="shared" si="136"/>
        <v>1755</v>
      </c>
      <c r="C1765" s="64" t="s">
        <v>179</v>
      </c>
      <c r="D1765" s="81" t="s">
        <v>26</v>
      </c>
      <c r="E1765" s="78">
        <v>1.2</v>
      </c>
      <c r="F1765" s="65"/>
      <c r="G1765" s="65">
        <v>5860</v>
      </c>
      <c r="H1765" s="65">
        <f t="shared" si="140"/>
        <v>5860</v>
      </c>
      <c r="I1765" s="79">
        <f t="shared" si="137"/>
        <v>0</v>
      </c>
      <c r="J1765" s="79">
        <f t="shared" si="138"/>
        <v>7032</v>
      </c>
      <c r="K1765" s="79">
        <f t="shared" si="139"/>
        <v>7032</v>
      </c>
      <c r="L1765" s="121"/>
    </row>
    <row r="1766" spans="2:12" x14ac:dyDescent="0.35">
      <c r="B1766" s="111">
        <f t="shared" si="136"/>
        <v>1756</v>
      </c>
      <c r="C1766" s="82" t="s">
        <v>75</v>
      </c>
      <c r="D1766" s="81" t="s">
        <v>26</v>
      </c>
      <c r="E1766" s="78">
        <f>E1765*1.02</f>
        <v>1.224</v>
      </c>
      <c r="F1766" s="65">
        <v>7100</v>
      </c>
      <c r="G1766" s="123"/>
      <c r="H1766" s="65">
        <f t="shared" si="140"/>
        <v>7100</v>
      </c>
      <c r="I1766" s="79">
        <f t="shared" si="137"/>
        <v>8690.4</v>
      </c>
      <c r="J1766" s="79">
        <f t="shared" si="138"/>
        <v>0</v>
      </c>
      <c r="K1766" s="79">
        <f t="shared" si="139"/>
        <v>8690.4</v>
      </c>
      <c r="L1766" s="121"/>
    </row>
    <row r="1767" spans="2:12" ht="31" x14ac:dyDescent="0.35">
      <c r="B1767" s="111">
        <f t="shared" si="136"/>
        <v>1757</v>
      </c>
      <c r="C1767" s="64" t="s">
        <v>78</v>
      </c>
      <c r="D1767" s="81" t="s">
        <v>32</v>
      </c>
      <c r="E1767" s="78">
        <v>7</v>
      </c>
      <c r="F1767" s="65"/>
      <c r="G1767" s="65">
        <v>5662</v>
      </c>
      <c r="H1767" s="65">
        <f t="shared" si="140"/>
        <v>5662</v>
      </c>
      <c r="I1767" s="79">
        <f t="shared" si="137"/>
        <v>0</v>
      </c>
      <c r="J1767" s="79">
        <f t="shared" si="138"/>
        <v>39634</v>
      </c>
      <c r="K1767" s="79">
        <f t="shared" si="139"/>
        <v>39634</v>
      </c>
      <c r="L1767" s="121"/>
    </row>
    <row r="1768" spans="2:12" x14ac:dyDescent="0.35">
      <c r="B1768" s="111">
        <f t="shared" si="136"/>
        <v>1758</v>
      </c>
      <c r="C1768" s="82" t="s">
        <v>76</v>
      </c>
      <c r="D1768" s="81" t="s">
        <v>32</v>
      </c>
      <c r="E1768" s="78">
        <v>2</v>
      </c>
      <c r="F1768" s="65">
        <f>7000*1.2</f>
        <v>8400</v>
      </c>
      <c r="G1768" s="123"/>
      <c r="H1768" s="65">
        <f t="shared" si="140"/>
        <v>8400</v>
      </c>
      <c r="I1768" s="79">
        <f t="shared" si="137"/>
        <v>16800</v>
      </c>
      <c r="J1768" s="79">
        <f t="shared" si="138"/>
        <v>0</v>
      </c>
      <c r="K1768" s="79">
        <f t="shared" si="139"/>
        <v>16800</v>
      </c>
      <c r="L1768" s="121"/>
    </row>
    <row r="1769" spans="2:12" x14ac:dyDescent="0.35">
      <c r="B1769" s="111">
        <f t="shared" si="136"/>
        <v>1759</v>
      </c>
      <c r="C1769" s="82" t="s">
        <v>77</v>
      </c>
      <c r="D1769" s="81" t="s">
        <v>32</v>
      </c>
      <c r="E1769" s="78">
        <v>2</v>
      </c>
      <c r="F1769" s="65">
        <f>5500*1.2</f>
        <v>6600</v>
      </c>
      <c r="G1769" s="123"/>
      <c r="H1769" s="65">
        <f t="shared" si="140"/>
        <v>6600</v>
      </c>
      <c r="I1769" s="79">
        <f t="shared" si="137"/>
        <v>13200</v>
      </c>
      <c r="J1769" s="79">
        <f t="shared" si="138"/>
        <v>0</v>
      </c>
      <c r="K1769" s="79">
        <f t="shared" si="139"/>
        <v>13200</v>
      </c>
      <c r="L1769" s="121"/>
    </row>
    <row r="1770" spans="2:12" x14ac:dyDescent="0.35">
      <c r="B1770" s="111">
        <f t="shared" si="136"/>
        <v>1760</v>
      </c>
      <c r="C1770" s="82" t="s">
        <v>294</v>
      </c>
      <c r="D1770" s="81" t="s">
        <v>32</v>
      </c>
      <c r="E1770" s="78">
        <v>1</v>
      </c>
      <c r="F1770" s="65">
        <f>1200*1.2</f>
        <v>1440</v>
      </c>
      <c r="G1770" s="123"/>
      <c r="H1770" s="65">
        <f t="shared" si="140"/>
        <v>1440</v>
      </c>
      <c r="I1770" s="79">
        <f t="shared" si="137"/>
        <v>1440</v>
      </c>
      <c r="J1770" s="79">
        <f t="shared" si="138"/>
        <v>0</v>
      </c>
      <c r="K1770" s="79">
        <f t="shared" si="139"/>
        <v>1440</v>
      </c>
      <c r="L1770" s="121"/>
    </row>
    <row r="1771" spans="2:12" x14ac:dyDescent="0.35">
      <c r="B1771" s="111">
        <f t="shared" si="136"/>
        <v>1761</v>
      </c>
      <c r="C1771" s="82" t="s">
        <v>306</v>
      </c>
      <c r="D1771" s="81" t="s">
        <v>32</v>
      </c>
      <c r="E1771" s="78">
        <v>2</v>
      </c>
      <c r="F1771" s="65">
        <v>840</v>
      </c>
      <c r="G1771" s="123"/>
      <c r="H1771" s="65">
        <f t="shared" si="140"/>
        <v>840</v>
      </c>
      <c r="I1771" s="79">
        <f t="shared" si="137"/>
        <v>1680</v>
      </c>
      <c r="J1771" s="79">
        <f t="shared" si="138"/>
        <v>0</v>
      </c>
      <c r="K1771" s="79">
        <f t="shared" si="139"/>
        <v>1680</v>
      </c>
      <c r="L1771" s="121"/>
    </row>
    <row r="1772" spans="2:12" ht="31" x14ac:dyDescent="0.35">
      <c r="B1772" s="111">
        <f t="shared" si="136"/>
        <v>1762</v>
      </c>
      <c r="C1772" s="64" t="s">
        <v>85</v>
      </c>
      <c r="D1772" s="81" t="s">
        <v>32</v>
      </c>
      <c r="E1772" s="78">
        <v>1</v>
      </c>
      <c r="F1772" s="65"/>
      <c r="G1772" s="65">
        <v>2500</v>
      </c>
      <c r="H1772" s="65">
        <f t="shared" si="140"/>
        <v>2500</v>
      </c>
      <c r="I1772" s="79">
        <f t="shared" si="137"/>
        <v>0</v>
      </c>
      <c r="J1772" s="79">
        <f t="shared" si="138"/>
        <v>2500</v>
      </c>
      <c r="K1772" s="79">
        <f t="shared" si="139"/>
        <v>2500</v>
      </c>
      <c r="L1772" s="121"/>
    </row>
    <row r="1773" spans="2:12" x14ac:dyDescent="0.35">
      <c r="B1773" s="111">
        <f t="shared" si="136"/>
        <v>1763</v>
      </c>
      <c r="C1773" s="82" t="s">
        <v>79</v>
      </c>
      <c r="D1773" s="81" t="s">
        <v>32</v>
      </c>
      <c r="E1773" s="78">
        <v>1</v>
      </c>
      <c r="F1773" s="65">
        <f>6500*1.2</f>
        <v>7800</v>
      </c>
      <c r="G1773" s="123"/>
      <c r="H1773" s="65">
        <f t="shared" si="140"/>
        <v>7800</v>
      </c>
      <c r="I1773" s="79">
        <f t="shared" si="137"/>
        <v>7800</v>
      </c>
      <c r="J1773" s="79">
        <f t="shared" si="138"/>
        <v>0</v>
      </c>
      <c r="K1773" s="79">
        <f t="shared" si="139"/>
        <v>7800</v>
      </c>
      <c r="L1773" s="121"/>
    </row>
    <row r="1774" spans="2:12" ht="31" x14ac:dyDescent="0.35">
      <c r="B1774" s="111">
        <f t="shared" si="136"/>
        <v>1764</v>
      </c>
      <c r="C1774" s="64" t="s">
        <v>316</v>
      </c>
      <c r="D1774" s="81" t="s">
        <v>32</v>
      </c>
      <c r="E1774" s="78">
        <v>1</v>
      </c>
      <c r="F1774" s="65"/>
      <c r="G1774" s="65"/>
      <c r="H1774" s="65">
        <f t="shared" si="140"/>
        <v>0</v>
      </c>
      <c r="I1774" s="79">
        <f t="shared" si="137"/>
        <v>0</v>
      </c>
      <c r="J1774" s="79">
        <f t="shared" si="138"/>
        <v>0</v>
      </c>
      <c r="K1774" s="79">
        <f t="shared" si="139"/>
        <v>0</v>
      </c>
      <c r="L1774" s="121"/>
    </row>
    <row r="1775" spans="2:12" x14ac:dyDescent="0.35">
      <c r="B1775" s="111">
        <f t="shared" si="136"/>
        <v>1765</v>
      </c>
      <c r="C1775" s="88" t="s">
        <v>84</v>
      </c>
      <c r="D1775" s="81" t="s">
        <v>32</v>
      </c>
      <c r="E1775" s="78">
        <v>1</v>
      </c>
      <c r="F1775" s="65">
        <v>1300</v>
      </c>
      <c r="G1775" s="65">
        <v>990</v>
      </c>
      <c r="H1775" s="65">
        <f t="shared" si="140"/>
        <v>2290</v>
      </c>
      <c r="I1775" s="79">
        <f t="shared" si="137"/>
        <v>1300</v>
      </c>
      <c r="J1775" s="79">
        <f t="shared" si="138"/>
        <v>990</v>
      </c>
      <c r="K1775" s="79">
        <f t="shared" si="139"/>
        <v>2290</v>
      </c>
      <c r="L1775" s="121"/>
    </row>
    <row r="1776" spans="2:12" x14ac:dyDescent="0.35">
      <c r="B1776" s="111">
        <f t="shared" si="136"/>
        <v>1766</v>
      </c>
      <c r="C1776" s="80" t="s">
        <v>301</v>
      </c>
      <c r="D1776" s="81" t="s">
        <v>32</v>
      </c>
      <c r="E1776" s="78">
        <v>1</v>
      </c>
      <c r="F1776" s="65">
        <v>6000</v>
      </c>
      <c r="G1776" s="65">
        <v>1464.09</v>
      </c>
      <c r="H1776" s="65">
        <f t="shared" si="140"/>
        <v>7464.09</v>
      </c>
      <c r="I1776" s="79">
        <f t="shared" si="137"/>
        <v>6000</v>
      </c>
      <c r="J1776" s="79">
        <f t="shared" si="138"/>
        <v>1464.09</v>
      </c>
      <c r="K1776" s="79">
        <f t="shared" si="139"/>
        <v>7464.09</v>
      </c>
      <c r="L1776" s="121"/>
    </row>
    <row r="1777" spans="2:12" ht="31" x14ac:dyDescent="0.35">
      <c r="B1777" s="111">
        <f t="shared" si="136"/>
        <v>1767</v>
      </c>
      <c r="C1777" s="64" t="s">
        <v>156</v>
      </c>
      <c r="D1777" s="81" t="s">
        <v>25</v>
      </c>
      <c r="E1777" s="78">
        <f>(3.14*2.2)*3.97+3.8</f>
        <v>31.224760000000007</v>
      </c>
      <c r="F1777" s="65">
        <v>68.5</v>
      </c>
      <c r="G1777" s="65">
        <v>150</v>
      </c>
      <c r="H1777" s="65">
        <f t="shared" si="140"/>
        <v>218.5</v>
      </c>
      <c r="I1777" s="79">
        <f t="shared" si="137"/>
        <v>2138.9</v>
      </c>
      <c r="J1777" s="79">
        <f t="shared" si="138"/>
        <v>4683.71</v>
      </c>
      <c r="K1777" s="79">
        <f t="shared" si="139"/>
        <v>6822.6100000000006</v>
      </c>
      <c r="L1777" s="121"/>
    </row>
    <row r="1778" spans="2:12" ht="46.5" x14ac:dyDescent="0.35">
      <c r="B1778" s="111">
        <f t="shared" si="136"/>
        <v>1768</v>
      </c>
      <c r="C1778" s="64" t="s">
        <v>157</v>
      </c>
      <c r="D1778" s="81" t="s">
        <v>25</v>
      </c>
      <c r="E1778" s="78">
        <f>E1777</f>
        <v>31.224760000000007</v>
      </c>
      <c r="F1778" s="65">
        <v>927</v>
      </c>
      <c r="G1778" s="65">
        <v>400</v>
      </c>
      <c r="H1778" s="65">
        <f t="shared" si="140"/>
        <v>1327</v>
      </c>
      <c r="I1778" s="79">
        <f t="shared" si="137"/>
        <v>28945.35</v>
      </c>
      <c r="J1778" s="79">
        <f t="shared" si="138"/>
        <v>12489.9</v>
      </c>
      <c r="K1778" s="79">
        <f t="shared" si="139"/>
        <v>41435.25</v>
      </c>
      <c r="L1778" s="121"/>
    </row>
    <row r="1779" spans="2:12" x14ac:dyDescent="0.35">
      <c r="B1779" s="111">
        <f t="shared" si="136"/>
        <v>1769</v>
      </c>
      <c r="C1779" s="64" t="s">
        <v>102</v>
      </c>
      <c r="D1779" s="81" t="s">
        <v>32</v>
      </c>
      <c r="E1779" s="78">
        <v>1</v>
      </c>
      <c r="F1779" s="68"/>
      <c r="G1779" s="123"/>
      <c r="H1779" s="65">
        <f t="shared" si="140"/>
        <v>0</v>
      </c>
      <c r="I1779" s="79">
        <f t="shared" si="137"/>
        <v>0</v>
      </c>
      <c r="J1779" s="79">
        <f t="shared" si="138"/>
        <v>0</v>
      </c>
      <c r="K1779" s="79">
        <f t="shared" si="139"/>
        <v>0</v>
      </c>
      <c r="L1779" s="121"/>
    </row>
    <row r="1780" spans="2:12" x14ac:dyDescent="0.35">
      <c r="B1780" s="111">
        <f t="shared" si="136"/>
        <v>1770</v>
      </c>
      <c r="C1780" s="82" t="s">
        <v>104</v>
      </c>
      <c r="D1780" s="81" t="s">
        <v>31</v>
      </c>
      <c r="E1780" s="78">
        <v>30</v>
      </c>
      <c r="F1780" s="68">
        <v>71</v>
      </c>
      <c r="G1780" s="65">
        <v>97.61</v>
      </c>
      <c r="H1780" s="65">
        <f t="shared" si="140"/>
        <v>168.61</v>
      </c>
      <c r="I1780" s="79">
        <f t="shared" si="137"/>
        <v>2130</v>
      </c>
      <c r="J1780" s="79">
        <f t="shared" si="138"/>
        <v>2928.3</v>
      </c>
      <c r="K1780" s="79">
        <f t="shared" si="139"/>
        <v>5058.3</v>
      </c>
      <c r="L1780" s="121"/>
    </row>
    <row r="1781" spans="2:12" x14ac:dyDescent="0.35">
      <c r="B1781" s="111">
        <f t="shared" si="136"/>
        <v>1771</v>
      </c>
      <c r="C1781" s="64" t="s">
        <v>93</v>
      </c>
      <c r="D1781" s="81" t="s">
        <v>32</v>
      </c>
      <c r="E1781" s="78">
        <v>3</v>
      </c>
      <c r="F1781" s="68"/>
      <c r="G1781" s="123"/>
      <c r="H1781" s="65">
        <f t="shared" si="140"/>
        <v>0</v>
      </c>
      <c r="I1781" s="79">
        <f t="shared" si="137"/>
        <v>0</v>
      </c>
      <c r="J1781" s="79">
        <f t="shared" si="138"/>
        <v>0</v>
      </c>
      <c r="K1781" s="79">
        <f t="shared" si="139"/>
        <v>0</v>
      </c>
      <c r="L1781" s="121"/>
    </row>
    <row r="1782" spans="2:12" x14ac:dyDescent="0.35">
      <c r="B1782" s="111">
        <f t="shared" si="136"/>
        <v>1772</v>
      </c>
      <c r="C1782" s="82" t="s">
        <v>94</v>
      </c>
      <c r="D1782" s="81" t="s">
        <v>31</v>
      </c>
      <c r="E1782" s="78">
        <f>0.82*E1781</f>
        <v>2.46</v>
      </c>
      <c r="F1782" s="68">
        <v>71</v>
      </c>
      <c r="G1782" s="65">
        <v>97.61</v>
      </c>
      <c r="H1782" s="65">
        <f t="shared" si="140"/>
        <v>168.61</v>
      </c>
      <c r="I1782" s="79">
        <f t="shared" si="137"/>
        <v>174.66</v>
      </c>
      <c r="J1782" s="79">
        <f t="shared" si="138"/>
        <v>240.12</v>
      </c>
      <c r="K1782" s="79">
        <f t="shared" si="139"/>
        <v>414.78</v>
      </c>
      <c r="L1782" s="121"/>
    </row>
    <row r="1783" spans="2:12" ht="31" x14ac:dyDescent="0.35">
      <c r="B1783" s="111">
        <f t="shared" si="136"/>
        <v>1773</v>
      </c>
      <c r="C1783" s="64" t="s">
        <v>304</v>
      </c>
      <c r="D1783" s="81" t="s">
        <v>32</v>
      </c>
      <c r="E1783" s="78">
        <v>3</v>
      </c>
      <c r="F1783" s="68"/>
      <c r="G1783" s="65">
        <v>1464</v>
      </c>
      <c r="H1783" s="65">
        <f t="shared" si="140"/>
        <v>1464</v>
      </c>
      <c r="I1783" s="79">
        <f t="shared" si="137"/>
        <v>0</v>
      </c>
      <c r="J1783" s="79">
        <f t="shared" si="138"/>
        <v>4392</v>
      </c>
      <c r="K1783" s="79">
        <f t="shared" si="139"/>
        <v>4392</v>
      </c>
      <c r="L1783" s="121"/>
    </row>
    <row r="1784" spans="2:12" x14ac:dyDescent="0.35">
      <c r="B1784" s="111">
        <f t="shared" si="136"/>
        <v>1774</v>
      </c>
      <c r="C1784" s="64" t="s">
        <v>343</v>
      </c>
      <c r="D1784" s="81"/>
      <c r="E1784" s="78"/>
      <c r="F1784" s="65"/>
      <c r="G1784" s="123"/>
      <c r="H1784" s="65">
        <f t="shared" si="140"/>
        <v>0</v>
      </c>
      <c r="I1784" s="79">
        <f t="shared" si="137"/>
        <v>0</v>
      </c>
      <c r="J1784" s="79">
        <f t="shared" si="138"/>
        <v>0</v>
      </c>
      <c r="K1784" s="79">
        <f t="shared" si="139"/>
        <v>0</v>
      </c>
      <c r="L1784" s="121">
        <v>1</v>
      </c>
    </row>
    <row r="1785" spans="2:12" ht="31" x14ac:dyDescent="0.35">
      <c r="B1785" s="111">
        <f t="shared" si="136"/>
        <v>1775</v>
      </c>
      <c r="C1785" s="80" t="s">
        <v>309</v>
      </c>
      <c r="D1785" s="81" t="s">
        <v>32</v>
      </c>
      <c r="E1785" s="78">
        <v>1</v>
      </c>
      <c r="F1785" s="65">
        <v>2263</v>
      </c>
      <c r="G1785" s="65">
        <v>1700</v>
      </c>
      <c r="H1785" s="65">
        <f t="shared" si="140"/>
        <v>3963</v>
      </c>
      <c r="I1785" s="79">
        <f t="shared" si="137"/>
        <v>2263</v>
      </c>
      <c r="J1785" s="79">
        <f t="shared" si="138"/>
        <v>1700</v>
      </c>
      <c r="K1785" s="79">
        <f t="shared" si="139"/>
        <v>3963</v>
      </c>
      <c r="L1785" s="121"/>
    </row>
    <row r="1786" spans="2:12" ht="31" x14ac:dyDescent="0.35">
      <c r="B1786" s="111">
        <f t="shared" si="136"/>
        <v>1776</v>
      </c>
      <c r="C1786" s="80" t="s">
        <v>310</v>
      </c>
      <c r="D1786" s="81" t="s">
        <v>32</v>
      </c>
      <c r="E1786" s="78">
        <v>1</v>
      </c>
      <c r="F1786" s="65">
        <v>1303</v>
      </c>
      <c r="G1786" s="65">
        <v>1700</v>
      </c>
      <c r="H1786" s="65">
        <f t="shared" si="140"/>
        <v>3003</v>
      </c>
      <c r="I1786" s="79">
        <f t="shared" si="137"/>
        <v>1303</v>
      </c>
      <c r="J1786" s="79">
        <f t="shared" si="138"/>
        <v>1700</v>
      </c>
      <c r="K1786" s="79">
        <f t="shared" si="139"/>
        <v>3003</v>
      </c>
      <c r="L1786" s="121"/>
    </row>
    <row r="1787" spans="2:12" ht="31" x14ac:dyDescent="0.35">
      <c r="B1787" s="111">
        <f t="shared" si="136"/>
        <v>1777</v>
      </c>
      <c r="C1787" s="80" t="s">
        <v>63</v>
      </c>
      <c r="D1787" s="81" t="s">
        <v>27</v>
      </c>
      <c r="E1787" s="78">
        <f>0.25*1.1</f>
        <v>0.27500000000000002</v>
      </c>
      <c r="F1787" s="65">
        <v>855</v>
      </c>
      <c r="G1787" s="65">
        <v>1700</v>
      </c>
      <c r="H1787" s="65">
        <f t="shared" si="140"/>
        <v>2555</v>
      </c>
      <c r="I1787" s="79">
        <f t="shared" si="137"/>
        <v>235.13</v>
      </c>
      <c r="J1787" s="79">
        <f t="shared" si="138"/>
        <v>467.5</v>
      </c>
      <c r="K1787" s="79">
        <f t="shared" si="139"/>
        <v>702.63</v>
      </c>
      <c r="L1787" s="121"/>
    </row>
    <row r="1788" spans="2:12" ht="33" x14ac:dyDescent="0.35">
      <c r="B1788" s="111">
        <f t="shared" si="136"/>
        <v>1778</v>
      </c>
      <c r="C1788" s="64" t="s">
        <v>362</v>
      </c>
      <c r="D1788" s="81" t="s">
        <v>26</v>
      </c>
      <c r="E1788" s="78">
        <f>49.71-15.08</f>
        <v>34.630000000000003</v>
      </c>
      <c r="F1788" s="68"/>
      <c r="G1788" s="65">
        <v>439</v>
      </c>
      <c r="H1788" s="65">
        <f t="shared" si="140"/>
        <v>439</v>
      </c>
      <c r="I1788" s="79">
        <f t="shared" si="137"/>
        <v>0</v>
      </c>
      <c r="J1788" s="79">
        <f t="shared" si="138"/>
        <v>15202.57</v>
      </c>
      <c r="K1788" s="79">
        <f t="shared" si="139"/>
        <v>15202.57</v>
      </c>
      <c r="L1788" s="121"/>
    </row>
    <row r="1789" spans="2:12" ht="45" x14ac:dyDescent="0.35">
      <c r="B1789" s="111">
        <f t="shared" si="136"/>
        <v>1779</v>
      </c>
      <c r="C1789" s="98" t="s">
        <v>276</v>
      </c>
      <c r="D1789" s="99" t="s">
        <v>27</v>
      </c>
      <c r="E1789" s="100">
        <v>5.6</v>
      </c>
      <c r="F1789" s="101"/>
      <c r="G1789" s="106"/>
      <c r="H1789" s="101">
        <f t="shared" si="140"/>
        <v>0</v>
      </c>
      <c r="I1789" s="101">
        <f t="shared" si="137"/>
        <v>0</v>
      </c>
      <c r="J1789" s="101">
        <f t="shared" si="138"/>
        <v>0</v>
      </c>
      <c r="K1789" s="101">
        <f t="shared" si="139"/>
        <v>0</v>
      </c>
      <c r="L1789" s="121"/>
    </row>
    <row r="1790" spans="2:12" ht="31" x14ac:dyDescent="0.35">
      <c r="B1790" s="111">
        <f t="shared" si="136"/>
        <v>1780</v>
      </c>
      <c r="C1790" s="64" t="s">
        <v>348</v>
      </c>
      <c r="D1790" s="77" t="s">
        <v>26</v>
      </c>
      <c r="E1790" s="78">
        <f>0.97*42.2</f>
        <v>40.934000000000005</v>
      </c>
      <c r="F1790" s="65"/>
      <c r="G1790" s="65">
        <v>300</v>
      </c>
      <c r="H1790" s="65">
        <f t="shared" si="140"/>
        <v>300</v>
      </c>
      <c r="I1790" s="79">
        <f t="shared" si="137"/>
        <v>0</v>
      </c>
      <c r="J1790" s="79">
        <f t="shared" si="138"/>
        <v>12280.2</v>
      </c>
      <c r="K1790" s="79">
        <f t="shared" si="139"/>
        <v>12280.2</v>
      </c>
      <c r="L1790" s="121"/>
    </row>
    <row r="1791" spans="2:12" x14ac:dyDescent="0.35">
      <c r="B1791" s="111">
        <f t="shared" si="136"/>
        <v>1781</v>
      </c>
      <c r="C1791" s="64" t="s">
        <v>19</v>
      </c>
      <c r="D1791" s="77" t="s">
        <v>26</v>
      </c>
      <c r="E1791" s="78">
        <f>E1790/97*3</f>
        <v>1.266</v>
      </c>
      <c r="F1791" s="65"/>
      <c r="G1791" s="65">
        <v>1500</v>
      </c>
      <c r="H1791" s="65">
        <f t="shared" si="140"/>
        <v>1500</v>
      </c>
      <c r="I1791" s="79">
        <f t="shared" si="137"/>
        <v>0</v>
      </c>
      <c r="J1791" s="79">
        <f t="shared" si="138"/>
        <v>1899</v>
      </c>
      <c r="K1791" s="79">
        <f t="shared" si="139"/>
        <v>1899</v>
      </c>
      <c r="L1791" s="121"/>
    </row>
    <row r="1792" spans="2:12" x14ac:dyDescent="0.35">
      <c r="B1792" s="111">
        <f t="shared" si="136"/>
        <v>1782</v>
      </c>
      <c r="C1792" s="64" t="s">
        <v>184</v>
      </c>
      <c r="D1792" s="77" t="s">
        <v>25</v>
      </c>
      <c r="E1792" s="78">
        <f>E1789*0.7*2</f>
        <v>7.839999999999999</v>
      </c>
      <c r="F1792" s="65"/>
      <c r="G1792" s="123"/>
      <c r="H1792" s="65">
        <f t="shared" si="140"/>
        <v>0</v>
      </c>
      <c r="I1792" s="79">
        <f t="shared" si="137"/>
        <v>0</v>
      </c>
      <c r="J1792" s="79">
        <f t="shared" si="138"/>
        <v>0</v>
      </c>
      <c r="K1792" s="79">
        <f t="shared" si="139"/>
        <v>0</v>
      </c>
      <c r="L1792" s="121"/>
    </row>
    <row r="1793" spans="2:12" ht="31" x14ac:dyDescent="0.35">
      <c r="B1793" s="111">
        <f t="shared" si="136"/>
        <v>1783</v>
      </c>
      <c r="C1793" s="64" t="s">
        <v>232</v>
      </c>
      <c r="D1793" s="77" t="s">
        <v>25</v>
      </c>
      <c r="E1793" s="78">
        <f>E1789*0.45*2</f>
        <v>5.04</v>
      </c>
      <c r="F1793" s="65">
        <f>1973*0.15</f>
        <v>295.95</v>
      </c>
      <c r="G1793" s="65">
        <f>1500*0.15</f>
        <v>225</v>
      </c>
      <c r="H1793" s="65">
        <f t="shared" si="140"/>
        <v>520.95000000000005</v>
      </c>
      <c r="I1793" s="79">
        <f t="shared" si="137"/>
        <v>1491.59</v>
      </c>
      <c r="J1793" s="79">
        <f t="shared" si="138"/>
        <v>1134</v>
      </c>
      <c r="K1793" s="79">
        <f t="shared" si="139"/>
        <v>2625.59</v>
      </c>
      <c r="L1793" s="121"/>
    </row>
    <row r="1794" spans="2:12" x14ac:dyDescent="0.35">
      <c r="B1794" s="111">
        <f t="shared" si="136"/>
        <v>1784</v>
      </c>
      <c r="C1794" s="64" t="s">
        <v>20</v>
      </c>
      <c r="D1794" s="77" t="s">
        <v>26</v>
      </c>
      <c r="E1794" s="78">
        <f>0.32*2*E1789*0.1</f>
        <v>0.3584</v>
      </c>
      <c r="F1794" s="65"/>
      <c r="G1794" s="65">
        <v>5860</v>
      </c>
      <c r="H1794" s="65">
        <f t="shared" si="140"/>
        <v>5860</v>
      </c>
      <c r="I1794" s="79">
        <f t="shared" si="137"/>
        <v>0</v>
      </c>
      <c r="J1794" s="79">
        <f t="shared" si="138"/>
        <v>2100.2199999999998</v>
      </c>
      <c r="K1794" s="79">
        <f t="shared" si="139"/>
        <v>2100.2199999999998</v>
      </c>
      <c r="L1794" s="121"/>
    </row>
    <row r="1795" spans="2:12" x14ac:dyDescent="0.35">
      <c r="B1795" s="111">
        <f t="shared" si="136"/>
        <v>1785</v>
      </c>
      <c r="C1795" s="80" t="s">
        <v>159</v>
      </c>
      <c r="D1795" s="77" t="s">
        <v>26</v>
      </c>
      <c r="E1795" s="78">
        <f>E1794*1.02</f>
        <v>0.365568</v>
      </c>
      <c r="F1795" s="65">
        <v>6700</v>
      </c>
      <c r="G1795" s="123"/>
      <c r="H1795" s="65">
        <f t="shared" si="140"/>
        <v>6700</v>
      </c>
      <c r="I1795" s="79">
        <f t="shared" si="137"/>
        <v>2449.31</v>
      </c>
      <c r="J1795" s="79">
        <f t="shared" si="138"/>
        <v>0</v>
      </c>
      <c r="K1795" s="79">
        <f t="shared" si="139"/>
        <v>2449.31</v>
      </c>
      <c r="L1795" s="121"/>
    </row>
    <row r="1796" spans="2:12" x14ac:dyDescent="0.35">
      <c r="B1796" s="111">
        <f t="shared" si="136"/>
        <v>1786</v>
      </c>
      <c r="C1796" s="64" t="s">
        <v>28</v>
      </c>
      <c r="D1796" s="77" t="s">
        <v>26</v>
      </c>
      <c r="E1796" s="78">
        <f>0.73*2*E1789*0.1</f>
        <v>0.8176000000000001</v>
      </c>
      <c r="F1796" s="65"/>
      <c r="G1796" s="65">
        <v>5860</v>
      </c>
      <c r="H1796" s="65">
        <f t="shared" si="140"/>
        <v>5860</v>
      </c>
      <c r="I1796" s="79">
        <f t="shared" si="137"/>
        <v>0</v>
      </c>
      <c r="J1796" s="79">
        <f t="shared" si="138"/>
        <v>4791.1400000000003</v>
      </c>
      <c r="K1796" s="79">
        <f t="shared" si="139"/>
        <v>4791.1400000000003</v>
      </c>
      <c r="L1796" s="121"/>
    </row>
    <row r="1797" spans="2:12" x14ac:dyDescent="0.35">
      <c r="B1797" s="111">
        <f t="shared" si="136"/>
        <v>1787</v>
      </c>
      <c r="C1797" s="80" t="s">
        <v>29</v>
      </c>
      <c r="D1797" s="77" t="s">
        <v>26</v>
      </c>
      <c r="E1797" s="78">
        <f>E1796*1.02</f>
        <v>0.83395200000000014</v>
      </c>
      <c r="F1797" s="65">
        <v>7100</v>
      </c>
      <c r="G1797" s="123"/>
      <c r="H1797" s="65">
        <f t="shared" si="140"/>
        <v>7100</v>
      </c>
      <c r="I1797" s="79">
        <f t="shared" si="137"/>
        <v>5921.06</v>
      </c>
      <c r="J1797" s="79">
        <f t="shared" si="138"/>
        <v>0</v>
      </c>
      <c r="K1797" s="79">
        <f t="shared" si="139"/>
        <v>5921.06</v>
      </c>
      <c r="L1797" s="121"/>
    </row>
    <row r="1798" spans="2:12" x14ac:dyDescent="0.35">
      <c r="B1798" s="111">
        <f t="shared" si="136"/>
        <v>1788</v>
      </c>
      <c r="C1798" s="80" t="s">
        <v>30</v>
      </c>
      <c r="D1798" s="77" t="s">
        <v>31</v>
      </c>
      <c r="E1798" s="78">
        <f>31.39*E1789*0.1*2</f>
        <v>35.156799999999997</v>
      </c>
      <c r="F1798" s="65">
        <v>118.9</v>
      </c>
      <c r="G1798" s="123"/>
      <c r="H1798" s="65">
        <f t="shared" si="140"/>
        <v>118.9</v>
      </c>
      <c r="I1798" s="79">
        <f t="shared" si="137"/>
        <v>4180.1400000000003</v>
      </c>
      <c r="J1798" s="79">
        <f t="shared" si="138"/>
        <v>0</v>
      </c>
      <c r="K1798" s="79">
        <f t="shared" si="139"/>
        <v>4180.1400000000003</v>
      </c>
      <c r="L1798" s="121"/>
    </row>
    <row r="1799" spans="2:12" x14ac:dyDescent="0.35">
      <c r="B1799" s="111">
        <f t="shared" si="136"/>
        <v>1789</v>
      </c>
      <c r="C1799" s="64" t="s">
        <v>233</v>
      </c>
      <c r="D1799" s="77" t="s">
        <v>27</v>
      </c>
      <c r="E1799" s="78">
        <f>E1789</f>
        <v>5.6</v>
      </c>
      <c r="F1799" s="65"/>
      <c r="G1799" s="65">
        <v>6000</v>
      </c>
      <c r="H1799" s="65">
        <f t="shared" si="140"/>
        <v>6000</v>
      </c>
      <c r="I1799" s="79">
        <f t="shared" si="137"/>
        <v>0</v>
      </c>
      <c r="J1799" s="79">
        <f t="shared" si="138"/>
        <v>33600</v>
      </c>
      <c r="K1799" s="79">
        <f t="shared" si="139"/>
        <v>33600</v>
      </c>
      <c r="L1799" s="121"/>
    </row>
    <row r="1800" spans="2:12" x14ac:dyDescent="0.35">
      <c r="B1800" s="111">
        <f t="shared" si="136"/>
        <v>1790</v>
      </c>
      <c r="C1800" s="80" t="s">
        <v>353</v>
      </c>
      <c r="D1800" s="77" t="s">
        <v>27</v>
      </c>
      <c r="E1800" s="78">
        <f>E1799*1.1*2</f>
        <v>12.32</v>
      </c>
      <c r="F1800" s="65">
        <v>800</v>
      </c>
      <c r="G1800" s="65"/>
      <c r="H1800" s="65">
        <f t="shared" si="140"/>
        <v>800</v>
      </c>
      <c r="I1800" s="79">
        <f t="shared" si="137"/>
        <v>9856</v>
      </c>
      <c r="J1800" s="79">
        <f t="shared" si="138"/>
        <v>0</v>
      </c>
      <c r="K1800" s="79">
        <f t="shared" si="139"/>
        <v>9856</v>
      </c>
      <c r="L1800" s="121"/>
    </row>
    <row r="1801" spans="2:12" ht="33" x14ac:dyDescent="0.35">
      <c r="B1801" s="111">
        <f t="shared" si="136"/>
        <v>1791</v>
      </c>
      <c r="C1801" s="64" t="s">
        <v>355</v>
      </c>
      <c r="D1801" s="81" t="s">
        <v>26</v>
      </c>
      <c r="E1801" s="78">
        <v>46.4</v>
      </c>
      <c r="F1801" s="65"/>
      <c r="G1801" s="65">
        <v>439</v>
      </c>
      <c r="H1801" s="65">
        <f t="shared" si="140"/>
        <v>439</v>
      </c>
      <c r="I1801" s="79">
        <f t="shared" si="137"/>
        <v>0</v>
      </c>
      <c r="J1801" s="79">
        <f t="shared" si="138"/>
        <v>20369.599999999999</v>
      </c>
      <c r="K1801" s="79">
        <f t="shared" si="139"/>
        <v>20369.599999999999</v>
      </c>
      <c r="L1801" s="121"/>
    </row>
    <row r="1802" spans="2:12" ht="25.25" customHeight="1" x14ac:dyDescent="0.35">
      <c r="B1802" s="111">
        <f t="shared" si="136"/>
        <v>1792</v>
      </c>
      <c r="C1802" s="98" t="s">
        <v>278</v>
      </c>
      <c r="D1802" s="103" t="s">
        <v>32</v>
      </c>
      <c r="E1802" s="100">
        <v>1</v>
      </c>
      <c r="F1802" s="101"/>
      <c r="G1802" s="106"/>
      <c r="H1802" s="101">
        <f t="shared" si="140"/>
        <v>0</v>
      </c>
      <c r="I1802" s="101">
        <f t="shared" si="137"/>
        <v>0</v>
      </c>
      <c r="J1802" s="101">
        <f t="shared" si="138"/>
        <v>0</v>
      </c>
      <c r="K1802" s="101">
        <f t="shared" si="139"/>
        <v>0</v>
      </c>
      <c r="L1802" s="121"/>
    </row>
    <row r="1803" spans="2:12" ht="31" x14ac:dyDescent="0.35">
      <c r="B1803" s="111">
        <f t="shared" si="136"/>
        <v>1793</v>
      </c>
      <c r="C1803" s="64" t="s">
        <v>348</v>
      </c>
      <c r="D1803" s="81" t="s">
        <v>26</v>
      </c>
      <c r="E1803" s="78">
        <f>44.08*0.97</f>
        <v>42.757599999999996</v>
      </c>
      <c r="F1803" s="65"/>
      <c r="G1803" s="65">
        <v>300</v>
      </c>
      <c r="H1803" s="65">
        <f t="shared" si="140"/>
        <v>300</v>
      </c>
      <c r="I1803" s="79">
        <f t="shared" si="137"/>
        <v>0</v>
      </c>
      <c r="J1803" s="79">
        <f t="shared" si="138"/>
        <v>12827.28</v>
      </c>
      <c r="K1803" s="79">
        <f t="shared" si="139"/>
        <v>12827.28</v>
      </c>
      <c r="L1803" s="121"/>
    </row>
    <row r="1804" spans="2:12" x14ac:dyDescent="0.35">
      <c r="B1804" s="111">
        <f t="shared" si="136"/>
        <v>1794</v>
      </c>
      <c r="C1804" s="64" t="s">
        <v>19</v>
      </c>
      <c r="D1804" s="81" t="s">
        <v>26</v>
      </c>
      <c r="E1804" s="78">
        <f>E1803/9</f>
        <v>4.7508444444444438</v>
      </c>
      <c r="F1804" s="65"/>
      <c r="G1804" s="65">
        <v>1500</v>
      </c>
      <c r="H1804" s="65">
        <f t="shared" si="140"/>
        <v>1500</v>
      </c>
      <c r="I1804" s="79">
        <f t="shared" si="137"/>
        <v>0</v>
      </c>
      <c r="J1804" s="79">
        <f t="shared" si="138"/>
        <v>7126.27</v>
      </c>
      <c r="K1804" s="79">
        <f t="shared" si="139"/>
        <v>7126.27</v>
      </c>
      <c r="L1804" s="121"/>
    </row>
    <row r="1805" spans="2:12" x14ac:dyDescent="0.35">
      <c r="B1805" s="111">
        <f t="shared" ref="B1805:B1868" si="141">B1804+1</f>
        <v>1795</v>
      </c>
      <c r="C1805" s="64" t="s">
        <v>67</v>
      </c>
      <c r="D1805" s="81" t="s">
        <v>25</v>
      </c>
      <c r="E1805" s="78">
        <f>(3.14*2.7^2)/4</f>
        <v>5.7226500000000007</v>
      </c>
      <c r="F1805" s="65"/>
      <c r="G1805" s="123"/>
      <c r="H1805" s="65">
        <f t="shared" si="140"/>
        <v>0</v>
      </c>
      <c r="I1805" s="79">
        <f t="shared" ref="I1805:I1868" si="142">ROUND(F1805*E1805,2)</f>
        <v>0</v>
      </c>
      <c r="J1805" s="79">
        <f t="shared" ref="J1805:J1868" si="143">ROUND(G1805*E1805,2)</f>
        <v>0</v>
      </c>
      <c r="K1805" s="79">
        <f t="shared" ref="K1805:K1868" si="144">I1805+J1805</f>
        <v>0</v>
      </c>
      <c r="L1805" s="121"/>
    </row>
    <row r="1806" spans="2:12" x14ac:dyDescent="0.35">
      <c r="B1806" s="111">
        <f t="shared" si="141"/>
        <v>1796</v>
      </c>
      <c r="C1806" s="64" t="s">
        <v>68</v>
      </c>
      <c r="D1806" s="81" t="s">
        <v>26</v>
      </c>
      <c r="E1806" s="78">
        <f>(3.14*2.7^2)/4*0.1</f>
        <v>0.57226500000000013</v>
      </c>
      <c r="F1806" s="65"/>
      <c r="G1806" s="65">
        <v>5860</v>
      </c>
      <c r="H1806" s="65">
        <f t="shared" si="140"/>
        <v>5860</v>
      </c>
      <c r="I1806" s="79">
        <f t="shared" si="142"/>
        <v>0</v>
      </c>
      <c r="J1806" s="79">
        <f t="shared" si="143"/>
        <v>3353.47</v>
      </c>
      <c r="K1806" s="79">
        <f t="shared" si="144"/>
        <v>3353.47</v>
      </c>
      <c r="L1806" s="121"/>
    </row>
    <row r="1807" spans="2:12" x14ac:dyDescent="0.35">
      <c r="B1807" s="111">
        <f t="shared" si="141"/>
        <v>1797</v>
      </c>
      <c r="C1807" s="80" t="s">
        <v>159</v>
      </c>
      <c r="D1807" s="81" t="s">
        <v>26</v>
      </c>
      <c r="E1807" s="78">
        <f>E1806*1.02</f>
        <v>0.58371030000000013</v>
      </c>
      <c r="F1807" s="65">
        <v>6700</v>
      </c>
      <c r="G1807" s="123"/>
      <c r="H1807" s="65">
        <f t="shared" ref="H1807:H1870" si="145">F1807+G1807</f>
        <v>6700</v>
      </c>
      <c r="I1807" s="79">
        <f t="shared" si="142"/>
        <v>3910.86</v>
      </c>
      <c r="J1807" s="79">
        <f t="shared" si="143"/>
        <v>0</v>
      </c>
      <c r="K1807" s="79">
        <f t="shared" si="144"/>
        <v>3910.86</v>
      </c>
      <c r="L1807" s="121"/>
    </row>
    <row r="1808" spans="2:12" x14ac:dyDescent="0.35">
      <c r="B1808" s="111">
        <f t="shared" si="141"/>
        <v>1798</v>
      </c>
      <c r="C1808" s="64" t="s">
        <v>151</v>
      </c>
      <c r="D1808" s="81" t="s">
        <v>25</v>
      </c>
      <c r="E1808" s="78">
        <f>(3.14*2.5^2)/4</f>
        <v>4.90625</v>
      </c>
      <c r="F1808" s="65">
        <v>68.5</v>
      </c>
      <c r="G1808" s="65">
        <v>150</v>
      </c>
      <c r="H1808" s="65">
        <f t="shared" si="145"/>
        <v>218.5</v>
      </c>
      <c r="I1808" s="79">
        <f t="shared" si="142"/>
        <v>336.08</v>
      </c>
      <c r="J1808" s="79">
        <f t="shared" si="143"/>
        <v>735.94</v>
      </c>
      <c r="K1808" s="79">
        <f t="shared" si="144"/>
        <v>1072.02</v>
      </c>
      <c r="L1808" s="121"/>
    </row>
    <row r="1809" spans="2:12" ht="31" x14ac:dyDescent="0.35">
      <c r="B1809" s="111">
        <f t="shared" si="141"/>
        <v>1799</v>
      </c>
      <c r="C1809" s="64" t="s">
        <v>152</v>
      </c>
      <c r="D1809" s="81" t="s">
        <v>25</v>
      </c>
      <c r="E1809" s="78">
        <f>E1808</f>
        <v>4.90625</v>
      </c>
      <c r="F1809" s="65">
        <v>927</v>
      </c>
      <c r="G1809" s="65">
        <v>400</v>
      </c>
      <c r="H1809" s="65">
        <f t="shared" si="145"/>
        <v>1327</v>
      </c>
      <c r="I1809" s="79">
        <f t="shared" si="142"/>
        <v>4548.09</v>
      </c>
      <c r="J1809" s="79">
        <f t="shared" si="143"/>
        <v>1962.5</v>
      </c>
      <c r="K1809" s="79">
        <f t="shared" si="144"/>
        <v>6510.59</v>
      </c>
      <c r="L1809" s="121"/>
    </row>
    <row r="1810" spans="2:12" ht="31" x14ac:dyDescent="0.35">
      <c r="B1810" s="111">
        <f t="shared" si="141"/>
        <v>1800</v>
      </c>
      <c r="C1810" s="64" t="s">
        <v>69</v>
      </c>
      <c r="D1810" s="81" t="s">
        <v>32</v>
      </c>
      <c r="E1810" s="78">
        <v>1</v>
      </c>
      <c r="F1810" s="65"/>
      <c r="G1810" s="65">
        <v>5662</v>
      </c>
      <c r="H1810" s="65">
        <f t="shared" si="145"/>
        <v>5662</v>
      </c>
      <c r="I1810" s="79">
        <f t="shared" si="142"/>
        <v>0</v>
      </c>
      <c r="J1810" s="79">
        <f t="shared" si="143"/>
        <v>5662</v>
      </c>
      <c r="K1810" s="79">
        <f t="shared" si="144"/>
        <v>5662</v>
      </c>
      <c r="L1810" s="121"/>
    </row>
    <row r="1811" spans="2:12" x14ac:dyDescent="0.35">
      <c r="B1811" s="111">
        <f t="shared" si="141"/>
        <v>1801</v>
      </c>
      <c r="C1811" s="82" t="s">
        <v>71</v>
      </c>
      <c r="D1811" s="81" t="s">
        <v>32</v>
      </c>
      <c r="E1811" s="78">
        <v>1</v>
      </c>
      <c r="F1811" s="65">
        <f>7000*1.2</f>
        <v>8400</v>
      </c>
      <c r="G1811" s="123"/>
      <c r="H1811" s="65">
        <f t="shared" si="145"/>
        <v>8400</v>
      </c>
      <c r="I1811" s="79">
        <f t="shared" si="142"/>
        <v>8400</v>
      </c>
      <c r="J1811" s="79">
        <f t="shared" si="143"/>
        <v>0</v>
      </c>
      <c r="K1811" s="79">
        <f t="shared" si="144"/>
        <v>8400</v>
      </c>
      <c r="L1811" s="121"/>
    </row>
    <row r="1812" spans="2:12" x14ac:dyDescent="0.35">
      <c r="B1812" s="111">
        <f t="shared" si="141"/>
        <v>1802</v>
      </c>
      <c r="C1812" s="82" t="s">
        <v>101</v>
      </c>
      <c r="D1812" s="81" t="s">
        <v>26</v>
      </c>
      <c r="E1812" s="78">
        <f>((3.14*2^2)/4*0.02)*1.02</f>
        <v>6.4056000000000016E-2</v>
      </c>
      <c r="F1812" s="65">
        <v>7300</v>
      </c>
      <c r="G1812" s="123"/>
      <c r="H1812" s="65">
        <f t="shared" si="145"/>
        <v>7300</v>
      </c>
      <c r="I1812" s="79">
        <f t="shared" si="142"/>
        <v>467.61</v>
      </c>
      <c r="J1812" s="79">
        <f t="shared" si="143"/>
        <v>0</v>
      </c>
      <c r="K1812" s="79">
        <f t="shared" si="144"/>
        <v>467.61</v>
      </c>
      <c r="L1812" s="121"/>
    </row>
    <row r="1813" spans="2:12" ht="31" x14ac:dyDescent="0.35">
      <c r="B1813" s="111">
        <f t="shared" si="141"/>
        <v>1803</v>
      </c>
      <c r="C1813" s="64" t="s">
        <v>179</v>
      </c>
      <c r="D1813" s="81" t="s">
        <v>26</v>
      </c>
      <c r="E1813" s="78">
        <v>1.2</v>
      </c>
      <c r="F1813" s="65"/>
      <c r="G1813" s="65">
        <v>5860</v>
      </c>
      <c r="H1813" s="65">
        <f t="shared" si="145"/>
        <v>5860</v>
      </c>
      <c r="I1813" s="79">
        <f t="shared" si="142"/>
        <v>0</v>
      </c>
      <c r="J1813" s="79">
        <f t="shared" si="143"/>
        <v>7032</v>
      </c>
      <c r="K1813" s="79">
        <f t="shared" si="144"/>
        <v>7032</v>
      </c>
      <c r="L1813" s="121"/>
    </row>
    <row r="1814" spans="2:12" x14ac:dyDescent="0.35">
      <c r="B1814" s="111">
        <f t="shared" si="141"/>
        <v>1804</v>
      </c>
      <c r="C1814" s="82" t="s">
        <v>75</v>
      </c>
      <c r="D1814" s="81" t="s">
        <v>26</v>
      </c>
      <c r="E1814" s="78">
        <f>E1813*1.02</f>
        <v>1.224</v>
      </c>
      <c r="F1814" s="65">
        <v>7100</v>
      </c>
      <c r="G1814" s="123"/>
      <c r="H1814" s="65">
        <f t="shared" si="145"/>
        <v>7100</v>
      </c>
      <c r="I1814" s="79">
        <f t="shared" si="142"/>
        <v>8690.4</v>
      </c>
      <c r="J1814" s="79">
        <f t="shared" si="143"/>
        <v>0</v>
      </c>
      <c r="K1814" s="79">
        <f t="shared" si="144"/>
        <v>8690.4</v>
      </c>
      <c r="L1814" s="121"/>
    </row>
    <row r="1815" spans="2:12" ht="31" x14ac:dyDescent="0.35">
      <c r="B1815" s="111">
        <f t="shared" si="141"/>
        <v>1805</v>
      </c>
      <c r="C1815" s="64" t="s">
        <v>78</v>
      </c>
      <c r="D1815" s="81" t="s">
        <v>32</v>
      </c>
      <c r="E1815" s="78">
        <v>7</v>
      </c>
      <c r="F1815" s="65"/>
      <c r="G1815" s="65">
        <v>5662</v>
      </c>
      <c r="H1815" s="65">
        <f t="shared" si="145"/>
        <v>5662</v>
      </c>
      <c r="I1815" s="79">
        <f t="shared" si="142"/>
        <v>0</v>
      </c>
      <c r="J1815" s="79">
        <f t="shared" si="143"/>
        <v>39634</v>
      </c>
      <c r="K1815" s="79">
        <f t="shared" si="144"/>
        <v>39634</v>
      </c>
      <c r="L1815" s="121"/>
    </row>
    <row r="1816" spans="2:12" x14ac:dyDescent="0.35">
      <c r="B1816" s="111">
        <f t="shared" si="141"/>
        <v>1806</v>
      </c>
      <c r="C1816" s="82" t="s">
        <v>76</v>
      </c>
      <c r="D1816" s="81" t="s">
        <v>32</v>
      </c>
      <c r="E1816" s="78">
        <v>2</v>
      </c>
      <c r="F1816" s="65">
        <f>7000*1.2</f>
        <v>8400</v>
      </c>
      <c r="G1816" s="123"/>
      <c r="H1816" s="65">
        <f t="shared" si="145"/>
        <v>8400</v>
      </c>
      <c r="I1816" s="79">
        <f t="shared" si="142"/>
        <v>16800</v>
      </c>
      <c r="J1816" s="79">
        <f t="shared" si="143"/>
        <v>0</v>
      </c>
      <c r="K1816" s="79">
        <f t="shared" si="144"/>
        <v>16800</v>
      </c>
      <c r="L1816" s="121"/>
    </row>
    <row r="1817" spans="2:12" x14ac:dyDescent="0.35">
      <c r="B1817" s="111">
        <f t="shared" si="141"/>
        <v>1807</v>
      </c>
      <c r="C1817" s="82" t="s">
        <v>77</v>
      </c>
      <c r="D1817" s="81" t="s">
        <v>32</v>
      </c>
      <c r="E1817" s="78">
        <v>2</v>
      </c>
      <c r="F1817" s="65">
        <f>5500*1.2</f>
        <v>6600</v>
      </c>
      <c r="G1817" s="123"/>
      <c r="H1817" s="65">
        <f t="shared" si="145"/>
        <v>6600</v>
      </c>
      <c r="I1817" s="79">
        <f t="shared" si="142"/>
        <v>13200</v>
      </c>
      <c r="J1817" s="79">
        <f t="shared" si="143"/>
        <v>0</v>
      </c>
      <c r="K1817" s="79">
        <f t="shared" si="144"/>
        <v>13200</v>
      </c>
      <c r="L1817" s="121"/>
    </row>
    <row r="1818" spans="2:12" x14ac:dyDescent="0.35">
      <c r="B1818" s="111">
        <f t="shared" si="141"/>
        <v>1808</v>
      </c>
      <c r="C1818" s="82" t="s">
        <v>294</v>
      </c>
      <c r="D1818" s="81" t="s">
        <v>32</v>
      </c>
      <c r="E1818" s="78">
        <v>1</v>
      </c>
      <c r="F1818" s="65">
        <f>1200*1.2</f>
        <v>1440</v>
      </c>
      <c r="G1818" s="123"/>
      <c r="H1818" s="65">
        <f t="shared" si="145"/>
        <v>1440</v>
      </c>
      <c r="I1818" s="79">
        <f t="shared" si="142"/>
        <v>1440</v>
      </c>
      <c r="J1818" s="79">
        <f t="shared" si="143"/>
        <v>0</v>
      </c>
      <c r="K1818" s="79">
        <f t="shared" si="144"/>
        <v>1440</v>
      </c>
      <c r="L1818" s="121"/>
    </row>
    <row r="1819" spans="2:12" x14ac:dyDescent="0.35">
      <c r="B1819" s="111">
        <f t="shared" si="141"/>
        <v>1809</v>
      </c>
      <c r="C1819" s="82" t="s">
        <v>306</v>
      </c>
      <c r="D1819" s="81" t="s">
        <v>32</v>
      </c>
      <c r="E1819" s="78">
        <v>2</v>
      </c>
      <c r="F1819" s="65">
        <v>840</v>
      </c>
      <c r="G1819" s="123"/>
      <c r="H1819" s="65">
        <f t="shared" si="145"/>
        <v>840</v>
      </c>
      <c r="I1819" s="79">
        <f t="shared" si="142"/>
        <v>1680</v>
      </c>
      <c r="J1819" s="79">
        <f t="shared" si="143"/>
        <v>0</v>
      </c>
      <c r="K1819" s="79">
        <f t="shared" si="144"/>
        <v>1680</v>
      </c>
      <c r="L1819" s="121"/>
    </row>
    <row r="1820" spans="2:12" ht="31" x14ac:dyDescent="0.35">
      <c r="B1820" s="111">
        <f t="shared" si="141"/>
        <v>1810</v>
      </c>
      <c r="C1820" s="64" t="s">
        <v>85</v>
      </c>
      <c r="D1820" s="81" t="s">
        <v>32</v>
      </c>
      <c r="E1820" s="78">
        <v>1</v>
      </c>
      <c r="F1820" s="65"/>
      <c r="G1820" s="65">
        <v>2500</v>
      </c>
      <c r="H1820" s="65">
        <f t="shared" si="145"/>
        <v>2500</v>
      </c>
      <c r="I1820" s="79">
        <f t="shared" si="142"/>
        <v>0</v>
      </c>
      <c r="J1820" s="79">
        <f t="shared" si="143"/>
        <v>2500</v>
      </c>
      <c r="K1820" s="79">
        <f t="shared" si="144"/>
        <v>2500</v>
      </c>
      <c r="L1820" s="121"/>
    </row>
    <row r="1821" spans="2:12" x14ac:dyDescent="0.35">
      <c r="B1821" s="111">
        <f t="shared" si="141"/>
        <v>1811</v>
      </c>
      <c r="C1821" s="82" t="s">
        <v>79</v>
      </c>
      <c r="D1821" s="81" t="s">
        <v>32</v>
      </c>
      <c r="E1821" s="78">
        <v>1</v>
      </c>
      <c r="F1821" s="65">
        <f>6500*1.2</f>
        <v>7800</v>
      </c>
      <c r="G1821" s="123"/>
      <c r="H1821" s="65">
        <f t="shared" si="145"/>
        <v>7800</v>
      </c>
      <c r="I1821" s="79">
        <f t="shared" si="142"/>
        <v>7800</v>
      </c>
      <c r="J1821" s="79">
        <f t="shared" si="143"/>
        <v>0</v>
      </c>
      <c r="K1821" s="79">
        <f t="shared" si="144"/>
        <v>7800</v>
      </c>
      <c r="L1821" s="121"/>
    </row>
    <row r="1822" spans="2:12" ht="31" x14ac:dyDescent="0.35">
      <c r="B1822" s="111">
        <f t="shared" si="141"/>
        <v>1812</v>
      </c>
      <c r="C1822" s="64" t="s">
        <v>316</v>
      </c>
      <c r="D1822" s="81" t="s">
        <v>32</v>
      </c>
      <c r="E1822" s="78">
        <v>1</v>
      </c>
      <c r="F1822" s="65"/>
      <c r="G1822" s="65"/>
      <c r="H1822" s="65">
        <f t="shared" si="145"/>
        <v>0</v>
      </c>
      <c r="I1822" s="79">
        <f t="shared" si="142"/>
        <v>0</v>
      </c>
      <c r="J1822" s="79">
        <f t="shared" si="143"/>
        <v>0</v>
      </c>
      <c r="K1822" s="79">
        <f t="shared" si="144"/>
        <v>0</v>
      </c>
      <c r="L1822" s="121"/>
    </row>
    <row r="1823" spans="2:12" x14ac:dyDescent="0.35">
      <c r="B1823" s="111">
        <f t="shared" si="141"/>
        <v>1813</v>
      </c>
      <c r="C1823" s="88" t="s">
        <v>84</v>
      </c>
      <c r="D1823" s="81" t="s">
        <v>32</v>
      </c>
      <c r="E1823" s="78">
        <v>1</v>
      </c>
      <c r="F1823" s="65">
        <v>1300</v>
      </c>
      <c r="G1823" s="65">
        <v>990</v>
      </c>
      <c r="H1823" s="65">
        <f t="shared" si="145"/>
        <v>2290</v>
      </c>
      <c r="I1823" s="79">
        <f t="shared" si="142"/>
        <v>1300</v>
      </c>
      <c r="J1823" s="79">
        <f t="shared" si="143"/>
        <v>990</v>
      </c>
      <c r="K1823" s="79">
        <f t="shared" si="144"/>
        <v>2290</v>
      </c>
      <c r="L1823" s="121"/>
    </row>
    <row r="1824" spans="2:12" x14ac:dyDescent="0.35">
      <c r="B1824" s="111">
        <f t="shared" si="141"/>
        <v>1814</v>
      </c>
      <c r="C1824" s="80" t="s">
        <v>301</v>
      </c>
      <c r="D1824" s="81" t="s">
        <v>32</v>
      </c>
      <c r="E1824" s="78">
        <v>1</v>
      </c>
      <c r="F1824" s="65">
        <v>6000</v>
      </c>
      <c r="G1824" s="65">
        <v>1464.09</v>
      </c>
      <c r="H1824" s="65">
        <f t="shared" si="145"/>
        <v>7464.09</v>
      </c>
      <c r="I1824" s="79">
        <f t="shared" si="142"/>
        <v>6000</v>
      </c>
      <c r="J1824" s="79">
        <f t="shared" si="143"/>
        <v>1464.09</v>
      </c>
      <c r="K1824" s="79">
        <f t="shared" si="144"/>
        <v>7464.09</v>
      </c>
      <c r="L1824" s="121"/>
    </row>
    <row r="1825" spans="2:12" ht="31" x14ac:dyDescent="0.35">
      <c r="B1825" s="111">
        <f t="shared" si="141"/>
        <v>1815</v>
      </c>
      <c r="C1825" s="64" t="s">
        <v>156</v>
      </c>
      <c r="D1825" s="81" t="s">
        <v>25</v>
      </c>
      <c r="E1825" s="78">
        <f>(3.14*2.2)*3.95+3.8</f>
        <v>31.086600000000008</v>
      </c>
      <c r="F1825" s="65">
        <v>68.5</v>
      </c>
      <c r="G1825" s="65">
        <v>150</v>
      </c>
      <c r="H1825" s="65">
        <f t="shared" si="145"/>
        <v>218.5</v>
      </c>
      <c r="I1825" s="79">
        <f t="shared" si="142"/>
        <v>2129.4299999999998</v>
      </c>
      <c r="J1825" s="79">
        <f t="shared" si="143"/>
        <v>4662.99</v>
      </c>
      <c r="K1825" s="79">
        <f t="shared" si="144"/>
        <v>6792.42</v>
      </c>
      <c r="L1825" s="121"/>
    </row>
    <row r="1826" spans="2:12" ht="46.5" x14ac:dyDescent="0.35">
      <c r="B1826" s="111">
        <f t="shared" si="141"/>
        <v>1816</v>
      </c>
      <c r="C1826" s="64" t="s">
        <v>157</v>
      </c>
      <c r="D1826" s="81" t="s">
        <v>25</v>
      </c>
      <c r="E1826" s="78">
        <f>E1825</f>
        <v>31.086600000000008</v>
      </c>
      <c r="F1826" s="65">
        <v>927</v>
      </c>
      <c r="G1826" s="65">
        <v>400</v>
      </c>
      <c r="H1826" s="65">
        <f t="shared" si="145"/>
        <v>1327</v>
      </c>
      <c r="I1826" s="79">
        <f t="shared" si="142"/>
        <v>28817.279999999999</v>
      </c>
      <c r="J1826" s="79">
        <f t="shared" si="143"/>
        <v>12434.64</v>
      </c>
      <c r="K1826" s="79">
        <f t="shared" si="144"/>
        <v>41251.919999999998</v>
      </c>
      <c r="L1826" s="121"/>
    </row>
    <row r="1827" spans="2:12" x14ac:dyDescent="0.35">
      <c r="B1827" s="111">
        <f t="shared" si="141"/>
        <v>1817</v>
      </c>
      <c r="C1827" s="64" t="s">
        <v>102</v>
      </c>
      <c r="D1827" s="81" t="s">
        <v>32</v>
      </c>
      <c r="E1827" s="78">
        <v>1</v>
      </c>
      <c r="F1827" s="68"/>
      <c r="G1827" s="123"/>
      <c r="H1827" s="65">
        <f t="shared" si="145"/>
        <v>0</v>
      </c>
      <c r="I1827" s="79">
        <f t="shared" si="142"/>
        <v>0</v>
      </c>
      <c r="J1827" s="79">
        <f t="shared" si="143"/>
        <v>0</v>
      </c>
      <c r="K1827" s="79">
        <f t="shared" si="144"/>
        <v>0</v>
      </c>
      <c r="L1827" s="121"/>
    </row>
    <row r="1828" spans="2:12" x14ac:dyDescent="0.35">
      <c r="B1828" s="111">
        <f t="shared" si="141"/>
        <v>1818</v>
      </c>
      <c r="C1828" s="82" t="s">
        <v>104</v>
      </c>
      <c r="D1828" s="81" t="s">
        <v>31</v>
      </c>
      <c r="E1828" s="78">
        <v>30</v>
      </c>
      <c r="F1828" s="68">
        <v>71</v>
      </c>
      <c r="G1828" s="65">
        <v>97.61</v>
      </c>
      <c r="H1828" s="65">
        <f t="shared" si="145"/>
        <v>168.61</v>
      </c>
      <c r="I1828" s="79">
        <f t="shared" si="142"/>
        <v>2130</v>
      </c>
      <c r="J1828" s="79">
        <f t="shared" si="143"/>
        <v>2928.3</v>
      </c>
      <c r="K1828" s="79">
        <f t="shared" si="144"/>
        <v>5058.3</v>
      </c>
      <c r="L1828" s="121"/>
    </row>
    <row r="1829" spans="2:12" x14ac:dyDescent="0.35">
      <c r="B1829" s="111">
        <f t="shared" si="141"/>
        <v>1819</v>
      </c>
      <c r="C1829" s="64" t="s">
        <v>93</v>
      </c>
      <c r="D1829" s="81" t="s">
        <v>32</v>
      </c>
      <c r="E1829" s="78">
        <v>3</v>
      </c>
      <c r="F1829" s="68"/>
      <c r="G1829" s="123"/>
      <c r="H1829" s="65">
        <f t="shared" si="145"/>
        <v>0</v>
      </c>
      <c r="I1829" s="79">
        <f t="shared" si="142"/>
        <v>0</v>
      </c>
      <c r="J1829" s="79">
        <f t="shared" si="143"/>
        <v>0</v>
      </c>
      <c r="K1829" s="79">
        <f t="shared" si="144"/>
        <v>0</v>
      </c>
      <c r="L1829" s="121"/>
    </row>
    <row r="1830" spans="2:12" x14ac:dyDescent="0.35">
      <c r="B1830" s="111">
        <f t="shared" si="141"/>
        <v>1820</v>
      </c>
      <c r="C1830" s="82" t="s">
        <v>94</v>
      </c>
      <c r="D1830" s="81" t="s">
        <v>31</v>
      </c>
      <c r="E1830" s="78">
        <f>0.82*E1829</f>
        <v>2.46</v>
      </c>
      <c r="F1830" s="68">
        <v>71</v>
      </c>
      <c r="G1830" s="65">
        <v>97.61</v>
      </c>
      <c r="H1830" s="65">
        <f t="shared" si="145"/>
        <v>168.61</v>
      </c>
      <c r="I1830" s="79">
        <f t="shared" si="142"/>
        <v>174.66</v>
      </c>
      <c r="J1830" s="79">
        <f t="shared" si="143"/>
        <v>240.12</v>
      </c>
      <c r="K1830" s="79">
        <f t="shared" si="144"/>
        <v>414.78</v>
      </c>
      <c r="L1830" s="121"/>
    </row>
    <row r="1831" spans="2:12" ht="31" x14ac:dyDescent="0.35">
      <c r="B1831" s="111">
        <f t="shared" si="141"/>
        <v>1821</v>
      </c>
      <c r="C1831" s="64" t="s">
        <v>304</v>
      </c>
      <c r="D1831" s="81" t="s">
        <v>32</v>
      </c>
      <c r="E1831" s="78">
        <v>3</v>
      </c>
      <c r="F1831" s="68"/>
      <c r="G1831" s="65">
        <v>1464</v>
      </c>
      <c r="H1831" s="65">
        <f t="shared" si="145"/>
        <v>1464</v>
      </c>
      <c r="I1831" s="79">
        <f t="shared" si="142"/>
        <v>0</v>
      </c>
      <c r="J1831" s="79">
        <f t="shared" si="143"/>
        <v>4392</v>
      </c>
      <c r="K1831" s="79">
        <f t="shared" si="144"/>
        <v>4392</v>
      </c>
      <c r="L1831" s="121"/>
    </row>
    <row r="1832" spans="2:12" x14ac:dyDescent="0.35">
      <c r="B1832" s="111">
        <f t="shared" si="141"/>
        <v>1822</v>
      </c>
      <c r="C1832" s="64" t="s">
        <v>344</v>
      </c>
      <c r="D1832" s="81"/>
      <c r="E1832" s="78"/>
      <c r="F1832" s="65"/>
      <c r="G1832" s="123"/>
      <c r="H1832" s="65">
        <f t="shared" si="145"/>
        <v>0</v>
      </c>
      <c r="I1832" s="79">
        <f t="shared" si="142"/>
        <v>0</v>
      </c>
      <c r="J1832" s="79">
        <f t="shared" si="143"/>
        <v>0</v>
      </c>
      <c r="K1832" s="79">
        <f t="shared" si="144"/>
        <v>0</v>
      </c>
      <c r="L1832" s="121">
        <v>1</v>
      </c>
    </row>
    <row r="1833" spans="2:12" ht="31" x14ac:dyDescent="0.35">
      <c r="B1833" s="111">
        <f t="shared" si="141"/>
        <v>1823</v>
      </c>
      <c r="C1833" s="80" t="s">
        <v>309</v>
      </c>
      <c r="D1833" s="81" t="s">
        <v>32</v>
      </c>
      <c r="E1833" s="78">
        <v>1</v>
      </c>
      <c r="F1833" s="65">
        <v>2263</v>
      </c>
      <c r="G1833" s="65">
        <v>1700</v>
      </c>
      <c r="H1833" s="65">
        <f t="shared" si="145"/>
        <v>3963</v>
      </c>
      <c r="I1833" s="79">
        <f t="shared" si="142"/>
        <v>2263</v>
      </c>
      <c r="J1833" s="79">
        <f t="shared" si="143"/>
        <v>1700</v>
      </c>
      <c r="K1833" s="79">
        <f t="shared" si="144"/>
        <v>3963</v>
      </c>
      <c r="L1833" s="121"/>
    </row>
    <row r="1834" spans="2:12" ht="31" x14ac:dyDescent="0.35">
      <c r="B1834" s="111">
        <f t="shared" si="141"/>
        <v>1824</v>
      </c>
      <c r="C1834" s="80" t="s">
        <v>310</v>
      </c>
      <c r="D1834" s="81" t="s">
        <v>32</v>
      </c>
      <c r="E1834" s="78">
        <v>1</v>
      </c>
      <c r="F1834" s="65">
        <v>1303</v>
      </c>
      <c r="G1834" s="65">
        <v>1700</v>
      </c>
      <c r="H1834" s="65">
        <f t="shared" si="145"/>
        <v>3003</v>
      </c>
      <c r="I1834" s="79">
        <f t="shared" si="142"/>
        <v>1303</v>
      </c>
      <c r="J1834" s="79">
        <f t="shared" si="143"/>
        <v>1700</v>
      </c>
      <c r="K1834" s="79">
        <f t="shared" si="144"/>
        <v>3003</v>
      </c>
      <c r="L1834" s="121"/>
    </row>
    <row r="1835" spans="2:12" ht="31" x14ac:dyDescent="0.35">
      <c r="B1835" s="111">
        <f t="shared" si="141"/>
        <v>1825</v>
      </c>
      <c r="C1835" s="80" t="s">
        <v>63</v>
      </c>
      <c r="D1835" s="81" t="s">
        <v>27</v>
      </c>
      <c r="E1835" s="78">
        <f>0.22*1.1</f>
        <v>0.24200000000000002</v>
      </c>
      <c r="F1835" s="65">
        <v>855</v>
      </c>
      <c r="G1835" s="65">
        <v>1700</v>
      </c>
      <c r="H1835" s="65">
        <f t="shared" si="145"/>
        <v>2555</v>
      </c>
      <c r="I1835" s="79">
        <f t="shared" si="142"/>
        <v>206.91</v>
      </c>
      <c r="J1835" s="79">
        <f t="shared" si="143"/>
        <v>411.4</v>
      </c>
      <c r="K1835" s="79">
        <f t="shared" si="144"/>
        <v>618.30999999999995</v>
      </c>
      <c r="L1835" s="121"/>
    </row>
    <row r="1836" spans="2:12" ht="33" x14ac:dyDescent="0.35">
      <c r="B1836" s="111">
        <f t="shared" si="141"/>
        <v>1826</v>
      </c>
      <c r="C1836" s="64" t="s">
        <v>362</v>
      </c>
      <c r="D1836" s="81" t="s">
        <v>26</v>
      </c>
      <c r="E1836" s="78">
        <f>49.49-15.01</f>
        <v>34.480000000000004</v>
      </c>
      <c r="F1836" s="68"/>
      <c r="G1836" s="65">
        <v>439</v>
      </c>
      <c r="H1836" s="65">
        <f t="shared" si="145"/>
        <v>439</v>
      </c>
      <c r="I1836" s="79">
        <f t="shared" si="142"/>
        <v>0</v>
      </c>
      <c r="J1836" s="79">
        <f t="shared" si="143"/>
        <v>15136.72</v>
      </c>
      <c r="K1836" s="79">
        <f t="shared" si="144"/>
        <v>15136.72</v>
      </c>
      <c r="L1836" s="121"/>
    </row>
    <row r="1837" spans="2:12" ht="45" x14ac:dyDescent="0.35">
      <c r="B1837" s="111">
        <f t="shared" si="141"/>
        <v>1827</v>
      </c>
      <c r="C1837" s="98" t="s">
        <v>279</v>
      </c>
      <c r="D1837" s="99" t="s">
        <v>27</v>
      </c>
      <c r="E1837" s="100">
        <v>3.7</v>
      </c>
      <c r="F1837" s="101"/>
      <c r="G1837" s="106"/>
      <c r="H1837" s="101">
        <f t="shared" si="145"/>
        <v>0</v>
      </c>
      <c r="I1837" s="101">
        <f t="shared" si="142"/>
        <v>0</v>
      </c>
      <c r="J1837" s="101">
        <f t="shared" si="143"/>
        <v>0</v>
      </c>
      <c r="K1837" s="101">
        <f t="shared" si="144"/>
        <v>0</v>
      </c>
      <c r="L1837" s="121"/>
    </row>
    <row r="1838" spans="2:12" ht="31" x14ac:dyDescent="0.35">
      <c r="B1838" s="111">
        <f t="shared" si="141"/>
        <v>1828</v>
      </c>
      <c r="C1838" s="64" t="s">
        <v>348</v>
      </c>
      <c r="D1838" s="77" t="s">
        <v>26</v>
      </c>
      <c r="E1838" s="78">
        <f>0.97*1.76</f>
        <v>1.7072000000000001</v>
      </c>
      <c r="F1838" s="65"/>
      <c r="G1838" s="65">
        <v>300</v>
      </c>
      <c r="H1838" s="65">
        <f t="shared" si="145"/>
        <v>300</v>
      </c>
      <c r="I1838" s="79">
        <f t="shared" si="142"/>
        <v>0</v>
      </c>
      <c r="J1838" s="79">
        <f t="shared" si="143"/>
        <v>512.16</v>
      </c>
      <c r="K1838" s="79">
        <f t="shared" si="144"/>
        <v>512.16</v>
      </c>
      <c r="L1838" s="121"/>
    </row>
    <row r="1839" spans="2:12" x14ac:dyDescent="0.35">
      <c r="B1839" s="111">
        <f t="shared" si="141"/>
        <v>1829</v>
      </c>
      <c r="C1839" s="64" t="s">
        <v>19</v>
      </c>
      <c r="D1839" s="77" t="s">
        <v>26</v>
      </c>
      <c r="E1839" s="78">
        <f>E1838/97*3</f>
        <v>5.28E-2</v>
      </c>
      <c r="F1839" s="65"/>
      <c r="G1839" s="65">
        <v>1500</v>
      </c>
      <c r="H1839" s="65">
        <f t="shared" si="145"/>
        <v>1500</v>
      </c>
      <c r="I1839" s="79">
        <f t="shared" si="142"/>
        <v>0</v>
      </c>
      <c r="J1839" s="79">
        <f t="shared" si="143"/>
        <v>79.2</v>
      </c>
      <c r="K1839" s="79">
        <f t="shared" si="144"/>
        <v>79.2</v>
      </c>
      <c r="L1839" s="121"/>
    </row>
    <row r="1840" spans="2:12" x14ac:dyDescent="0.35">
      <c r="B1840" s="111">
        <f t="shared" si="141"/>
        <v>1830</v>
      </c>
      <c r="C1840" s="64" t="s">
        <v>184</v>
      </c>
      <c r="D1840" s="77" t="s">
        <v>25</v>
      </c>
      <c r="E1840" s="78">
        <f>E1837*0.7*2</f>
        <v>5.18</v>
      </c>
      <c r="F1840" s="65"/>
      <c r="G1840" s="123"/>
      <c r="H1840" s="65">
        <f t="shared" si="145"/>
        <v>0</v>
      </c>
      <c r="I1840" s="79">
        <f t="shared" si="142"/>
        <v>0</v>
      </c>
      <c r="J1840" s="79">
        <f t="shared" si="143"/>
        <v>0</v>
      </c>
      <c r="K1840" s="79">
        <f t="shared" si="144"/>
        <v>0</v>
      </c>
      <c r="L1840" s="121"/>
    </row>
    <row r="1841" spans="2:12" ht="31" x14ac:dyDescent="0.35">
      <c r="B1841" s="111">
        <f t="shared" si="141"/>
        <v>1831</v>
      </c>
      <c r="C1841" s="64" t="s">
        <v>232</v>
      </c>
      <c r="D1841" s="77" t="s">
        <v>25</v>
      </c>
      <c r="E1841" s="78">
        <f>E1837*0.45*2</f>
        <v>3.33</v>
      </c>
      <c r="F1841" s="65">
        <f>1973*0.15</f>
        <v>295.95</v>
      </c>
      <c r="G1841" s="65">
        <f>1500*0.15</f>
        <v>225</v>
      </c>
      <c r="H1841" s="65">
        <f t="shared" si="145"/>
        <v>520.95000000000005</v>
      </c>
      <c r="I1841" s="79">
        <f t="shared" si="142"/>
        <v>985.51</v>
      </c>
      <c r="J1841" s="79">
        <f t="shared" si="143"/>
        <v>749.25</v>
      </c>
      <c r="K1841" s="79">
        <f t="shared" si="144"/>
        <v>1734.76</v>
      </c>
      <c r="L1841" s="121"/>
    </row>
    <row r="1842" spans="2:12" x14ac:dyDescent="0.35">
      <c r="B1842" s="111">
        <f t="shared" si="141"/>
        <v>1832</v>
      </c>
      <c r="C1842" s="64" t="s">
        <v>20</v>
      </c>
      <c r="D1842" s="77" t="s">
        <v>26</v>
      </c>
      <c r="E1842" s="78">
        <f>0.32*2*E1837*0.1</f>
        <v>0.23680000000000004</v>
      </c>
      <c r="F1842" s="65"/>
      <c r="G1842" s="65">
        <v>5860</v>
      </c>
      <c r="H1842" s="65">
        <f t="shared" si="145"/>
        <v>5860</v>
      </c>
      <c r="I1842" s="79">
        <f t="shared" si="142"/>
        <v>0</v>
      </c>
      <c r="J1842" s="79">
        <f t="shared" si="143"/>
        <v>1387.65</v>
      </c>
      <c r="K1842" s="79">
        <f t="shared" si="144"/>
        <v>1387.65</v>
      </c>
      <c r="L1842" s="121"/>
    </row>
    <row r="1843" spans="2:12" x14ac:dyDescent="0.35">
      <c r="B1843" s="111">
        <f t="shared" si="141"/>
        <v>1833</v>
      </c>
      <c r="C1843" s="80" t="s">
        <v>159</v>
      </c>
      <c r="D1843" s="77" t="s">
        <v>26</v>
      </c>
      <c r="E1843" s="78">
        <f>E1842*1.02</f>
        <v>0.24153600000000006</v>
      </c>
      <c r="F1843" s="65">
        <v>6700</v>
      </c>
      <c r="G1843" s="123"/>
      <c r="H1843" s="65">
        <f t="shared" si="145"/>
        <v>6700</v>
      </c>
      <c r="I1843" s="79">
        <f t="shared" si="142"/>
        <v>1618.29</v>
      </c>
      <c r="J1843" s="79">
        <f t="shared" si="143"/>
        <v>0</v>
      </c>
      <c r="K1843" s="79">
        <f t="shared" si="144"/>
        <v>1618.29</v>
      </c>
      <c r="L1843" s="121"/>
    </row>
    <row r="1844" spans="2:12" x14ac:dyDescent="0.35">
      <c r="B1844" s="111">
        <f t="shared" si="141"/>
        <v>1834</v>
      </c>
      <c r="C1844" s="64" t="s">
        <v>28</v>
      </c>
      <c r="D1844" s="77" t="s">
        <v>26</v>
      </c>
      <c r="E1844" s="78">
        <f>0.73*2*E1837*0.1</f>
        <v>0.54020000000000001</v>
      </c>
      <c r="F1844" s="65"/>
      <c r="G1844" s="65">
        <v>5860</v>
      </c>
      <c r="H1844" s="65">
        <f t="shared" si="145"/>
        <v>5860</v>
      </c>
      <c r="I1844" s="79">
        <f t="shared" si="142"/>
        <v>0</v>
      </c>
      <c r="J1844" s="79">
        <f t="shared" si="143"/>
        <v>3165.57</v>
      </c>
      <c r="K1844" s="79">
        <f t="shared" si="144"/>
        <v>3165.57</v>
      </c>
      <c r="L1844" s="121"/>
    </row>
    <row r="1845" spans="2:12" x14ac:dyDescent="0.35">
      <c r="B1845" s="111">
        <f t="shared" si="141"/>
        <v>1835</v>
      </c>
      <c r="C1845" s="80" t="s">
        <v>29</v>
      </c>
      <c r="D1845" s="77" t="s">
        <v>26</v>
      </c>
      <c r="E1845" s="78">
        <f>E1844*1.02</f>
        <v>0.55100400000000005</v>
      </c>
      <c r="F1845" s="65">
        <v>7100</v>
      </c>
      <c r="G1845" s="123"/>
      <c r="H1845" s="65">
        <f t="shared" si="145"/>
        <v>7100</v>
      </c>
      <c r="I1845" s="79">
        <f t="shared" si="142"/>
        <v>3912.13</v>
      </c>
      <c r="J1845" s="79">
        <f t="shared" si="143"/>
        <v>0</v>
      </c>
      <c r="K1845" s="79">
        <f t="shared" si="144"/>
        <v>3912.13</v>
      </c>
      <c r="L1845" s="121"/>
    </row>
    <row r="1846" spans="2:12" x14ac:dyDescent="0.35">
      <c r="B1846" s="111">
        <f t="shared" si="141"/>
        <v>1836</v>
      </c>
      <c r="C1846" s="80" t="s">
        <v>30</v>
      </c>
      <c r="D1846" s="77" t="s">
        <v>31</v>
      </c>
      <c r="E1846" s="78">
        <f>31.39*E1837*0.1*2</f>
        <v>23.2286</v>
      </c>
      <c r="F1846" s="65">
        <v>118.9</v>
      </c>
      <c r="G1846" s="123"/>
      <c r="H1846" s="65">
        <f t="shared" si="145"/>
        <v>118.9</v>
      </c>
      <c r="I1846" s="79">
        <f t="shared" si="142"/>
        <v>2761.88</v>
      </c>
      <c r="J1846" s="79">
        <f t="shared" si="143"/>
        <v>0</v>
      </c>
      <c r="K1846" s="79">
        <f t="shared" si="144"/>
        <v>2761.88</v>
      </c>
      <c r="L1846" s="121"/>
    </row>
    <row r="1847" spans="2:12" x14ac:dyDescent="0.35">
      <c r="B1847" s="111">
        <f t="shared" si="141"/>
        <v>1837</v>
      </c>
      <c r="C1847" s="64" t="s">
        <v>233</v>
      </c>
      <c r="D1847" s="77" t="s">
        <v>27</v>
      </c>
      <c r="E1847" s="78">
        <f>E1837</f>
        <v>3.7</v>
      </c>
      <c r="F1847" s="65"/>
      <c r="G1847" s="65">
        <v>6000</v>
      </c>
      <c r="H1847" s="65">
        <f t="shared" si="145"/>
        <v>6000</v>
      </c>
      <c r="I1847" s="79">
        <f t="shared" si="142"/>
        <v>0</v>
      </c>
      <c r="J1847" s="79">
        <f t="shared" si="143"/>
        <v>22200</v>
      </c>
      <c r="K1847" s="79">
        <f t="shared" si="144"/>
        <v>22200</v>
      </c>
      <c r="L1847" s="121"/>
    </row>
    <row r="1848" spans="2:12" x14ac:dyDescent="0.35">
      <c r="B1848" s="111">
        <f t="shared" si="141"/>
        <v>1838</v>
      </c>
      <c r="C1848" s="80" t="s">
        <v>353</v>
      </c>
      <c r="D1848" s="77" t="s">
        <v>27</v>
      </c>
      <c r="E1848" s="78">
        <f>E1847*1.1*2</f>
        <v>8.14</v>
      </c>
      <c r="F1848" s="65">
        <v>800</v>
      </c>
      <c r="G1848" s="65"/>
      <c r="H1848" s="65">
        <f t="shared" si="145"/>
        <v>800</v>
      </c>
      <c r="I1848" s="79">
        <f t="shared" si="142"/>
        <v>6512</v>
      </c>
      <c r="J1848" s="79">
        <f t="shared" si="143"/>
        <v>0</v>
      </c>
      <c r="K1848" s="79">
        <f t="shared" si="144"/>
        <v>6512</v>
      </c>
      <c r="L1848" s="121"/>
    </row>
    <row r="1849" spans="2:12" ht="33" x14ac:dyDescent="0.35">
      <c r="B1849" s="111">
        <f t="shared" si="141"/>
        <v>1839</v>
      </c>
      <c r="C1849" s="64" t="s">
        <v>355</v>
      </c>
      <c r="D1849" s="81" t="s">
        <v>26</v>
      </c>
      <c r="E1849" s="78">
        <v>2.65</v>
      </c>
      <c r="F1849" s="65"/>
      <c r="G1849" s="65">
        <v>439</v>
      </c>
      <c r="H1849" s="65">
        <f t="shared" si="145"/>
        <v>439</v>
      </c>
      <c r="I1849" s="79">
        <f t="shared" si="142"/>
        <v>0</v>
      </c>
      <c r="J1849" s="79">
        <f t="shared" si="143"/>
        <v>1163.3499999999999</v>
      </c>
      <c r="K1849" s="79">
        <f t="shared" si="144"/>
        <v>1163.3499999999999</v>
      </c>
      <c r="L1849" s="121"/>
    </row>
    <row r="1850" spans="2:12" ht="30" x14ac:dyDescent="0.35">
      <c r="B1850" s="111">
        <f t="shared" si="141"/>
        <v>1840</v>
      </c>
      <c r="C1850" s="98" t="s">
        <v>280</v>
      </c>
      <c r="D1850" s="99" t="s">
        <v>27</v>
      </c>
      <c r="E1850" s="100">
        <v>4.7</v>
      </c>
      <c r="F1850" s="101"/>
      <c r="G1850" s="106"/>
      <c r="H1850" s="101">
        <f t="shared" si="145"/>
        <v>0</v>
      </c>
      <c r="I1850" s="101">
        <f t="shared" si="142"/>
        <v>0</v>
      </c>
      <c r="J1850" s="101">
        <f t="shared" si="143"/>
        <v>0</v>
      </c>
      <c r="K1850" s="101">
        <f t="shared" si="144"/>
        <v>0</v>
      </c>
      <c r="L1850" s="121"/>
    </row>
    <row r="1851" spans="2:12" ht="31" x14ac:dyDescent="0.35">
      <c r="B1851" s="111">
        <f t="shared" si="141"/>
        <v>1841</v>
      </c>
      <c r="C1851" s="64" t="s">
        <v>348</v>
      </c>
      <c r="D1851" s="77" t="s">
        <v>26</v>
      </c>
      <c r="E1851" s="78">
        <f>0.97*6</f>
        <v>5.82</v>
      </c>
      <c r="F1851" s="65"/>
      <c r="G1851" s="65">
        <v>300</v>
      </c>
      <c r="H1851" s="65">
        <f t="shared" si="145"/>
        <v>300</v>
      </c>
      <c r="I1851" s="79">
        <f t="shared" si="142"/>
        <v>0</v>
      </c>
      <c r="J1851" s="79">
        <f t="shared" si="143"/>
        <v>1746</v>
      </c>
      <c r="K1851" s="79">
        <f t="shared" si="144"/>
        <v>1746</v>
      </c>
      <c r="L1851" s="121"/>
    </row>
    <row r="1852" spans="2:12" x14ac:dyDescent="0.35">
      <c r="B1852" s="111">
        <f t="shared" si="141"/>
        <v>1842</v>
      </c>
      <c r="C1852" s="64" t="s">
        <v>19</v>
      </c>
      <c r="D1852" s="77" t="s">
        <v>26</v>
      </c>
      <c r="E1852" s="78">
        <f>E1851/97*3</f>
        <v>0.18000000000000002</v>
      </c>
      <c r="F1852" s="65"/>
      <c r="G1852" s="65">
        <v>1500</v>
      </c>
      <c r="H1852" s="65">
        <f t="shared" si="145"/>
        <v>1500</v>
      </c>
      <c r="I1852" s="79">
        <f t="shared" si="142"/>
        <v>0</v>
      </c>
      <c r="J1852" s="79">
        <f t="shared" si="143"/>
        <v>270</v>
      </c>
      <c r="K1852" s="79">
        <f t="shared" si="144"/>
        <v>270</v>
      </c>
      <c r="L1852" s="121"/>
    </row>
    <row r="1853" spans="2:12" x14ac:dyDescent="0.35">
      <c r="B1853" s="111">
        <f t="shared" si="141"/>
        <v>1843</v>
      </c>
      <c r="C1853" s="64" t="s">
        <v>184</v>
      </c>
      <c r="D1853" s="77" t="s">
        <v>25</v>
      </c>
      <c r="E1853" s="78">
        <f>E1850*0.7</f>
        <v>3.29</v>
      </c>
      <c r="F1853" s="65"/>
      <c r="G1853" s="123"/>
      <c r="H1853" s="65">
        <f t="shared" si="145"/>
        <v>0</v>
      </c>
      <c r="I1853" s="79">
        <f t="shared" si="142"/>
        <v>0</v>
      </c>
      <c r="J1853" s="79">
        <f t="shared" si="143"/>
        <v>0</v>
      </c>
      <c r="K1853" s="79">
        <f t="shared" si="144"/>
        <v>0</v>
      </c>
      <c r="L1853" s="121"/>
    </row>
    <row r="1854" spans="2:12" ht="31" x14ac:dyDescent="0.35">
      <c r="B1854" s="111">
        <f t="shared" si="141"/>
        <v>1844</v>
      </c>
      <c r="C1854" s="64" t="s">
        <v>232</v>
      </c>
      <c r="D1854" s="77" t="s">
        <v>25</v>
      </c>
      <c r="E1854" s="78">
        <f>E1850*0.45</f>
        <v>2.1150000000000002</v>
      </c>
      <c r="F1854" s="65">
        <f>1973*0.15</f>
        <v>295.95</v>
      </c>
      <c r="G1854" s="65">
        <f>1500*0.15</f>
        <v>225</v>
      </c>
      <c r="H1854" s="65">
        <f t="shared" si="145"/>
        <v>520.95000000000005</v>
      </c>
      <c r="I1854" s="79">
        <f t="shared" si="142"/>
        <v>625.92999999999995</v>
      </c>
      <c r="J1854" s="79">
        <f t="shared" si="143"/>
        <v>475.88</v>
      </c>
      <c r="K1854" s="79">
        <f t="shared" si="144"/>
        <v>1101.81</v>
      </c>
      <c r="L1854" s="121"/>
    </row>
    <row r="1855" spans="2:12" x14ac:dyDescent="0.35">
      <c r="B1855" s="111">
        <f t="shared" si="141"/>
        <v>1845</v>
      </c>
      <c r="C1855" s="64" t="s">
        <v>20</v>
      </c>
      <c r="D1855" s="77" t="s">
        <v>26</v>
      </c>
      <c r="E1855" s="78">
        <f>0.32*E1850*0.1</f>
        <v>0.15040000000000001</v>
      </c>
      <c r="F1855" s="65"/>
      <c r="G1855" s="65">
        <v>5860</v>
      </c>
      <c r="H1855" s="65">
        <f t="shared" si="145"/>
        <v>5860</v>
      </c>
      <c r="I1855" s="79">
        <f t="shared" si="142"/>
        <v>0</v>
      </c>
      <c r="J1855" s="79">
        <f t="shared" si="143"/>
        <v>881.34</v>
      </c>
      <c r="K1855" s="79">
        <f t="shared" si="144"/>
        <v>881.34</v>
      </c>
      <c r="L1855" s="121"/>
    </row>
    <row r="1856" spans="2:12" x14ac:dyDescent="0.35">
      <c r="B1856" s="111">
        <f t="shared" si="141"/>
        <v>1846</v>
      </c>
      <c r="C1856" s="80" t="s">
        <v>159</v>
      </c>
      <c r="D1856" s="77" t="s">
        <v>26</v>
      </c>
      <c r="E1856" s="78">
        <f>E1855*1.02</f>
        <v>0.15340800000000002</v>
      </c>
      <c r="F1856" s="65">
        <v>6700</v>
      </c>
      <c r="G1856" s="123"/>
      <c r="H1856" s="65">
        <f t="shared" si="145"/>
        <v>6700</v>
      </c>
      <c r="I1856" s="79">
        <f t="shared" si="142"/>
        <v>1027.83</v>
      </c>
      <c r="J1856" s="79">
        <f t="shared" si="143"/>
        <v>0</v>
      </c>
      <c r="K1856" s="79">
        <f t="shared" si="144"/>
        <v>1027.83</v>
      </c>
      <c r="L1856" s="121"/>
    </row>
    <row r="1857" spans="2:12" x14ac:dyDescent="0.35">
      <c r="B1857" s="118">
        <f t="shared" si="141"/>
        <v>1847</v>
      </c>
      <c r="C1857" s="64" t="s">
        <v>28</v>
      </c>
      <c r="D1857" s="77" t="s">
        <v>26</v>
      </c>
      <c r="E1857" s="78">
        <f>0.73*E1850*0.1</f>
        <v>0.34310000000000002</v>
      </c>
      <c r="F1857" s="65"/>
      <c r="G1857" s="65">
        <v>5860</v>
      </c>
      <c r="H1857" s="65">
        <f t="shared" si="145"/>
        <v>5860</v>
      </c>
      <c r="I1857" s="79">
        <f t="shared" si="142"/>
        <v>0</v>
      </c>
      <c r="J1857" s="79">
        <f t="shared" si="143"/>
        <v>2010.57</v>
      </c>
      <c r="K1857" s="79">
        <f t="shared" si="144"/>
        <v>2010.57</v>
      </c>
      <c r="L1857" s="121"/>
    </row>
    <row r="1858" spans="2:12" x14ac:dyDescent="0.35">
      <c r="B1858" s="118">
        <f t="shared" si="141"/>
        <v>1848</v>
      </c>
      <c r="C1858" s="80" t="s">
        <v>29</v>
      </c>
      <c r="D1858" s="77" t="s">
        <v>26</v>
      </c>
      <c r="E1858" s="78">
        <f>E1857*1.02</f>
        <v>0.349962</v>
      </c>
      <c r="F1858" s="65">
        <v>7100</v>
      </c>
      <c r="G1858" s="123"/>
      <c r="H1858" s="65">
        <f t="shared" si="145"/>
        <v>7100</v>
      </c>
      <c r="I1858" s="79">
        <f t="shared" si="142"/>
        <v>2484.73</v>
      </c>
      <c r="J1858" s="79">
        <f t="shared" si="143"/>
        <v>0</v>
      </c>
      <c r="K1858" s="79">
        <f t="shared" si="144"/>
        <v>2484.73</v>
      </c>
      <c r="L1858" s="121"/>
    </row>
    <row r="1859" spans="2:12" x14ac:dyDescent="0.35">
      <c r="B1859" s="118">
        <f t="shared" si="141"/>
        <v>1849</v>
      </c>
      <c r="C1859" s="80" t="s">
        <v>30</v>
      </c>
      <c r="D1859" s="77" t="s">
        <v>31</v>
      </c>
      <c r="E1859" s="78">
        <f>31.39*E1850*0.1</f>
        <v>14.753300000000003</v>
      </c>
      <c r="F1859" s="65">
        <v>118.9</v>
      </c>
      <c r="G1859" s="123"/>
      <c r="H1859" s="65">
        <f t="shared" si="145"/>
        <v>118.9</v>
      </c>
      <c r="I1859" s="79">
        <f t="shared" si="142"/>
        <v>1754.17</v>
      </c>
      <c r="J1859" s="79">
        <f t="shared" si="143"/>
        <v>0</v>
      </c>
      <c r="K1859" s="79">
        <f t="shared" si="144"/>
        <v>1754.17</v>
      </c>
      <c r="L1859" s="121"/>
    </row>
    <row r="1860" spans="2:12" x14ac:dyDescent="0.35">
      <c r="B1860" s="111">
        <f t="shared" si="141"/>
        <v>1850</v>
      </c>
      <c r="C1860" s="64" t="s">
        <v>189</v>
      </c>
      <c r="D1860" s="77" t="s">
        <v>27</v>
      </c>
      <c r="E1860" s="78">
        <f>E1850</f>
        <v>4.7</v>
      </c>
      <c r="F1860" s="65"/>
      <c r="G1860" s="65">
        <v>3000</v>
      </c>
      <c r="H1860" s="65">
        <f t="shared" si="145"/>
        <v>3000</v>
      </c>
      <c r="I1860" s="79">
        <f t="shared" si="142"/>
        <v>0</v>
      </c>
      <c r="J1860" s="79">
        <f t="shared" si="143"/>
        <v>14100</v>
      </c>
      <c r="K1860" s="79">
        <f t="shared" si="144"/>
        <v>14100</v>
      </c>
      <c r="L1860" s="121"/>
    </row>
    <row r="1861" spans="2:12" x14ac:dyDescent="0.35">
      <c r="B1861" s="111">
        <f t="shared" si="141"/>
        <v>1851</v>
      </c>
      <c r="C1861" s="80" t="s">
        <v>353</v>
      </c>
      <c r="D1861" s="77" t="s">
        <v>27</v>
      </c>
      <c r="E1861" s="78">
        <f>E1860*1.1</f>
        <v>5.1700000000000008</v>
      </c>
      <c r="F1861" s="65">
        <v>800</v>
      </c>
      <c r="G1861" s="65"/>
      <c r="H1861" s="65">
        <f t="shared" si="145"/>
        <v>800</v>
      </c>
      <c r="I1861" s="79">
        <f t="shared" si="142"/>
        <v>4136</v>
      </c>
      <c r="J1861" s="79">
        <f t="shared" si="143"/>
        <v>0</v>
      </c>
      <c r="K1861" s="79">
        <f t="shared" si="144"/>
        <v>4136</v>
      </c>
      <c r="L1861" s="121"/>
    </row>
    <row r="1862" spans="2:12" ht="33" x14ac:dyDescent="0.35">
      <c r="B1862" s="111">
        <f t="shared" si="141"/>
        <v>1852</v>
      </c>
      <c r="C1862" s="64" t="s">
        <v>355</v>
      </c>
      <c r="D1862" s="81" t="s">
        <v>26</v>
      </c>
      <c r="E1862" s="78">
        <v>18.48</v>
      </c>
      <c r="F1862" s="65"/>
      <c r="G1862" s="65">
        <v>439</v>
      </c>
      <c r="H1862" s="65">
        <f t="shared" si="145"/>
        <v>439</v>
      </c>
      <c r="I1862" s="79">
        <f t="shared" si="142"/>
        <v>0</v>
      </c>
      <c r="J1862" s="79">
        <f t="shared" si="143"/>
        <v>8112.72</v>
      </c>
      <c r="K1862" s="79">
        <f t="shared" si="144"/>
        <v>8112.72</v>
      </c>
      <c r="L1862" s="121"/>
    </row>
    <row r="1863" spans="2:12" ht="45" x14ac:dyDescent="0.35">
      <c r="B1863" s="111">
        <f t="shared" si="141"/>
        <v>1853</v>
      </c>
      <c r="C1863" s="98" t="s">
        <v>281</v>
      </c>
      <c r="D1863" s="99" t="s">
        <v>27</v>
      </c>
      <c r="E1863" s="100">
        <v>3.4</v>
      </c>
      <c r="F1863" s="101"/>
      <c r="G1863" s="106"/>
      <c r="H1863" s="101">
        <f t="shared" si="145"/>
        <v>0</v>
      </c>
      <c r="I1863" s="101">
        <f t="shared" si="142"/>
        <v>0</v>
      </c>
      <c r="J1863" s="101">
        <f t="shared" si="143"/>
        <v>0</v>
      </c>
      <c r="K1863" s="101">
        <f t="shared" si="144"/>
        <v>0</v>
      </c>
      <c r="L1863" s="121"/>
    </row>
    <row r="1864" spans="2:12" ht="31" x14ac:dyDescent="0.35">
      <c r="B1864" s="111">
        <f t="shared" si="141"/>
        <v>1854</v>
      </c>
      <c r="C1864" s="64" t="s">
        <v>348</v>
      </c>
      <c r="D1864" s="77" t="s">
        <v>26</v>
      </c>
      <c r="E1864" s="78">
        <f>0.97*5.97</f>
        <v>5.7908999999999997</v>
      </c>
      <c r="F1864" s="65"/>
      <c r="G1864" s="65">
        <v>300</v>
      </c>
      <c r="H1864" s="65">
        <f t="shared" si="145"/>
        <v>300</v>
      </c>
      <c r="I1864" s="79">
        <f t="shared" si="142"/>
        <v>0</v>
      </c>
      <c r="J1864" s="79">
        <f t="shared" si="143"/>
        <v>1737.27</v>
      </c>
      <c r="K1864" s="79">
        <f t="shared" si="144"/>
        <v>1737.27</v>
      </c>
      <c r="L1864" s="121"/>
    </row>
    <row r="1865" spans="2:12" x14ac:dyDescent="0.35">
      <c r="B1865" s="111">
        <f t="shared" si="141"/>
        <v>1855</v>
      </c>
      <c r="C1865" s="64" t="s">
        <v>19</v>
      </c>
      <c r="D1865" s="77" t="s">
        <v>26</v>
      </c>
      <c r="E1865" s="78">
        <f>E1864/97*3</f>
        <v>0.17909999999999998</v>
      </c>
      <c r="F1865" s="65"/>
      <c r="G1865" s="65">
        <v>1500</v>
      </c>
      <c r="H1865" s="65">
        <f t="shared" si="145"/>
        <v>1500</v>
      </c>
      <c r="I1865" s="79">
        <f t="shared" si="142"/>
        <v>0</v>
      </c>
      <c r="J1865" s="79">
        <f t="shared" si="143"/>
        <v>268.64999999999998</v>
      </c>
      <c r="K1865" s="79">
        <f t="shared" si="144"/>
        <v>268.64999999999998</v>
      </c>
      <c r="L1865" s="121"/>
    </row>
    <row r="1866" spans="2:12" x14ac:dyDescent="0.35">
      <c r="B1866" s="111">
        <f t="shared" si="141"/>
        <v>1856</v>
      </c>
      <c r="C1866" s="64" t="s">
        <v>184</v>
      </c>
      <c r="D1866" s="77" t="s">
        <v>25</v>
      </c>
      <c r="E1866" s="78">
        <f>E1863*0.7</f>
        <v>2.38</v>
      </c>
      <c r="F1866" s="65"/>
      <c r="G1866" s="123"/>
      <c r="H1866" s="65">
        <f t="shared" si="145"/>
        <v>0</v>
      </c>
      <c r="I1866" s="79">
        <f t="shared" si="142"/>
        <v>0</v>
      </c>
      <c r="J1866" s="79">
        <f t="shared" si="143"/>
        <v>0</v>
      </c>
      <c r="K1866" s="79">
        <f t="shared" si="144"/>
        <v>0</v>
      </c>
      <c r="L1866" s="121"/>
    </row>
    <row r="1867" spans="2:12" ht="31" x14ac:dyDescent="0.35">
      <c r="B1867" s="111">
        <f t="shared" si="141"/>
        <v>1857</v>
      </c>
      <c r="C1867" s="64" t="s">
        <v>232</v>
      </c>
      <c r="D1867" s="77" t="s">
        <v>25</v>
      </c>
      <c r="E1867" s="78">
        <f>E1863*0.45</f>
        <v>1.53</v>
      </c>
      <c r="F1867" s="65">
        <f>1973*0.15</f>
        <v>295.95</v>
      </c>
      <c r="G1867" s="65">
        <f>1500*0.15</f>
        <v>225</v>
      </c>
      <c r="H1867" s="65">
        <f t="shared" si="145"/>
        <v>520.95000000000005</v>
      </c>
      <c r="I1867" s="79">
        <f t="shared" si="142"/>
        <v>452.8</v>
      </c>
      <c r="J1867" s="79">
        <f t="shared" si="143"/>
        <v>344.25</v>
      </c>
      <c r="K1867" s="79">
        <f t="shared" si="144"/>
        <v>797.05</v>
      </c>
      <c r="L1867" s="121"/>
    </row>
    <row r="1868" spans="2:12" x14ac:dyDescent="0.35">
      <c r="B1868" s="111">
        <f t="shared" si="141"/>
        <v>1858</v>
      </c>
      <c r="C1868" s="64" t="s">
        <v>20</v>
      </c>
      <c r="D1868" s="77" t="s">
        <v>26</v>
      </c>
      <c r="E1868" s="78">
        <f>0.32*E1863*0.1</f>
        <v>0.10880000000000001</v>
      </c>
      <c r="F1868" s="65"/>
      <c r="G1868" s="65">
        <v>5860</v>
      </c>
      <c r="H1868" s="65">
        <f t="shared" si="145"/>
        <v>5860</v>
      </c>
      <c r="I1868" s="79">
        <f t="shared" si="142"/>
        <v>0</v>
      </c>
      <c r="J1868" s="79">
        <f t="shared" si="143"/>
        <v>637.57000000000005</v>
      </c>
      <c r="K1868" s="79">
        <f t="shared" si="144"/>
        <v>637.57000000000005</v>
      </c>
      <c r="L1868" s="121"/>
    </row>
    <row r="1869" spans="2:12" x14ac:dyDescent="0.35">
      <c r="B1869" s="111">
        <f t="shared" ref="B1869:B1932" si="146">B1868+1</f>
        <v>1859</v>
      </c>
      <c r="C1869" s="80" t="s">
        <v>159</v>
      </c>
      <c r="D1869" s="77" t="s">
        <v>26</v>
      </c>
      <c r="E1869" s="78">
        <f>E1868*1.02</f>
        <v>0.11097600000000001</v>
      </c>
      <c r="F1869" s="65">
        <v>6700</v>
      </c>
      <c r="G1869" s="123"/>
      <c r="H1869" s="65">
        <f t="shared" si="145"/>
        <v>6700</v>
      </c>
      <c r="I1869" s="79">
        <f t="shared" ref="I1869:I1932" si="147">ROUND(F1869*E1869,2)</f>
        <v>743.54</v>
      </c>
      <c r="J1869" s="79">
        <f t="shared" ref="J1869:J1932" si="148">ROUND(G1869*E1869,2)</f>
        <v>0</v>
      </c>
      <c r="K1869" s="79">
        <f t="shared" ref="K1869:K1932" si="149">I1869+J1869</f>
        <v>743.54</v>
      </c>
      <c r="L1869" s="121"/>
    </row>
    <row r="1870" spans="2:12" x14ac:dyDescent="0.35">
      <c r="B1870" s="111">
        <f t="shared" si="146"/>
        <v>1860</v>
      </c>
      <c r="C1870" s="64" t="s">
        <v>28</v>
      </c>
      <c r="D1870" s="77" t="s">
        <v>26</v>
      </c>
      <c r="E1870" s="78">
        <f>0.73*E1863*0.1</f>
        <v>0.24819999999999998</v>
      </c>
      <c r="F1870" s="65"/>
      <c r="G1870" s="65">
        <v>5860</v>
      </c>
      <c r="H1870" s="65">
        <f t="shared" si="145"/>
        <v>5860</v>
      </c>
      <c r="I1870" s="79">
        <f t="shared" si="147"/>
        <v>0</v>
      </c>
      <c r="J1870" s="79">
        <f t="shared" si="148"/>
        <v>1454.45</v>
      </c>
      <c r="K1870" s="79">
        <f t="shared" si="149"/>
        <v>1454.45</v>
      </c>
      <c r="L1870" s="121"/>
    </row>
    <row r="1871" spans="2:12" x14ac:dyDescent="0.35">
      <c r="B1871" s="111">
        <f t="shared" si="146"/>
        <v>1861</v>
      </c>
      <c r="C1871" s="80" t="s">
        <v>29</v>
      </c>
      <c r="D1871" s="77" t="s">
        <v>26</v>
      </c>
      <c r="E1871" s="78">
        <f>E1870*1.02</f>
        <v>0.253164</v>
      </c>
      <c r="F1871" s="65">
        <v>7100</v>
      </c>
      <c r="G1871" s="123"/>
      <c r="H1871" s="65">
        <f t="shared" ref="H1871:H1934" si="150">F1871+G1871</f>
        <v>7100</v>
      </c>
      <c r="I1871" s="79">
        <f t="shared" si="147"/>
        <v>1797.46</v>
      </c>
      <c r="J1871" s="79">
        <f t="shared" si="148"/>
        <v>0</v>
      </c>
      <c r="K1871" s="79">
        <f t="shared" si="149"/>
        <v>1797.46</v>
      </c>
      <c r="L1871" s="121"/>
    </row>
    <row r="1872" spans="2:12" x14ac:dyDescent="0.35">
      <c r="B1872" s="111">
        <f t="shared" si="146"/>
        <v>1862</v>
      </c>
      <c r="C1872" s="80" t="s">
        <v>30</v>
      </c>
      <c r="D1872" s="77" t="s">
        <v>31</v>
      </c>
      <c r="E1872" s="78">
        <f>31.39*E1863*0.1</f>
        <v>10.672600000000001</v>
      </c>
      <c r="F1872" s="65">
        <v>118.9</v>
      </c>
      <c r="G1872" s="123"/>
      <c r="H1872" s="65">
        <f t="shared" si="150"/>
        <v>118.9</v>
      </c>
      <c r="I1872" s="79">
        <f t="shared" si="147"/>
        <v>1268.97</v>
      </c>
      <c r="J1872" s="79">
        <f t="shared" si="148"/>
        <v>0</v>
      </c>
      <c r="K1872" s="79">
        <f t="shared" si="149"/>
        <v>1268.97</v>
      </c>
      <c r="L1872" s="121"/>
    </row>
    <row r="1873" spans="2:12" x14ac:dyDescent="0.35">
      <c r="B1873" s="111">
        <f t="shared" si="146"/>
        <v>1863</v>
      </c>
      <c r="C1873" s="64" t="s">
        <v>189</v>
      </c>
      <c r="D1873" s="77" t="s">
        <v>27</v>
      </c>
      <c r="E1873" s="78">
        <f>E1863</f>
        <v>3.4</v>
      </c>
      <c r="F1873" s="65"/>
      <c r="G1873" s="65">
        <v>3000</v>
      </c>
      <c r="H1873" s="65">
        <f t="shared" si="150"/>
        <v>3000</v>
      </c>
      <c r="I1873" s="79">
        <f t="shared" si="147"/>
        <v>0</v>
      </c>
      <c r="J1873" s="79">
        <f t="shared" si="148"/>
        <v>10200</v>
      </c>
      <c r="K1873" s="79">
        <f t="shared" si="149"/>
        <v>10200</v>
      </c>
      <c r="L1873" s="121"/>
    </row>
    <row r="1874" spans="2:12" x14ac:dyDescent="0.35">
      <c r="B1874" s="111">
        <f t="shared" si="146"/>
        <v>1864</v>
      </c>
      <c r="C1874" s="80" t="s">
        <v>353</v>
      </c>
      <c r="D1874" s="77" t="s">
        <v>27</v>
      </c>
      <c r="E1874" s="78">
        <f>E1873*1.1</f>
        <v>3.74</v>
      </c>
      <c r="F1874" s="65">
        <v>800</v>
      </c>
      <c r="G1874" s="65"/>
      <c r="H1874" s="65">
        <f t="shared" si="150"/>
        <v>800</v>
      </c>
      <c r="I1874" s="79">
        <f t="shared" si="147"/>
        <v>2992</v>
      </c>
      <c r="J1874" s="79">
        <f t="shared" si="148"/>
        <v>0</v>
      </c>
      <c r="K1874" s="79">
        <f t="shared" si="149"/>
        <v>2992</v>
      </c>
      <c r="L1874" s="121"/>
    </row>
    <row r="1875" spans="2:12" ht="33" x14ac:dyDescent="0.35">
      <c r="B1875" s="111">
        <f t="shared" si="146"/>
        <v>1865</v>
      </c>
      <c r="C1875" s="64" t="s">
        <v>355</v>
      </c>
      <c r="D1875" s="81" t="s">
        <v>26</v>
      </c>
      <c r="E1875" s="78">
        <v>15.1</v>
      </c>
      <c r="F1875" s="65"/>
      <c r="G1875" s="65">
        <v>439</v>
      </c>
      <c r="H1875" s="65">
        <f t="shared" si="150"/>
        <v>439</v>
      </c>
      <c r="I1875" s="79">
        <f t="shared" si="147"/>
        <v>0</v>
      </c>
      <c r="J1875" s="79">
        <f t="shared" si="148"/>
        <v>6628.9</v>
      </c>
      <c r="K1875" s="79">
        <f t="shared" si="149"/>
        <v>6628.9</v>
      </c>
      <c r="L1875" s="121"/>
    </row>
    <row r="1876" spans="2:12" ht="24" customHeight="1" x14ac:dyDescent="0.35">
      <c r="B1876" s="111">
        <f t="shared" si="146"/>
        <v>1866</v>
      </c>
      <c r="C1876" s="98" t="s">
        <v>282</v>
      </c>
      <c r="D1876" s="103" t="s">
        <v>32</v>
      </c>
      <c r="E1876" s="100">
        <v>1</v>
      </c>
      <c r="F1876" s="101"/>
      <c r="G1876" s="106"/>
      <c r="H1876" s="101">
        <f t="shared" si="150"/>
        <v>0</v>
      </c>
      <c r="I1876" s="101">
        <f t="shared" si="147"/>
        <v>0</v>
      </c>
      <c r="J1876" s="101">
        <f t="shared" si="148"/>
        <v>0</v>
      </c>
      <c r="K1876" s="101">
        <f t="shared" si="149"/>
        <v>0</v>
      </c>
      <c r="L1876" s="121"/>
    </row>
    <row r="1877" spans="2:12" ht="31" x14ac:dyDescent="0.35">
      <c r="B1877" s="111">
        <f t="shared" si="146"/>
        <v>1867</v>
      </c>
      <c r="C1877" s="64" t="s">
        <v>348</v>
      </c>
      <c r="D1877" s="81" t="s">
        <v>26</v>
      </c>
      <c r="E1877" s="78">
        <f>13.6*0.97</f>
        <v>13.192</v>
      </c>
      <c r="F1877" s="65"/>
      <c r="G1877" s="65">
        <v>300</v>
      </c>
      <c r="H1877" s="65">
        <f t="shared" si="150"/>
        <v>300</v>
      </c>
      <c r="I1877" s="79">
        <f t="shared" si="147"/>
        <v>0</v>
      </c>
      <c r="J1877" s="79">
        <f t="shared" si="148"/>
        <v>3957.6</v>
      </c>
      <c r="K1877" s="79">
        <f t="shared" si="149"/>
        <v>3957.6</v>
      </c>
      <c r="L1877" s="121"/>
    </row>
    <row r="1878" spans="2:12" x14ac:dyDescent="0.35">
      <c r="B1878" s="111">
        <f t="shared" si="146"/>
        <v>1868</v>
      </c>
      <c r="C1878" s="64" t="s">
        <v>19</v>
      </c>
      <c r="D1878" s="81" t="s">
        <v>26</v>
      </c>
      <c r="E1878" s="78">
        <f>E1877/9</f>
        <v>1.4657777777777778</v>
      </c>
      <c r="F1878" s="65"/>
      <c r="G1878" s="65">
        <v>1500</v>
      </c>
      <c r="H1878" s="65">
        <f t="shared" si="150"/>
        <v>1500</v>
      </c>
      <c r="I1878" s="79">
        <f t="shared" si="147"/>
        <v>0</v>
      </c>
      <c r="J1878" s="79">
        <f t="shared" si="148"/>
        <v>2198.67</v>
      </c>
      <c r="K1878" s="79">
        <f t="shared" si="149"/>
        <v>2198.67</v>
      </c>
      <c r="L1878" s="121"/>
    </row>
    <row r="1879" spans="2:12" x14ac:dyDescent="0.35">
      <c r="B1879" s="111">
        <f t="shared" si="146"/>
        <v>1869</v>
      </c>
      <c r="C1879" s="64" t="s">
        <v>67</v>
      </c>
      <c r="D1879" s="81" t="s">
        <v>25</v>
      </c>
      <c r="E1879" s="78">
        <f>(3.14*2.7^2)/4</f>
        <v>5.7226500000000007</v>
      </c>
      <c r="F1879" s="65"/>
      <c r="G1879" s="123"/>
      <c r="H1879" s="65">
        <f t="shared" si="150"/>
        <v>0</v>
      </c>
      <c r="I1879" s="79">
        <f t="shared" si="147"/>
        <v>0</v>
      </c>
      <c r="J1879" s="79">
        <f t="shared" si="148"/>
        <v>0</v>
      </c>
      <c r="K1879" s="79">
        <f t="shared" si="149"/>
        <v>0</v>
      </c>
      <c r="L1879" s="121"/>
    </row>
    <row r="1880" spans="2:12" x14ac:dyDescent="0.35">
      <c r="B1880" s="111">
        <f t="shared" si="146"/>
        <v>1870</v>
      </c>
      <c r="C1880" s="64" t="s">
        <v>68</v>
      </c>
      <c r="D1880" s="81" t="s">
        <v>26</v>
      </c>
      <c r="E1880" s="78">
        <f>(3.14*2.7^2)/4*0.1</f>
        <v>0.57226500000000013</v>
      </c>
      <c r="F1880" s="65"/>
      <c r="G1880" s="65">
        <v>5860</v>
      </c>
      <c r="H1880" s="65">
        <f t="shared" si="150"/>
        <v>5860</v>
      </c>
      <c r="I1880" s="79">
        <f t="shared" si="147"/>
        <v>0</v>
      </c>
      <c r="J1880" s="79">
        <f t="shared" si="148"/>
        <v>3353.47</v>
      </c>
      <c r="K1880" s="79">
        <f t="shared" si="149"/>
        <v>3353.47</v>
      </c>
      <c r="L1880" s="121"/>
    </row>
    <row r="1881" spans="2:12" x14ac:dyDescent="0.35">
      <c r="B1881" s="111">
        <f t="shared" si="146"/>
        <v>1871</v>
      </c>
      <c r="C1881" s="80" t="s">
        <v>159</v>
      </c>
      <c r="D1881" s="81" t="s">
        <v>26</v>
      </c>
      <c r="E1881" s="78">
        <f>E1880*1.02</f>
        <v>0.58371030000000013</v>
      </c>
      <c r="F1881" s="65">
        <v>6700</v>
      </c>
      <c r="G1881" s="123"/>
      <c r="H1881" s="65">
        <f t="shared" si="150"/>
        <v>6700</v>
      </c>
      <c r="I1881" s="79">
        <f t="shared" si="147"/>
        <v>3910.86</v>
      </c>
      <c r="J1881" s="79">
        <f t="shared" si="148"/>
        <v>0</v>
      </c>
      <c r="K1881" s="79">
        <f t="shared" si="149"/>
        <v>3910.86</v>
      </c>
      <c r="L1881" s="121"/>
    </row>
    <row r="1882" spans="2:12" x14ac:dyDescent="0.35">
      <c r="B1882" s="111">
        <f t="shared" si="146"/>
        <v>1872</v>
      </c>
      <c r="C1882" s="64" t="s">
        <v>151</v>
      </c>
      <c r="D1882" s="81" t="s">
        <v>25</v>
      </c>
      <c r="E1882" s="78">
        <f>(3.14*2.5^2)/4</f>
        <v>4.90625</v>
      </c>
      <c r="F1882" s="65">
        <v>68.5</v>
      </c>
      <c r="G1882" s="65">
        <v>150</v>
      </c>
      <c r="H1882" s="65">
        <f t="shared" si="150"/>
        <v>218.5</v>
      </c>
      <c r="I1882" s="79">
        <f t="shared" si="147"/>
        <v>336.08</v>
      </c>
      <c r="J1882" s="79">
        <f t="shared" si="148"/>
        <v>735.94</v>
      </c>
      <c r="K1882" s="79">
        <f t="shared" si="149"/>
        <v>1072.02</v>
      </c>
      <c r="L1882" s="121"/>
    </row>
    <row r="1883" spans="2:12" ht="31" x14ac:dyDescent="0.35">
      <c r="B1883" s="111">
        <f t="shared" si="146"/>
        <v>1873</v>
      </c>
      <c r="C1883" s="64" t="s">
        <v>152</v>
      </c>
      <c r="D1883" s="81" t="s">
        <v>25</v>
      </c>
      <c r="E1883" s="78">
        <f>E1882</f>
        <v>4.90625</v>
      </c>
      <c r="F1883" s="65">
        <v>927</v>
      </c>
      <c r="G1883" s="65">
        <v>400</v>
      </c>
      <c r="H1883" s="65">
        <f t="shared" si="150"/>
        <v>1327</v>
      </c>
      <c r="I1883" s="79">
        <f t="shared" si="147"/>
        <v>4548.09</v>
      </c>
      <c r="J1883" s="79">
        <f t="shared" si="148"/>
        <v>1962.5</v>
      </c>
      <c r="K1883" s="79">
        <f t="shared" si="149"/>
        <v>6510.59</v>
      </c>
      <c r="L1883" s="121"/>
    </row>
    <row r="1884" spans="2:12" ht="31" x14ac:dyDescent="0.35">
      <c r="B1884" s="111">
        <f t="shared" si="146"/>
        <v>1874</v>
      </c>
      <c r="C1884" s="64" t="s">
        <v>69</v>
      </c>
      <c r="D1884" s="81" t="s">
        <v>32</v>
      </c>
      <c r="E1884" s="78">
        <v>1</v>
      </c>
      <c r="F1884" s="65"/>
      <c r="G1884" s="65">
        <v>5662</v>
      </c>
      <c r="H1884" s="65">
        <f t="shared" si="150"/>
        <v>5662</v>
      </c>
      <c r="I1884" s="79">
        <f t="shared" si="147"/>
        <v>0</v>
      </c>
      <c r="J1884" s="79">
        <f t="shared" si="148"/>
        <v>5662</v>
      </c>
      <c r="K1884" s="79">
        <f t="shared" si="149"/>
        <v>5662</v>
      </c>
      <c r="L1884" s="121"/>
    </row>
    <row r="1885" spans="2:12" x14ac:dyDescent="0.35">
      <c r="B1885" s="111">
        <f t="shared" si="146"/>
        <v>1875</v>
      </c>
      <c r="C1885" s="82" t="s">
        <v>71</v>
      </c>
      <c r="D1885" s="81" t="s">
        <v>32</v>
      </c>
      <c r="E1885" s="78">
        <v>1</v>
      </c>
      <c r="F1885" s="65">
        <f>7000*1.2</f>
        <v>8400</v>
      </c>
      <c r="G1885" s="123"/>
      <c r="H1885" s="65">
        <f t="shared" si="150"/>
        <v>8400</v>
      </c>
      <c r="I1885" s="79">
        <f t="shared" si="147"/>
        <v>8400</v>
      </c>
      <c r="J1885" s="79">
        <f t="shared" si="148"/>
        <v>0</v>
      </c>
      <c r="K1885" s="79">
        <f t="shared" si="149"/>
        <v>8400</v>
      </c>
      <c r="L1885" s="121"/>
    </row>
    <row r="1886" spans="2:12" x14ac:dyDescent="0.35">
      <c r="B1886" s="111">
        <f t="shared" si="146"/>
        <v>1876</v>
      </c>
      <c r="C1886" s="82" t="s">
        <v>101</v>
      </c>
      <c r="D1886" s="81" t="s">
        <v>26</v>
      </c>
      <c r="E1886" s="78">
        <f>((3.14*2^2)/4*0.02)*1.02</f>
        <v>6.4056000000000016E-2</v>
      </c>
      <c r="F1886" s="65">
        <v>7300</v>
      </c>
      <c r="G1886" s="123"/>
      <c r="H1886" s="65">
        <f t="shared" si="150"/>
        <v>7300</v>
      </c>
      <c r="I1886" s="79">
        <f t="shared" si="147"/>
        <v>467.61</v>
      </c>
      <c r="J1886" s="79">
        <f t="shared" si="148"/>
        <v>0</v>
      </c>
      <c r="K1886" s="79">
        <f t="shared" si="149"/>
        <v>467.61</v>
      </c>
      <c r="L1886" s="121"/>
    </row>
    <row r="1887" spans="2:12" ht="31" x14ac:dyDescent="0.35">
      <c r="B1887" s="111">
        <f t="shared" si="146"/>
        <v>1877</v>
      </c>
      <c r="C1887" s="64" t="s">
        <v>179</v>
      </c>
      <c r="D1887" s="81" t="s">
        <v>26</v>
      </c>
      <c r="E1887" s="78">
        <v>1.2</v>
      </c>
      <c r="F1887" s="65"/>
      <c r="G1887" s="65">
        <v>5860</v>
      </c>
      <c r="H1887" s="65">
        <f t="shared" si="150"/>
        <v>5860</v>
      </c>
      <c r="I1887" s="79">
        <f t="shared" si="147"/>
        <v>0</v>
      </c>
      <c r="J1887" s="79">
        <f t="shared" si="148"/>
        <v>7032</v>
      </c>
      <c r="K1887" s="79">
        <f t="shared" si="149"/>
        <v>7032</v>
      </c>
      <c r="L1887" s="121"/>
    </row>
    <row r="1888" spans="2:12" x14ac:dyDescent="0.35">
      <c r="B1888" s="111">
        <f t="shared" si="146"/>
        <v>1878</v>
      </c>
      <c r="C1888" s="82" t="s">
        <v>75</v>
      </c>
      <c r="D1888" s="81" t="s">
        <v>26</v>
      </c>
      <c r="E1888" s="78">
        <f>E1887*1.02</f>
        <v>1.224</v>
      </c>
      <c r="F1888" s="65">
        <v>7100</v>
      </c>
      <c r="G1888" s="123"/>
      <c r="H1888" s="65">
        <f t="shared" si="150"/>
        <v>7100</v>
      </c>
      <c r="I1888" s="79">
        <f t="shared" si="147"/>
        <v>8690.4</v>
      </c>
      <c r="J1888" s="79">
        <f t="shared" si="148"/>
        <v>0</v>
      </c>
      <c r="K1888" s="79">
        <f t="shared" si="149"/>
        <v>8690.4</v>
      </c>
      <c r="L1888" s="121"/>
    </row>
    <row r="1889" spans="2:12" ht="31" x14ac:dyDescent="0.35">
      <c r="B1889" s="111">
        <f t="shared" si="146"/>
        <v>1879</v>
      </c>
      <c r="C1889" s="64" t="s">
        <v>78</v>
      </c>
      <c r="D1889" s="81" t="s">
        <v>32</v>
      </c>
      <c r="E1889" s="78">
        <v>7</v>
      </c>
      <c r="F1889" s="65"/>
      <c r="G1889" s="65">
        <v>5662</v>
      </c>
      <c r="H1889" s="65">
        <f t="shared" si="150"/>
        <v>5662</v>
      </c>
      <c r="I1889" s="79">
        <f t="shared" si="147"/>
        <v>0</v>
      </c>
      <c r="J1889" s="79">
        <f t="shared" si="148"/>
        <v>39634</v>
      </c>
      <c r="K1889" s="79">
        <f t="shared" si="149"/>
        <v>39634</v>
      </c>
      <c r="L1889" s="121"/>
    </row>
    <row r="1890" spans="2:12" x14ac:dyDescent="0.35">
      <c r="B1890" s="111">
        <f t="shared" si="146"/>
        <v>1880</v>
      </c>
      <c r="C1890" s="82" t="s">
        <v>76</v>
      </c>
      <c r="D1890" s="81" t="s">
        <v>32</v>
      </c>
      <c r="E1890" s="78">
        <v>3</v>
      </c>
      <c r="F1890" s="65">
        <f>7000*1.2</f>
        <v>8400</v>
      </c>
      <c r="G1890" s="123"/>
      <c r="H1890" s="65">
        <f t="shared" si="150"/>
        <v>8400</v>
      </c>
      <c r="I1890" s="79">
        <f t="shared" si="147"/>
        <v>25200</v>
      </c>
      <c r="J1890" s="79">
        <f t="shared" si="148"/>
        <v>0</v>
      </c>
      <c r="K1890" s="79">
        <f t="shared" si="149"/>
        <v>25200</v>
      </c>
      <c r="L1890" s="121"/>
    </row>
    <row r="1891" spans="2:12" x14ac:dyDescent="0.35">
      <c r="B1891" s="111">
        <f t="shared" si="146"/>
        <v>1881</v>
      </c>
      <c r="C1891" s="82" t="s">
        <v>293</v>
      </c>
      <c r="D1891" s="81" t="s">
        <v>32</v>
      </c>
      <c r="E1891" s="78">
        <v>1</v>
      </c>
      <c r="F1891" s="65">
        <f>900*1.2</f>
        <v>1080</v>
      </c>
      <c r="G1891" s="123"/>
      <c r="H1891" s="65">
        <f t="shared" si="150"/>
        <v>1080</v>
      </c>
      <c r="I1891" s="79">
        <f t="shared" si="147"/>
        <v>1080</v>
      </c>
      <c r="J1891" s="79">
        <f t="shared" si="148"/>
        <v>0</v>
      </c>
      <c r="K1891" s="79">
        <f t="shared" si="149"/>
        <v>1080</v>
      </c>
      <c r="L1891" s="121"/>
    </row>
    <row r="1892" spans="2:12" x14ac:dyDescent="0.35">
      <c r="B1892" s="111">
        <f t="shared" si="146"/>
        <v>1882</v>
      </c>
      <c r="C1892" s="82" t="s">
        <v>306</v>
      </c>
      <c r="D1892" s="81" t="s">
        <v>32</v>
      </c>
      <c r="E1892" s="78">
        <v>1</v>
      </c>
      <c r="F1892" s="65">
        <v>840</v>
      </c>
      <c r="G1892" s="123"/>
      <c r="H1892" s="65">
        <f t="shared" si="150"/>
        <v>840</v>
      </c>
      <c r="I1892" s="79">
        <f t="shared" si="147"/>
        <v>840</v>
      </c>
      <c r="J1892" s="79">
        <f t="shared" si="148"/>
        <v>0</v>
      </c>
      <c r="K1892" s="79">
        <f t="shared" si="149"/>
        <v>840</v>
      </c>
      <c r="L1892" s="121"/>
    </row>
    <row r="1893" spans="2:12" ht="31" x14ac:dyDescent="0.35">
      <c r="B1893" s="111">
        <f t="shared" si="146"/>
        <v>1883</v>
      </c>
      <c r="C1893" s="64" t="s">
        <v>85</v>
      </c>
      <c r="D1893" s="81" t="s">
        <v>32</v>
      </c>
      <c r="E1893" s="78">
        <v>1</v>
      </c>
      <c r="F1893" s="65"/>
      <c r="G1893" s="65">
        <v>2500</v>
      </c>
      <c r="H1893" s="65">
        <f t="shared" si="150"/>
        <v>2500</v>
      </c>
      <c r="I1893" s="79">
        <f t="shared" si="147"/>
        <v>0</v>
      </c>
      <c r="J1893" s="79">
        <f t="shared" si="148"/>
        <v>2500</v>
      </c>
      <c r="K1893" s="79">
        <f t="shared" si="149"/>
        <v>2500</v>
      </c>
      <c r="L1893" s="121"/>
    </row>
    <row r="1894" spans="2:12" x14ac:dyDescent="0.35">
      <c r="B1894" s="111">
        <f t="shared" si="146"/>
        <v>1884</v>
      </c>
      <c r="C1894" s="82" t="s">
        <v>79</v>
      </c>
      <c r="D1894" s="81" t="s">
        <v>32</v>
      </c>
      <c r="E1894" s="78">
        <v>1</v>
      </c>
      <c r="F1894" s="65">
        <f>6500*1.2</f>
        <v>7800</v>
      </c>
      <c r="G1894" s="123"/>
      <c r="H1894" s="65">
        <f t="shared" si="150"/>
        <v>7800</v>
      </c>
      <c r="I1894" s="79">
        <f t="shared" si="147"/>
        <v>7800</v>
      </c>
      <c r="J1894" s="79">
        <f t="shared" si="148"/>
        <v>0</v>
      </c>
      <c r="K1894" s="79">
        <f t="shared" si="149"/>
        <v>7800</v>
      </c>
      <c r="L1894" s="121"/>
    </row>
    <row r="1895" spans="2:12" ht="31" x14ac:dyDescent="0.35">
      <c r="B1895" s="111">
        <f t="shared" si="146"/>
        <v>1885</v>
      </c>
      <c r="C1895" s="64" t="s">
        <v>316</v>
      </c>
      <c r="D1895" s="81" t="s">
        <v>32</v>
      </c>
      <c r="E1895" s="78">
        <v>1</v>
      </c>
      <c r="F1895" s="65"/>
      <c r="G1895" s="65"/>
      <c r="H1895" s="65">
        <f t="shared" si="150"/>
        <v>0</v>
      </c>
      <c r="I1895" s="79">
        <f t="shared" si="147"/>
        <v>0</v>
      </c>
      <c r="J1895" s="79">
        <f t="shared" si="148"/>
        <v>0</v>
      </c>
      <c r="K1895" s="79">
        <f t="shared" si="149"/>
        <v>0</v>
      </c>
      <c r="L1895" s="121"/>
    </row>
    <row r="1896" spans="2:12" x14ac:dyDescent="0.35">
      <c r="B1896" s="111">
        <f t="shared" si="146"/>
        <v>1886</v>
      </c>
      <c r="C1896" s="88" t="s">
        <v>84</v>
      </c>
      <c r="D1896" s="81" t="s">
        <v>32</v>
      </c>
      <c r="E1896" s="78">
        <v>1</v>
      </c>
      <c r="F1896" s="65">
        <v>1300</v>
      </c>
      <c r="G1896" s="65">
        <v>990</v>
      </c>
      <c r="H1896" s="65">
        <f t="shared" si="150"/>
        <v>2290</v>
      </c>
      <c r="I1896" s="79">
        <f t="shared" si="147"/>
        <v>1300</v>
      </c>
      <c r="J1896" s="79">
        <f t="shared" si="148"/>
        <v>990</v>
      </c>
      <c r="K1896" s="79">
        <f t="shared" si="149"/>
        <v>2290</v>
      </c>
      <c r="L1896" s="121"/>
    </row>
    <row r="1897" spans="2:12" x14ac:dyDescent="0.35">
      <c r="B1897" s="111">
        <f t="shared" si="146"/>
        <v>1887</v>
      </c>
      <c r="C1897" s="80" t="s">
        <v>301</v>
      </c>
      <c r="D1897" s="81" t="s">
        <v>32</v>
      </c>
      <c r="E1897" s="78">
        <v>1</v>
      </c>
      <c r="F1897" s="65">
        <v>6000</v>
      </c>
      <c r="G1897" s="65">
        <v>1464.09</v>
      </c>
      <c r="H1897" s="65">
        <f t="shared" si="150"/>
        <v>7464.09</v>
      </c>
      <c r="I1897" s="79">
        <f t="shared" si="147"/>
        <v>6000</v>
      </c>
      <c r="J1897" s="79">
        <f t="shared" si="148"/>
        <v>1464.09</v>
      </c>
      <c r="K1897" s="79">
        <f t="shared" si="149"/>
        <v>7464.09</v>
      </c>
      <c r="L1897" s="121"/>
    </row>
    <row r="1898" spans="2:12" ht="31" x14ac:dyDescent="0.35">
      <c r="B1898" s="111">
        <f t="shared" si="146"/>
        <v>1888</v>
      </c>
      <c r="C1898" s="64" t="s">
        <v>156</v>
      </c>
      <c r="D1898" s="81" t="s">
        <v>25</v>
      </c>
      <c r="E1898" s="78">
        <f>(3.14*2.2)*3.41+3.8</f>
        <v>27.356280000000005</v>
      </c>
      <c r="F1898" s="65">
        <v>68.5</v>
      </c>
      <c r="G1898" s="65">
        <v>150</v>
      </c>
      <c r="H1898" s="65">
        <f t="shared" si="150"/>
        <v>218.5</v>
      </c>
      <c r="I1898" s="79">
        <f t="shared" si="147"/>
        <v>1873.91</v>
      </c>
      <c r="J1898" s="79">
        <f t="shared" si="148"/>
        <v>4103.4399999999996</v>
      </c>
      <c r="K1898" s="79">
        <f t="shared" si="149"/>
        <v>5977.3499999999995</v>
      </c>
      <c r="L1898" s="121"/>
    </row>
    <row r="1899" spans="2:12" ht="46.5" x14ac:dyDescent="0.35">
      <c r="B1899" s="111">
        <f t="shared" si="146"/>
        <v>1889</v>
      </c>
      <c r="C1899" s="64" t="s">
        <v>157</v>
      </c>
      <c r="D1899" s="81" t="s">
        <v>25</v>
      </c>
      <c r="E1899" s="78">
        <f>E1898</f>
        <v>27.356280000000005</v>
      </c>
      <c r="F1899" s="65">
        <v>927</v>
      </c>
      <c r="G1899" s="65">
        <v>400</v>
      </c>
      <c r="H1899" s="65">
        <f t="shared" si="150"/>
        <v>1327</v>
      </c>
      <c r="I1899" s="79">
        <f t="shared" si="147"/>
        <v>25359.27</v>
      </c>
      <c r="J1899" s="79">
        <f t="shared" si="148"/>
        <v>10942.51</v>
      </c>
      <c r="K1899" s="79">
        <f t="shared" si="149"/>
        <v>36301.78</v>
      </c>
      <c r="L1899" s="121"/>
    </row>
    <row r="1900" spans="2:12" x14ac:dyDescent="0.35">
      <c r="B1900" s="111">
        <f t="shared" si="146"/>
        <v>1890</v>
      </c>
      <c r="C1900" s="64" t="s">
        <v>102</v>
      </c>
      <c r="D1900" s="81" t="s">
        <v>32</v>
      </c>
      <c r="E1900" s="78">
        <v>1</v>
      </c>
      <c r="F1900" s="68"/>
      <c r="G1900" s="123"/>
      <c r="H1900" s="65">
        <f t="shared" si="150"/>
        <v>0</v>
      </c>
      <c r="I1900" s="79">
        <f t="shared" si="147"/>
        <v>0</v>
      </c>
      <c r="J1900" s="79">
        <f t="shared" si="148"/>
        <v>0</v>
      </c>
      <c r="K1900" s="79">
        <f t="shared" si="149"/>
        <v>0</v>
      </c>
      <c r="L1900" s="121"/>
    </row>
    <row r="1901" spans="2:12" x14ac:dyDescent="0.35">
      <c r="B1901" s="111">
        <f t="shared" si="146"/>
        <v>1891</v>
      </c>
      <c r="C1901" s="82" t="s">
        <v>104</v>
      </c>
      <c r="D1901" s="81" t="s">
        <v>31</v>
      </c>
      <c r="E1901" s="78">
        <v>30</v>
      </c>
      <c r="F1901" s="68">
        <v>71</v>
      </c>
      <c r="G1901" s="65">
        <v>97.61</v>
      </c>
      <c r="H1901" s="65">
        <f t="shared" si="150"/>
        <v>168.61</v>
      </c>
      <c r="I1901" s="79">
        <f t="shared" si="147"/>
        <v>2130</v>
      </c>
      <c r="J1901" s="79">
        <f t="shared" si="148"/>
        <v>2928.3</v>
      </c>
      <c r="K1901" s="79">
        <f t="shared" si="149"/>
        <v>5058.3</v>
      </c>
      <c r="L1901" s="121"/>
    </row>
    <row r="1902" spans="2:12" x14ac:dyDescent="0.35">
      <c r="B1902" s="111">
        <f t="shared" si="146"/>
        <v>1892</v>
      </c>
      <c r="C1902" s="64" t="s">
        <v>93</v>
      </c>
      <c r="D1902" s="81" t="s">
        <v>32</v>
      </c>
      <c r="E1902" s="78">
        <v>2</v>
      </c>
      <c r="F1902" s="68"/>
      <c r="G1902" s="123"/>
      <c r="H1902" s="65">
        <f t="shared" si="150"/>
        <v>0</v>
      </c>
      <c r="I1902" s="79">
        <f t="shared" si="147"/>
        <v>0</v>
      </c>
      <c r="J1902" s="79">
        <f t="shared" si="148"/>
        <v>0</v>
      </c>
      <c r="K1902" s="79">
        <f t="shared" si="149"/>
        <v>0</v>
      </c>
      <c r="L1902" s="121"/>
    </row>
    <row r="1903" spans="2:12" x14ac:dyDescent="0.35">
      <c r="B1903" s="111">
        <f t="shared" si="146"/>
        <v>1893</v>
      </c>
      <c r="C1903" s="82" t="s">
        <v>94</v>
      </c>
      <c r="D1903" s="81" t="s">
        <v>31</v>
      </c>
      <c r="E1903" s="78">
        <f>0.82*E1902</f>
        <v>1.64</v>
      </c>
      <c r="F1903" s="68">
        <v>71</v>
      </c>
      <c r="G1903" s="65">
        <v>97.61</v>
      </c>
      <c r="H1903" s="65">
        <f t="shared" si="150"/>
        <v>168.61</v>
      </c>
      <c r="I1903" s="79">
        <f t="shared" si="147"/>
        <v>116.44</v>
      </c>
      <c r="J1903" s="79">
        <f t="shared" si="148"/>
        <v>160.08000000000001</v>
      </c>
      <c r="K1903" s="79">
        <f t="shared" si="149"/>
        <v>276.52</v>
      </c>
      <c r="L1903" s="121"/>
    </row>
    <row r="1904" spans="2:12" ht="31" x14ac:dyDescent="0.35">
      <c r="B1904" s="111">
        <f t="shared" si="146"/>
        <v>1894</v>
      </c>
      <c r="C1904" s="64" t="s">
        <v>304</v>
      </c>
      <c r="D1904" s="81" t="s">
        <v>32</v>
      </c>
      <c r="E1904" s="78">
        <v>3</v>
      </c>
      <c r="F1904" s="68"/>
      <c r="G1904" s="65">
        <v>1464</v>
      </c>
      <c r="H1904" s="65">
        <f t="shared" si="150"/>
        <v>1464</v>
      </c>
      <c r="I1904" s="79">
        <f t="shared" si="147"/>
        <v>0</v>
      </c>
      <c r="J1904" s="79">
        <f t="shared" si="148"/>
        <v>4392</v>
      </c>
      <c r="K1904" s="79">
        <f t="shared" si="149"/>
        <v>4392</v>
      </c>
      <c r="L1904" s="121"/>
    </row>
    <row r="1905" spans="2:12" x14ac:dyDescent="0.35">
      <c r="B1905" s="111">
        <f t="shared" si="146"/>
        <v>1895</v>
      </c>
      <c r="C1905" s="64" t="s">
        <v>345</v>
      </c>
      <c r="D1905" s="81"/>
      <c r="E1905" s="78"/>
      <c r="F1905" s="65"/>
      <c r="G1905" s="123"/>
      <c r="H1905" s="65">
        <f t="shared" si="150"/>
        <v>0</v>
      </c>
      <c r="I1905" s="79">
        <f t="shared" si="147"/>
        <v>0</v>
      </c>
      <c r="J1905" s="79">
        <f t="shared" si="148"/>
        <v>0</v>
      </c>
      <c r="K1905" s="79">
        <f t="shared" si="149"/>
        <v>0</v>
      </c>
      <c r="L1905" s="121">
        <v>1</v>
      </c>
    </row>
    <row r="1906" spans="2:12" ht="31" x14ac:dyDescent="0.35">
      <c r="B1906" s="111">
        <f t="shared" si="146"/>
        <v>1896</v>
      </c>
      <c r="C1906" s="80" t="s">
        <v>309</v>
      </c>
      <c r="D1906" s="81" t="s">
        <v>32</v>
      </c>
      <c r="E1906" s="78">
        <v>1</v>
      </c>
      <c r="F1906" s="65">
        <v>2263</v>
      </c>
      <c r="G1906" s="65">
        <v>1700</v>
      </c>
      <c r="H1906" s="65">
        <f t="shared" si="150"/>
        <v>3963</v>
      </c>
      <c r="I1906" s="79">
        <f t="shared" si="147"/>
        <v>2263</v>
      </c>
      <c r="J1906" s="79">
        <f t="shared" si="148"/>
        <v>1700</v>
      </c>
      <c r="K1906" s="79">
        <f t="shared" si="149"/>
        <v>3963</v>
      </c>
      <c r="L1906" s="121"/>
    </row>
    <row r="1907" spans="2:12" ht="31" x14ac:dyDescent="0.35">
      <c r="B1907" s="111">
        <f t="shared" si="146"/>
        <v>1897</v>
      </c>
      <c r="C1907" s="80" t="s">
        <v>310</v>
      </c>
      <c r="D1907" s="81" t="s">
        <v>32</v>
      </c>
      <c r="E1907" s="78">
        <v>1</v>
      </c>
      <c r="F1907" s="65">
        <v>1303</v>
      </c>
      <c r="G1907" s="65">
        <v>1700</v>
      </c>
      <c r="H1907" s="65">
        <f t="shared" si="150"/>
        <v>3003</v>
      </c>
      <c r="I1907" s="79">
        <f t="shared" si="147"/>
        <v>1303</v>
      </c>
      <c r="J1907" s="79">
        <f t="shared" si="148"/>
        <v>1700</v>
      </c>
      <c r="K1907" s="79">
        <f t="shared" si="149"/>
        <v>3003</v>
      </c>
      <c r="L1907" s="121"/>
    </row>
    <row r="1908" spans="2:12" ht="31" x14ac:dyDescent="0.35">
      <c r="B1908" s="111">
        <f t="shared" si="146"/>
        <v>1898</v>
      </c>
      <c r="C1908" s="80" t="s">
        <v>63</v>
      </c>
      <c r="D1908" s="81" t="s">
        <v>27</v>
      </c>
      <c r="E1908" s="78">
        <f>0.57*1.1</f>
        <v>0.627</v>
      </c>
      <c r="F1908" s="65">
        <v>855</v>
      </c>
      <c r="G1908" s="65">
        <v>1700</v>
      </c>
      <c r="H1908" s="65">
        <f t="shared" si="150"/>
        <v>2555</v>
      </c>
      <c r="I1908" s="79">
        <f t="shared" si="147"/>
        <v>536.09</v>
      </c>
      <c r="J1908" s="79">
        <f t="shared" si="148"/>
        <v>1065.9000000000001</v>
      </c>
      <c r="K1908" s="79">
        <f t="shared" si="149"/>
        <v>1601.9900000000002</v>
      </c>
      <c r="L1908" s="121"/>
    </row>
    <row r="1909" spans="2:12" ht="33" x14ac:dyDescent="0.35">
      <c r="B1909" s="111">
        <f t="shared" si="146"/>
        <v>1899</v>
      </c>
      <c r="C1909" s="64" t="s">
        <v>362</v>
      </c>
      <c r="D1909" s="81" t="s">
        <v>26</v>
      </c>
      <c r="E1909" s="78">
        <f>22.9-12.96</f>
        <v>9.9399999999999977</v>
      </c>
      <c r="F1909" s="68"/>
      <c r="G1909" s="65">
        <v>439</v>
      </c>
      <c r="H1909" s="65">
        <f t="shared" si="150"/>
        <v>439</v>
      </c>
      <c r="I1909" s="79">
        <f t="shared" si="147"/>
        <v>0</v>
      </c>
      <c r="J1909" s="79">
        <f t="shared" si="148"/>
        <v>4363.66</v>
      </c>
      <c r="K1909" s="79">
        <f t="shared" si="149"/>
        <v>4363.66</v>
      </c>
      <c r="L1909" s="121"/>
    </row>
    <row r="1910" spans="2:12" ht="30" x14ac:dyDescent="0.35">
      <c r="B1910" s="111">
        <f t="shared" si="146"/>
        <v>1900</v>
      </c>
      <c r="C1910" s="98" t="s">
        <v>283</v>
      </c>
      <c r="D1910" s="99" t="s">
        <v>27</v>
      </c>
      <c r="E1910" s="100">
        <v>1.3</v>
      </c>
      <c r="F1910" s="101"/>
      <c r="G1910" s="106"/>
      <c r="H1910" s="101">
        <f t="shared" si="150"/>
        <v>0</v>
      </c>
      <c r="I1910" s="101">
        <f t="shared" si="147"/>
        <v>0</v>
      </c>
      <c r="J1910" s="101">
        <f t="shared" si="148"/>
        <v>0</v>
      </c>
      <c r="K1910" s="101">
        <f t="shared" si="149"/>
        <v>0</v>
      </c>
      <c r="L1910" s="121"/>
    </row>
    <row r="1911" spans="2:12" ht="31" x14ac:dyDescent="0.35">
      <c r="B1911" s="111">
        <f t="shared" si="146"/>
        <v>1901</v>
      </c>
      <c r="C1911" s="64" t="s">
        <v>194</v>
      </c>
      <c r="D1911" s="77" t="s">
        <v>25</v>
      </c>
      <c r="E1911" s="78">
        <f>E1910*0.48</f>
        <v>0.624</v>
      </c>
      <c r="F1911" s="65">
        <f>1973*0.15</f>
        <v>295.95</v>
      </c>
      <c r="G1911" s="65">
        <f>1500*0.15</f>
        <v>225</v>
      </c>
      <c r="H1911" s="65">
        <f t="shared" si="150"/>
        <v>520.95000000000005</v>
      </c>
      <c r="I1911" s="79">
        <f t="shared" si="147"/>
        <v>184.67</v>
      </c>
      <c r="J1911" s="79">
        <f t="shared" si="148"/>
        <v>140.4</v>
      </c>
      <c r="K1911" s="79">
        <f t="shared" si="149"/>
        <v>325.07</v>
      </c>
      <c r="L1911" s="121"/>
    </row>
    <row r="1912" spans="2:12" x14ac:dyDescent="0.35">
      <c r="B1912" s="111">
        <f t="shared" si="146"/>
        <v>1902</v>
      </c>
      <c r="C1912" s="64" t="s">
        <v>20</v>
      </c>
      <c r="D1912" s="77" t="s">
        <v>26</v>
      </c>
      <c r="E1912" s="78">
        <f>0.34*E1910*0.1</f>
        <v>4.420000000000001E-2</v>
      </c>
      <c r="F1912" s="65"/>
      <c r="G1912" s="65">
        <v>5860</v>
      </c>
      <c r="H1912" s="65">
        <f t="shared" si="150"/>
        <v>5860</v>
      </c>
      <c r="I1912" s="79">
        <f t="shared" si="147"/>
        <v>0</v>
      </c>
      <c r="J1912" s="79">
        <f t="shared" si="148"/>
        <v>259.01</v>
      </c>
      <c r="K1912" s="79">
        <f t="shared" si="149"/>
        <v>259.01</v>
      </c>
      <c r="L1912" s="121"/>
    </row>
    <row r="1913" spans="2:12" x14ac:dyDescent="0.35">
      <c r="B1913" s="111">
        <f t="shared" si="146"/>
        <v>1903</v>
      </c>
      <c r="C1913" s="80" t="s">
        <v>159</v>
      </c>
      <c r="D1913" s="77" t="s">
        <v>26</v>
      </c>
      <c r="E1913" s="78">
        <f>E1912*1.02</f>
        <v>4.5084000000000013E-2</v>
      </c>
      <c r="F1913" s="65">
        <v>6700</v>
      </c>
      <c r="G1913" s="123"/>
      <c r="H1913" s="65">
        <f t="shared" si="150"/>
        <v>6700</v>
      </c>
      <c r="I1913" s="79">
        <f t="shared" si="147"/>
        <v>302.06</v>
      </c>
      <c r="J1913" s="79">
        <f t="shared" si="148"/>
        <v>0</v>
      </c>
      <c r="K1913" s="79">
        <f t="shared" si="149"/>
        <v>302.06</v>
      </c>
      <c r="L1913" s="121"/>
    </row>
    <row r="1914" spans="2:12" x14ac:dyDescent="0.35">
      <c r="B1914" s="111">
        <f t="shared" si="146"/>
        <v>1904</v>
      </c>
      <c r="C1914" s="64" t="s">
        <v>28</v>
      </c>
      <c r="D1914" s="77" t="s">
        <v>26</v>
      </c>
      <c r="E1914" s="78">
        <f>E1910*0.8/10</f>
        <v>0.10400000000000001</v>
      </c>
      <c r="F1914" s="65"/>
      <c r="G1914" s="65">
        <v>5860</v>
      </c>
      <c r="H1914" s="65">
        <f t="shared" si="150"/>
        <v>5860</v>
      </c>
      <c r="I1914" s="79">
        <f t="shared" si="147"/>
        <v>0</v>
      </c>
      <c r="J1914" s="79">
        <f t="shared" si="148"/>
        <v>609.44000000000005</v>
      </c>
      <c r="K1914" s="79">
        <f t="shared" si="149"/>
        <v>609.44000000000005</v>
      </c>
      <c r="L1914" s="121"/>
    </row>
    <row r="1915" spans="2:12" x14ac:dyDescent="0.35">
      <c r="B1915" s="111">
        <f t="shared" si="146"/>
        <v>1905</v>
      </c>
      <c r="C1915" s="80" t="s">
        <v>29</v>
      </c>
      <c r="D1915" s="77" t="s">
        <v>26</v>
      </c>
      <c r="E1915" s="78">
        <f>E1914*1.02</f>
        <v>0.10608000000000001</v>
      </c>
      <c r="F1915" s="65">
        <v>7100</v>
      </c>
      <c r="G1915" s="123"/>
      <c r="H1915" s="65">
        <f t="shared" si="150"/>
        <v>7100</v>
      </c>
      <c r="I1915" s="79">
        <f t="shared" si="147"/>
        <v>753.17</v>
      </c>
      <c r="J1915" s="79">
        <f t="shared" si="148"/>
        <v>0</v>
      </c>
      <c r="K1915" s="79">
        <f t="shared" si="149"/>
        <v>753.17</v>
      </c>
      <c r="L1915" s="121"/>
    </row>
    <row r="1916" spans="2:12" x14ac:dyDescent="0.35">
      <c r="B1916" s="111">
        <f t="shared" si="146"/>
        <v>1906</v>
      </c>
      <c r="C1916" s="80" t="s">
        <v>30</v>
      </c>
      <c r="D1916" s="77" t="s">
        <v>31</v>
      </c>
      <c r="E1916" s="78">
        <f>E1910*1.22</f>
        <v>1.5860000000000001</v>
      </c>
      <c r="F1916" s="65">
        <v>118.9</v>
      </c>
      <c r="G1916" s="123"/>
      <c r="H1916" s="65">
        <f t="shared" si="150"/>
        <v>118.9</v>
      </c>
      <c r="I1916" s="79">
        <f t="shared" si="147"/>
        <v>188.58</v>
      </c>
      <c r="J1916" s="79">
        <f t="shared" si="148"/>
        <v>0</v>
      </c>
      <c r="K1916" s="79">
        <f t="shared" si="149"/>
        <v>188.58</v>
      </c>
      <c r="L1916" s="121"/>
    </row>
    <row r="1917" spans="2:12" x14ac:dyDescent="0.35">
      <c r="B1917" s="111">
        <f t="shared" si="146"/>
        <v>1907</v>
      </c>
      <c r="C1917" s="64" t="s">
        <v>189</v>
      </c>
      <c r="D1917" s="77" t="s">
        <v>27</v>
      </c>
      <c r="E1917" s="78">
        <f>E1910</f>
        <v>1.3</v>
      </c>
      <c r="F1917" s="65"/>
      <c r="G1917" s="65">
        <v>2928</v>
      </c>
      <c r="H1917" s="65">
        <f t="shared" si="150"/>
        <v>2928</v>
      </c>
      <c r="I1917" s="79">
        <f t="shared" si="147"/>
        <v>0</v>
      </c>
      <c r="J1917" s="79">
        <f t="shared" si="148"/>
        <v>3806.4</v>
      </c>
      <c r="K1917" s="79">
        <f t="shared" si="149"/>
        <v>3806.4</v>
      </c>
      <c r="L1917" s="121"/>
    </row>
    <row r="1918" spans="2:12" ht="31" x14ac:dyDescent="0.35">
      <c r="B1918" s="111">
        <f t="shared" si="146"/>
        <v>1908</v>
      </c>
      <c r="C1918" s="80" t="s">
        <v>195</v>
      </c>
      <c r="D1918" s="77" t="s">
        <v>27</v>
      </c>
      <c r="E1918" s="78">
        <f>E1917*1.1</f>
        <v>1.4300000000000002</v>
      </c>
      <c r="F1918" s="65">
        <v>855</v>
      </c>
      <c r="G1918" s="65"/>
      <c r="H1918" s="65">
        <f t="shared" si="150"/>
        <v>855</v>
      </c>
      <c r="I1918" s="79">
        <f t="shared" si="147"/>
        <v>1222.6500000000001</v>
      </c>
      <c r="J1918" s="79">
        <f t="shared" si="148"/>
        <v>0</v>
      </c>
      <c r="K1918" s="79">
        <f t="shared" si="149"/>
        <v>1222.6500000000001</v>
      </c>
      <c r="L1918" s="121"/>
    </row>
    <row r="1919" spans="2:12" ht="30" x14ac:dyDescent="0.35">
      <c r="B1919" s="111">
        <f t="shared" si="146"/>
        <v>1909</v>
      </c>
      <c r="C1919" s="98" t="s">
        <v>284</v>
      </c>
      <c r="D1919" s="99" t="s">
        <v>27</v>
      </c>
      <c r="E1919" s="100">
        <v>4.5</v>
      </c>
      <c r="F1919" s="101"/>
      <c r="G1919" s="106"/>
      <c r="H1919" s="101">
        <f t="shared" si="150"/>
        <v>0</v>
      </c>
      <c r="I1919" s="101">
        <f t="shared" si="147"/>
        <v>0</v>
      </c>
      <c r="J1919" s="101">
        <f t="shared" si="148"/>
        <v>0</v>
      </c>
      <c r="K1919" s="101">
        <f t="shared" si="149"/>
        <v>0</v>
      </c>
      <c r="L1919" s="121"/>
    </row>
    <row r="1920" spans="2:12" ht="31" x14ac:dyDescent="0.35">
      <c r="B1920" s="111">
        <f t="shared" si="146"/>
        <v>1910</v>
      </c>
      <c r="C1920" s="64" t="s">
        <v>348</v>
      </c>
      <c r="D1920" s="77" t="s">
        <v>26</v>
      </c>
      <c r="E1920" s="78">
        <f>0.97*13.4</f>
        <v>12.997999999999999</v>
      </c>
      <c r="F1920" s="65"/>
      <c r="G1920" s="65">
        <v>300</v>
      </c>
      <c r="H1920" s="65">
        <f t="shared" si="150"/>
        <v>300</v>
      </c>
      <c r="I1920" s="79">
        <f t="shared" si="147"/>
        <v>0</v>
      </c>
      <c r="J1920" s="79">
        <f t="shared" si="148"/>
        <v>3899.4</v>
      </c>
      <c r="K1920" s="79">
        <f t="shared" si="149"/>
        <v>3899.4</v>
      </c>
      <c r="L1920" s="121"/>
    </row>
    <row r="1921" spans="2:12" x14ac:dyDescent="0.35">
      <c r="B1921" s="111">
        <f t="shared" si="146"/>
        <v>1911</v>
      </c>
      <c r="C1921" s="64" t="s">
        <v>19</v>
      </c>
      <c r="D1921" s="77" t="s">
        <v>26</v>
      </c>
      <c r="E1921" s="78">
        <f>E1920/97*3</f>
        <v>0.40199999999999991</v>
      </c>
      <c r="F1921" s="65"/>
      <c r="G1921" s="65">
        <v>1500</v>
      </c>
      <c r="H1921" s="65">
        <f t="shared" si="150"/>
        <v>1500</v>
      </c>
      <c r="I1921" s="79">
        <f t="shared" si="147"/>
        <v>0</v>
      </c>
      <c r="J1921" s="79">
        <f t="shared" si="148"/>
        <v>603</v>
      </c>
      <c r="K1921" s="79">
        <f t="shared" si="149"/>
        <v>603</v>
      </c>
      <c r="L1921" s="121"/>
    </row>
    <row r="1922" spans="2:12" x14ac:dyDescent="0.35">
      <c r="B1922" s="111">
        <f t="shared" si="146"/>
        <v>1912</v>
      </c>
      <c r="C1922" s="64" t="s">
        <v>184</v>
      </c>
      <c r="D1922" s="77" t="s">
        <v>25</v>
      </c>
      <c r="E1922" s="78">
        <f>E1919*0.7</f>
        <v>3.15</v>
      </c>
      <c r="F1922" s="65"/>
      <c r="G1922" s="123"/>
      <c r="H1922" s="65">
        <f t="shared" si="150"/>
        <v>0</v>
      </c>
      <c r="I1922" s="79">
        <f t="shared" si="147"/>
        <v>0</v>
      </c>
      <c r="J1922" s="79">
        <f t="shared" si="148"/>
        <v>0</v>
      </c>
      <c r="K1922" s="79">
        <f t="shared" si="149"/>
        <v>0</v>
      </c>
      <c r="L1922" s="121"/>
    </row>
    <row r="1923" spans="2:12" ht="31" x14ac:dyDescent="0.35">
      <c r="B1923" s="111">
        <f t="shared" si="146"/>
        <v>1913</v>
      </c>
      <c r="C1923" s="64" t="s">
        <v>232</v>
      </c>
      <c r="D1923" s="77" t="s">
        <v>25</v>
      </c>
      <c r="E1923" s="78">
        <f>E1919*0.45</f>
        <v>2.0249999999999999</v>
      </c>
      <c r="F1923" s="65">
        <f>1973*0.15</f>
        <v>295.95</v>
      </c>
      <c r="G1923" s="65">
        <f>1500*0.15</f>
        <v>225</v>
      </c>
      <c r="H1923" s="65">
        <f t="shared" si="150"/>
        <v>520.95000000000005</v>
      </c>
      <c r="I1923" s="79">
        <f t="shared" si="147"/>
        <v>599.29999999999995</v>
      </c>
      <c r="J1923" s="79">
        <f t="shared" si="148"/>
        <v>455.63</v>
      </c>
      <c r="K1923" s="79">
        <f t="shared" si="149"/>
        <v>1054.9299999999998</v>
      </c>
      <c r="L1923" s="121"/>
    </row>
    <row r="1924" spans="2:12" x14ac:dyDescent="0.35">
      <c r="B1924" s="111">
        <f t="shared" si="146"/>
        <v>1914</v>
      </c>
      <c r="C1924" s="64" t="s">
        <v>20</v>
      </c>
      <c r="D1924" s="77" t="s">
        <v>26</v>
      </c>
      <c r="E1924" s="78">
        <f>0.32*E1919*0.1</f>
        <v>0.14399999999999999</v>
      </c>
      <c r="F1924" s="65"/>
      <c r="G1924" s="65">
        <v>5860</v>
      </c>
      <c r="H1924" s="65">
        <f t="shared" si="150"/>
        <v>5860</v>
      </c>
      <c r="I1924" s="79">
        <f t="shared" si="147"/>
        <v>0</v>
      </c>
      <c r="J1924" s="79">
        <f t="shared" si="148"/>
        <v>843.84</v>
      </c>
      <c r="K1924" s="79">
        <f t="shared" si="149"/>
        <v>843.84</v>
      </c>
      <c r="L1924" s="121"/>
    </row>
    <row r="1925" spans="2:12" x14ac:dyDescent="0.35">
      <c r="B1925" s="111">
        <f t="shared" si="146"/>
        <v>1915</v>
      </c>
      <c r="C1925" s="80" t="s">
        <v>159</v>
      </c>
      <c r="D1925" s="77" t="s">
        <v>26</v>
      </c>
      <c r="E1925" s="78">
        <f>E1924*1.02</f>
        <v>0.14687999999999998</v>
      </c>
      <c r="F1925" s="65">
        <v>6700</v>
      </c>
      <c r="G1925" s="123"/>
      <c r="H1925" s="65">
        <f t="shared" si="150"/>
        <v>6700</v>
      </c>
      <c r="I1925" s="79">
        <f t="shared" si="147"/>
        <v>984.1</v>
      </c>
      <c r="J1925" s="79">
        <f t="shared" si="148"/>
        <v>0</v>
      </c>
      <c r="K1925" s="79">
        <f t="shared" si="149"/>
        <v>984.1</v>
      </c>
      <c r="L1925" s="121"/>
    </row>
    <row r="1926" spans="2:12" x14ac:dyDescent="0.35">
      <c r="B1926" s="111">
        <f t="shared" si="146"/>
        <v>1916</v>
      </c>
      <c r="C1926" s="64" t="s">
        <v>28</v>
      </c>
      <c r="D1926" s="77" t="s">
        <v>26</v>
      </c>
      <c r="E1926" s="78">
        <f>0.73*E1919*0.1</f>
        <v>0.32850000000000001</v>
      </c>
      <c r="F1926" s="65"/>
      <c r="G1926" s="65">
        <v>5860</v>
      </c>
      <c r="H1926" s="65">
        <f t="shared" si="150"/>
        <v>5860</v>
      </c>
      <c r="I1926" s="79">
        <f t="shared" si="147"/>
        <v>0</v>
      </c>
      <c r="J1926" s="79">
        <f t="shared" si="148"/>
        <v>1925.01</v>
      </c>
      <c r="K1926" s="79">
        <f t="shared" si="149"/>
        <v>1925.01</v>
      </c>
      <c r="L1926" s="121"/>
    </row>
    <row r="1927" spans="2:12" x14ac:dyDescent="0.35">
      <c r="B1927" s="111">
        <f t="shared" si="146"/>
        <v>1917</v>
      </c>
      <c r="C1927" s="80" t="s">
        <v>29</v>
      </c>
      <c r="D1927" s="77" t="s">
        <v>26</v>
      </c>
      <c r="E1927" s="78">
        <f>E1926*1.02</f>
        <v>0.33507000000000003</v>
      </c>
      <c r="F1927" s="65">
        <v>7100</v>
      </c>
      <c r="G1927" s="123"/>
      <c r="H1927" s="65">
        <f t="shared" si="150"/>
        <v>7100</v>
      </c>
      <c r="I1927" s="79">
        <f t="shared" si="147"/>
        <v>2379</v>
      </c>
      <c r="J1927" s="79">
        <f t="shared" si="148"/>
        <v>0</v>
      </c>
      <c r="K1927" s="79">
        <f t="shared" si="149"/>
        <v>2379</v>
      </c>
      <c r="L1927" s="121"/>
    </row>
    <row r="1928" spans="2:12" x14ac:dyDescent="0.35">
      <c r="B1928" s="111">
        <f t="shared" si="146"/>
        <v>1918</v>
      </c>
      <c r="C1928" s="80" t="s">
        <v>30</v>
      </c>
      <c r="D1928" s="77" t="s">
        <v>31</v>
      </c>
      <c r="E1928" s="78">
        <f>31.39*E1919*0.1</f>
        <v>14.125500000000001</v>
      </c>
      <c r="F1928" s="65">
        <v>118.9</v>
      </c>
      <c r="G1928" s="123"/>
      <c r="H1928" s="65">
        <f t="shared" si="150"/>
        <v>118.9</v>
      </c>
      <c r="I1928" s="79">
        <f t="shared" si="147"/>
        <v>1679.52</v>
      </c>
      <c r="J1928" s="79">
        <f t="shared" si="148"/>
        <v>0</v>
      </c>
      <c r="K1928" s="79">
        <f t="shared" si="149"/>
        <v>1679.52</v>
      </c>
      <c r="L1928" s="121"/>
    </row>
    <row r="1929" spans="2:12" x14ac:dyDescent="0.35">
      <c r="B1929" s="111">
        <f t="shared" si="146"/>
        <v>1919</v>
      </c>
      <c r="C1929" s="64" t="s">
        <v>189</v>
      </c>
      <c r="D1929" s="77" t="s">
        <v>27</v>
      </c>
      <c r="E1929" s="78">
        <f>E1919</f>
        <v>4.5</v>
      </c>
      <c r="F1929" s="65"/>
      <c r="G1929" s="65">
        <v>3000</v>
      </c>
      <c r="H1929" s="65">
        <f t="shared" si="150"/>
        <v>3000</v>
      </c>
      <c r="I1929" s="79">
        <f t="shared" si="147"/>
        <v>0</v>
      </c>
      <c r="J1929" s="79">
        <f t="shared" si="148"/>
        <v>13500</v>
      </c>
      <c r="K1929" s="79">
        <f t="shared" si="149"/>
        <v>13500</v>
      </c>
      <c r="L1929" s="121"/>
    </row>
    <row r="1930" spans="2:12" x14ac:dyDescent="0.35">
      <c r="B1930" s="111">
        <f t="shared" si="146"/>
        <v>1920</v>
      </c>
      <c r="C1930" s="80" t="s">
        <v>353</v>
      </c>
      <c r="D1930" s="77" t="s">
        <v>27</v>
      </c>
      <c r="E1930" s="78">
        <f>E1929*1.1</f>
        <v>4.95</v>
      </c>
      <c r="F1930" s="65">
        <v>800</v>
      </c>
      <c r="G1930" s="65"/>
      <c r="H1930" s="65">
        <f t="shared" si="150"/>
        <v>800</v>
      </c>
      <c r="I1930" s="79">
        <f t="shared" si="147"/>
        <v>3960</v>
      </c>
      <c r="J1930" s="79">
        <f t="shared" si="148"/>
        <v>0</v>
      </c>
      <c r="K1930" s="79">
        <f t="shared" si="149"/>
        <v>3960</v>
      </c>
      <c r="L1930" s="121"/>
    </row>
    <row r="1931" spans="2:12" ht="33" x14ac:dyDescent="0.35">
      <c r="B1931" s="111">
        <f t="shared" si="146"/>
        <v>1921</v>
      </c>
      <c r="C1931" s="64" t="s">
        <v>355</v>
      </c>
      <c r="D1931" s="81" t="s">
        <v>26</v>
      </c>
      <c r="E1931" s="78">
        <v>43.26</v>
      </c>
      <c r="F1931" s="65"/>
      <c r="G1931" s="65">
        <v>439</v>
      </c>
      <c r="H1931" s="65">
        <f t="shared" si="150"/>
        <v>439</v>
      </c>
      <c r="I1931" s="79">
        <f t="shared" si="147"/>
        <v>0</v>
      </c>
      <c r="J1931" s="79">
        <f t="shared" si="148"/>
        <v>18991.14</v>
      </c>
      <c r="K1931" s="79">
        <f t="shared" si="149"/>
        <v>18991.14</v>
      </c>
      <c r="L1931" s="121"/>
    </row>
    <row r="1932" spans="2:12" ht="30" x14ac:dyDescent="0.35">
      <c r="B1932" s="111">
        <f t="shared" si="146"/>
        <v>1922</v>
      </c>
      <c r="C1932" s="98" t="s">
        <v>346</v>
      </c>
      <c r="D1932" s="99" t="s">
        <v>27</v>
      </c>
      <c r="E1932" s="100">
        <v>3.9</v>
      </c>
      <c r="F1932" s="101"/>
      <c r="G1932" s="106"/>
      <c r="H1932" s="101">
        <f t="shared" si="150"/>
        <v>0</v>
      </c>
      <c r="I1932" s="101">
        <f t="shared" si="147"/>
        <v>0</v>
      </c>
      <c r="J1932" s="101">
        <f t="shared" si="148"/>
        <v>0</v>
      </c>
      <c r="K1932" s="101">
        <f t="shared" si="149"/>
        <v>0</v>
      </c>
      <c r="L1932" s="121"/>
    </row>
    <row r="1933" spans="2:12" ht="31" x14ac:dyDescent="0.35">
      <c r="B1933" s="111">
        <f t="shared" ref="B1933:B1996" si="151">B1932+1</f>
        <v>1923</v>
      </c>
      <c r="C1933" s="64" t="s">
        <v>348</v>
      </c>
      <c r="D1933" s="77" t="s">
        <v>26</v>
      </c>
      <c r="E1933" s="78">
        <f>0.97*1.58</f>
        <v>1.5326</v>
      </c>
      <c r="F1933" s="65"/>
      <c r="G1933" s="65">
        <v>300</v>
      </c>
      <c r="H1933" s="65">
        <f t="shared" si="150"/>
        <v>300</v>
      </c>
      <c r="I1933" s="79">
        <f t="shared" ref="I1933:I1996" si="152">ROUND(F1933*E1933,2)</f>
        <v>0</v>
      </c>
      <c r="J1933" s="79">
        <f t="shared" ref="J1933:J1996" si="153">ROUND(G1933*E1933,2)</f>
        <v>459.78</v>
      </c>
      <c r="K1933" s="79">
        <f t="shared" ref="K1933:K1996" si="154">I1933+J1933</f>
        <v>459.78</v>
      </c>
      <c r="L1933" s="121"/>
    </row>
    <row r="1934" spans="2:12" x14ac:dyDescent="0.35">
      <c r="B1934" s="111">
        <f t="shared" si="151"/>
        <v>1924</v>
      </c>
      <c r="C1934" s="64" t="s">
        <v>19</v>
      </c>
      <c r="D1934" s="77" t="s">
        <v>26</v>
      </c>
      <c r="E1934" s="78">
        <f>E1933/97*3</f>
        <v>4.7399999999999998E-2</v>
      </c>
      <c r="F1934" s="65"/>
      <c r="G1934" s="65">
        <v>1500</v>
      </c>
      <c r="H1934" s="65">
        <f t="shared" si="150"/>
        <v>1500</v>
      </c>
      <c r="I1934" s="79">
        <f t="shared" si="152"/>
        <v>0</v>
      </c>
      <c r="J1934" s="79">
        <f t="shared" si="153"/>
        <v>71.099999999999994</v>
      </c>
      <c r="K1934" s="79">
        <f t="shared" si="154"/>
        <v>71.099999999999994</v>
      </c>
      <c r="L1934" s="121"/>
    </row>
    <row r="1935" spans="2:12" x14ac:dyDescent="0.35">
      <c r="B1935" s="111">
        <f t="shared" si="151"/>
        <v>1925</v>
      </c>
      <c r="C1935" s="64" t="s">
        <v>184</v>
      </c>
      <c r="D1935" s="77" t="s">
        <v>25</v>
      </c>
      <c r="E1935" s="78">
        <f>E1932*0.75</f>
        <v>2.9249999999999998</v>
      </c>
      <c r="F1935" s="65"/>
      <c r="G1935" s="123"/>
      <c r="H1935" s="65">
        <f t="shared" ref="H1935:H1998" si="155">F1935+G1935</f>
        <v>0</v>
      </c>
      <c r="I1935" s="79">
        <f t="shared" si="152"/>
        <v>0</v>
      </c>
      <c r="J1935" s="79">
        <f t="shared" si="153"/>
        <v>0</v>
      </c>
      <c r="K1935" s="79">
        <f t="shared" si="154"/>
        <v>0</v>
      </c>
      <c r="L1935" s="121"/>
    </row>
    <row r="1936" spans="2:12" ht="31" x14ac:dyDescent="0.35">
      <c r="B1936" s="111">
        <f t="shared" si="151"/>
        <v>1926</v>
      </c>
      <c r="C1936" s="64" t="s">
        <v>194</v>
      </c>
      <c r="D1936" s="77" t="s">
        <v>25</v>
      </c>
      <c r="E1936" s="78">
        <f>E1932*0.48</f>
        <v>1.8719999999999999</v>
      </c>
      <c r="F1936" s="65">
        <f>1973*0.15</f>
        <v>295.95</v>
      </c>
      <c r="G1936" s="65">
        <f>1500*0.15</f>
        <v>225</v>
      </c>
      <c r="H1936" s="65">
        <f t="shared" si="155"/>
        <v>520.95000000000005</v>
      </c>
      <c r="I1936" s="79">
        <f t="shared" si="152"/>
        <v>554.02</v>
      </c>
      <c r="J1936" s="79">
        <f t="shared" si="153"/>
        <v>421.2</v>
      </c>
      <c r="K1936" s="79">
        <f t="shared" si="154"/>
        <v>975.22</v>
      </c>
      <c r="L1936" s="121"/>
    </row>
    <row r="1937" spans="2:12" x14ac:dyDescent="0.35">
      <c r="B1937" s="111">
        <f t="shared" si="151"/>
        <v>1927</v>
      </c>
      <c r="C1937" s="64" t="s">
        <v>20</v>
      </c>
      <c r="D1937" s="77" t="s">
        <v>26</v>
      </c>
      <c r="E1937" s="78">
        <f>0.34*E1932*0.1</f>
        <v>0.13260000000000002</v>
      </c>
      <c r="F1937" s="65"/>
      <c r="G1937" s="65">
        <v>5860</v>
      </c>
      <c r="H1937" s="65">
        <f t="shared" si="155"/>
        <v>5860</v>
      </c>
      <c r="I1937" s="79">
        <f t="shared" si="152"/>
        <v>0</v>
      </c>
      <c r="J1937" s="79">
        <f t="shared" si="153"/>
        <v>777.04</v>
      </c>
      <c r="K1937" s="79">
        <f t="shared" si="154"/>
        <v>777.04</v>
      </c>
      <c r="L1937" s="121"/>
    </row>
    <row r="1938" spans="2:12" x14ac:dyDescent="0.35">
      <c r="B1938" s="111">
        <f t="shared" si="151"/>
        <v>1928</v>
      </c>
      <c r="C1938" s="80" t="s">
        <v>159</v>
      </c>
      <c r="D1938" s="77" t="s">
        <v>26</v>
      </c>
      <c r="E1938" s="78">
        <f>E1937*1.02</f>
        <v>0.13525200000000004</v>
      </c>
      <c r="F1938" s="65">
        <v>6700</v>
      </c>
      <c r="G1938" s="123"/>
      <c r="H1938" s="65">
        <f t="shared" si="155"/>
        <v>6700</v>
      </c>
      <c r="I1938" s="79">
        <f t="shared" si="152"/>
        <v>906.19</v>
      </c>
      <c r="J1938" s="79">
        <f t="shared" si="153"/>
        <v>0</v>
      </c>
      <c r="K1938" s="79">
        <f t="shared" si="154"/>
        <v>906.19</v>
      </c>
      <c r="L1938" s="121"/>
    </row>
    <row r="1939" spans="2:12" x14ac:dyDescent="0.35">
      <c r="B1939" s="111">
        <f t="shared" si="151"/>
        <v>1929</v>
      </c>
      <c r="C1939" s="64" t="s">
        <v>28</v>
      </c>
      <c r="D1939" s="77" t="s">
        <v>26</v>
      </c>
      <c r="E1939" s="78">
        <f>E1932*0.8/10</f>
        <v>0.312</v>
      </c>
      <c r="F1939" s="65"/>
      <c r="G1939" s="65">
        <v>5860</v>
      </c>
      <c r="H1939" s="65">
        <f t="shared" si="155"/>
        <v>5860</v>
      </c>
      <c r="I1939" s="79">
        <f t="shared" si="152"/>
        <v>0</v>
      </c>
      <c r="J1939" s="79">
        <f t="shared" si="153"/>
        <v>1828.32</v>
      </c>
      <c r="K1939" s="79">
        <f t="shared" si="154"/>
        <v>1828.32</v>
      </c>
      <c r="L1939" s="121"/>
    </row>
    <row r="1940" spans="2:12" x14ac:dyDescent="0.35">
      <c r="B1940" s="111">
        <f t="shared" si="151"/>
        <v>1930</v>
      </c>
      <c r="C1940" s="80" t="s">
        <v>29</v>
      </c>
      <c r="D1940" s="77" t="s">
        <v>26</v>
      </c>
      <c r="E1940" s="78">
        <f>E1939*1.02</f>
        <v>0.31824000000000002</v>
      </c>
      <c r="F1940" s="65">
        <v>7100</v>
      </c>
      <c r="G1940" s="123"/>
      <c r="H1940" s="65">
        <f t="shared" si="155"/>
        <v>7100</v>
      </c>
      <c r="I1940" s="79">
        <f t="shared" si="152"/>
        <v>2259.5</v>
      </c>
      <c r="J1940" s="79">
        <f t="shared" si="153"/>
        <v>0</v>
      </c>
      <c r="K1940" s="79">
        <f t="shared" si="154"/>
        <v>2259.5</v>
      </c>
      <c r="L1940" s="121"/>
    </row>
    <row r="1941" spans="2:12" x14ac:dyDescent="0.35">
      <c r="B1941" s="111">
        <f t="shared" si="151"/>
        <v>1931</v>
      </c>
      <c r="C1941" s="80" t="s">
        <v>30</v>
      </c>
      <c r="D1941" s="77" t="s">
        <v>31</v>
      </c>
      <c r="E1941" s="78">
        <f>E1932*1.22</f>
        <v>4.758</v>
      </c>
      <c r="F1941" s="65">
        <v>118.9</v>
      </c>
      <c r="G1941" s="123"/>
      <c r="H1941" s="65">
        <f t="shared" si="155"/>
        <v>118.9</v>
      </c>
      <c r="I1941" s="79">
        <f t="shared" si="152"/>
        <v>565.73</v>
      </c>
      <c r="J1941" s="79">
        <f t="shared" si="153"/>
        <v>0</v>
      </c>
      <c r="K1941" s="79">
        <f t="shared" si="154"/>
        <v>565.73</v>
      </c>
      <c r="L1941" s="121"/>
    </row>
    <row r="1942" spans="2:12" x14ac:dyDescent="0.35">
      <c r="B1942" s="111">
        <f t="shared" si="151"/>
        <v>1932</v>
      </c>
      <c r="C1942" s="64" t="s">
        <v>189</v>
      </c>
      <c r="D1942" s="77" t="s">
        <v>27</v>
      </c>
      <c r="E1942" s="78">
        <f>E1932</f>
        <v>3.9</v>
      </c>
      <c r="F1942" s="65"/>
      <c r="G1942" s="65">
        <v>2928</v>
      </c>
      <c r="H1942" s="65">
        <f t="shared" si="155"/>
        <v>2928</v>
      </c>
      <c r="I1942" s="79">
        <f t="shared" si="152"/>
        <v>0</v>
      </c>
      <c r="J1942" s="79">
        <f t="shared" si="153"/>
        <v>11419.2</v>
      </c>
      <c r="K1942" s="79">
        <f t="shared" si="154"/>
        <v>11419.2</v>
      </c>
      <c r="L1942" s="121"/>
    </row>
    <row r="1943" spans="2:12" ht="31" x14ac:dyDescent="0.35">
      <c r="B1943" s="111">
        <f t="shared" si="151"/>
        <v>1933</v>
      </c>
      <c r="C1943" s="80" t="s">
        <v>195</v>
      </c>
      <c r="D1943" s="77" t="s">
        <v>27</v>
      </c>
      <c r="E1943" s="78">
        <f>E1942*1.1</f>
        <v>4.29</v>
      </c>
      <c r="F1943" s="65">
        <v>855</v>
      </c>
      <c r="G1943" s="65"/>
      <c r="H1943" s="65">
        <f t="shared" si="155"/>
        <v>855</v>
      </c>
      <c r="I1943" s="79">
        <f t="shared" si="152"/>
        <v>3667.95</v>
      </c>
      <c r="J1943" s="79">
        <f t="shared" si="153"/>
        <v>0</v>
      </c>
      <c r="K1943" s="79">
        <f t="shared" si="154"/>
        <v>3667.95</v>
      </c>
      <c r="L1943" s="121"/>
    </row>
    <row r="1944" spans="2:12" ht="33" x14ac:dyDescent="0.35">
      <c r="B1944" s="111">
        <f t="shared" si="151"/>
        <v>1934</v>
      </c>
      <c r="C1944" s="64" t="s">
        <v>355</v>
      </c>
      <c r="D1944" s="81" t="s">
        <v>26</v>
      </c>
      <c r="E1944" s="78">
        <v>3.16</v>
      </c>
      <c r="F1944" s="65"/>
      <c r="G1944" s="65">
        <v>439</v>
      </c>
      <c r="H1944" s="65">
        <f t="shared" si="155"/>
        <v>439</v>
      </c>
      <c r="I1944" s="79">
        <f t="shared" si="152"/>
        <v>0</v>
      </c>
      <c r="J1944" s="79">
        <f t="shared" si="153"/>
        <v>1387.24</v>
      </c>
      <c r="K1944" s="79">
        <f t="shared" si="154"/>
        <v>1387.24</v>
      </c>
      <c r="L1944" s="121"/>
    </row>
    <row r="1945" spans="2:12" ht="30" x14ac:dyDescent="0.35">
      <c r="B1945" s="111">
        <f t="shared" si="151"/>
        <v>1935</v>
      </c>
      <c r="C1945" s="98" t="s">
        <v>285</v>
      </c>
      <c r="D1945" s="99" t="s">
        <v>27</v>
      </c>
      <c r="E1945" s="100">
        <v>4.4000000000000004</v>
      </c>
      <c r="F1945" s="101"/>
      <c r="G1945" s="106"/>
      <c r="H1945" s="101">
        <f t="shared" si="155"/>
        <v>0</v>
      </c>
      <c r="I1945" s="101">
        <f t="shared" si="152"/>
        <v>0</v>
      </c>
      <c r="J1945" s="101">
        <f t="shared" si="153"/>
        <v>0</v>
      </c>
      <c r="K1945" s="101">
        <f t="shared" si="154"/>
        <v>0</v>
      </c>
      <c r="L1945" s="121"/>
    </row>
    <row r="1946" spans="2:12" ht="31" x14ac:dyDescent="0.35">
      <c r="B1946" s="111">
        <f t="shared" si="151"/>
        <v>1936</v>
      </c>
      <c r="C1946" s="64" t="s">
        <v>348</v>
      </c>
      <c r="D1946" s="77" t="s">
        <v>26</v>
      </c>
      <c r="E1946" s="78">
        <f>0.97*15.64</f>
        <v>15.1708</v>
      </c>
      <c r="F1946" s="65"/>
      <c r="G1946" s="65">
        <v>300</v>
      </c>
      <c r="H1946" s="65">
        <f t="shared" si="155"/>
        <v>300</v>
      </c>
      <c r="I1946" s="79">
        <f t="shared" si="152"/>
        <v>0</v>
      </c>
      <c r="J1946" s="79">
        <f t="shared" si="153"/>
        <v>4551.24</v>
      </c>
      <c r="K1946" s="79">
        <f t="shared" si="154"/>
        <v>4551.24</v>
      </c>
      <c r="L1946" s="121"/>
    </row>
    <row r="1947" spans="2:12" x14ac:dyDescent="0.35">
      <c r="B1947" s="111">
        <f t="shared" si="151"/>
        <v>1937</v>
      </c>
      <c r="C1947" s="64" t="s">
        <v>19</v>
      </c>
      <c r="D1947" s="77" t="s">
        <v>26</v>
      </c>
      <c r="E1947" s="78">
        <f>E1946/97*3</f>
        <v>0.46920000000000006</v>
      </c>
      <c r="F1947" s="65"/>
      <c r="G1947" s="65">
        <v>1500</v>
      </c>
      <c r="H1947" s="65">
        <f t="shared" si="155"/>
        <v>1500</v>
      </c>
      <c r="I1947" s="79">
        <f t="shared" si="152"/>
        <v>0</v>
      </c>
      <c r="J1947" s="79">
        <f t="shared" si="153"/>
        <v>703.8</v>
      </c>
      <c r="K1947" s="79">
        <f t="shared" si="154"/>
        <v>703.8</v>
      </c>
      <c r="L1947" s="121"/>
    </row>
    <row r="1948" spans="2:12" x14ac:dyDescent="0.35">
      <c r="B1948" s="111">
        <f t="shared" si="151"/>
        <v>1938</v>
      </c>
      <c r="C1948" s="64" t="s">
        <v>184</v>
      </c>
      <c r="D1948" s="77" t="s">
        <v>25</v>
      </c>
      <c r="E1948" s="78">
        <f>E1945*0.75</f>
        <v>3.3000000000000003</v>
      </c>
      <c r="F1948" s="65"/>
      <c r="G1948" s="123"/>
      <c r="H1948" s="65">
        <f t="shared" si="155"/>
        <v>0</v>
      </c>
      <c r="I1948" s="79">
        <f t="shared" si="152"/>
        <v>0</v>
      </c>
      <c r="J1948" s="79">
        <f t="shared" si="153"/>
        <v>0</v>
      </c>
      <c r="K1948" s="79">
        <f t="shared" si="154"/>
        <v>0</v>
      </c>
      <c r="L1948" s="121"/>
    </row>
    <row r="1949" spans="2:12" ht="31" x14ac:dyDescent="0.35">
      <c r="B1949" s="111">
        <f t="shared" si="151"/>
        <v>1939</v>
      </c>
      <c r="C1949" s="64" t="s">
        <v>194</v>
      </c>
      <c r="D1949" s="77" t="s">
        <v>25</v>
      </c>
      <c r="E1949" s="78">
        <f>E1945*0.48</f>
        <v>2.1120000000000001</v>
      </c>
      <c r="F1949" s="65">
        <f>1973*0.15</f>
        <v>295.95</v>
      </c>
      <c r="G1949" s="65">
        <f>1500*0.15</f>
        <v>225</v>
      </c>
      <c r="H1949" s="65">
        <f t="shared" si="155"/>
        <v>520.95000000000005</v>
      </c>
      <c r="I1949" s="79">
        <f t="shared" si="152"/>
        <v>625.04999999999995</v>
      </c>
      <c r="J1949" s="79">
        <f t="shared" si="153"/>
        <v>475.2</v>
      </c>
      <c r="K1949" s="79">
        <f t="shared" si="154"/>
        <v>1100.25</v>
      </c>
      <c r="L1949" s="121"/>
    </row>
    <row r="1950" spans="2:12" x14ac:dyDescent="0.35">
      <c r="B1950" s="111">
        <f t="shared" si="151"/>
        <v>1940</v>
      </c>
      <c r="C1950" s="64" t="s">
        <v>20</v>
      </c>
      <c r="D1950" s="77" t="s">
        <v>26</v>
      </c>
      <c r="E1950" s="78">
        <f>0.34*E1945*0.1</f>
        <v>0.14960000000000004</v>
      </c>
      <c r="F1950" s="65"/>
      <c r="G1950" s="65">
        <v>5860</v>
      </c>
      <c r="H1950" s="65">
        <f t="shared" si="155"/>
        <v>5860</v>
      </c>
      <c r="I1950" s="79">
        <f t="shared" si="152"/>
        <v>0</v>
      </c>
      <c r="J1950" s="79">
        <f t="shared" si="153"/>
        <v>876.66</v>
      </c>
      <c r="K1950" s="79">
        <f t="shared" si="154"/>
        <v>876.66</v>
      </c>
      <c r="L1950" s="121"/>
    </row>
    <row r="1951" spans="2:12" x14ac:dyDescent="0.35">
      <c r="B1951" s="111">
        <f t="shared" si="151"/>
        <v>1941</v>
      </c>
      <c r="C1951" s="80" t="s">
        <v>159</v>
      </c>
      <c r="D1951" s="77" t="s">
        <v>26</v>
      </c>
      <c r="E1951" s="78">
        <f>E1950*1.02</f>
        <v>0.15259200000000003</v>
      </c>
      <c r="F1951" s="65">
        <v>6700</v>
      </c>
      <c r="G1951" s="123"/>
      <c r="H1951" s="65">
        <f t="shared" si="155"/>
        <v>6700</v>
      </c>
      <c r="I1951" s="79">
        <f t="shared" si="152"/>
        <v>1022.37</v>
      </c>
      <c r="J1951" s="79">
        <f t="shared" si="153"/>
        <v>0</v>
      </c>
      <c r="K1951" s="79">
        <f t="shared" si="154"/>
        <v>1022.37</v>
      </c>
      <c r="L1951" s="121"/>
    </row>
    <row r="1952" spans="2:12" x14ac:dyDescent="0.35">
      <c r="B1952" s="111">
        <f t="shared" si="151"/>
        <v>1942</v>
      </c>
      <c r="C1952" s="64" t="s">
        <v>28</v>
      </c>
      <c r="D1952" s="77" t="s">
        <v>26</v>
      </c>
      <c r="E1952" s="78">
        <f>E1945*0.8/10</f>
        <v>0.35200000000000004</v>
      </c>
      <c r="F1952" s="65"/>
      <c r="G1952" s="65">
        <v>5860</v>
      </c>
      <c r="H1952" s="65">
        <f t="shared" si="155"/>
        <v>5860</v>
      </c>
      <c r="I1952" s="79">
        <f t="shared" si="152"/>
        <v>0</v>
      </c>
      <c r="J1952" s="79">
        <f t="shared" si="153"/>
        <v>2062.7199999999998</v>
      </c>
      <c r="K1952" s="79">
        <f t="shared" si="154"/>
        <v>2062.7199999999998</v>
      </c>
      <c r="L1952" s="121"/>
    </row>
    <row r="1953" spans="2:12" x14ac:dyDescent="0.35">
      <c r="B1953" s="111">
        <f t="shared" si="151"/>
        <v>1943</v>
      </c>
      <c r="C1953" s="80" t="s">
        <v>29</v>
      </c>
      <c r="D1953" s="77" t="s">
        <v>26</v>
      </c>
      <c r="E1953" s="78">
        <f>E1952*1.02</f>
        <v>0.35904000000000003</v>
      </c>
      <c r="F1953" s="65">
        <v>7100</v>
      </c>
      <c r="G1953" s="123"/>
      <c r="H1953" s="65">
        <f t="shared" si="155"/>
        <v>7100</v>
      </c>
      <c r="I1953" s="79">
        <f t="shared" si="152"/>
        <v>2549.1799999999998</v>
      </c>
      <c r="J1953" s="79">
        <f t="shared" si="153"/>
        <v>0</v>
      </c>
      <c r="K1953" s="79">
        <f t="shared" si="154"/>
        <v>2549.1799999999998</v>
      </c>
      <c r="L1953" s="121"/>
    </row>
    <row r="1954" spans="2:12" x14ac:dyDescent="0.35">
      <c r="B1954" s="111">
        <f t="shared" si="151"/>
        <v>1944</v>
      </c>
      <c r="C1954" s="80" t="s">
        <v>30</v>
      </c>
      <c r="D1954" s="77" t="s">
        <v>31</v>
      </c>
      <c r="E1954" s="78">
        <f>E1945*1.22</f>
        <v>5.3680000000000003</v>
      </c>
      <c r="F1954" s="65">
        <v>118.9</v>
      </c>
      <c r="G1954" s="123"/>
      <c r="H1954" s="65">
        <f t="shared" si="155"/>
        <v>118.9</v>
      </c>
      <c r="I1954" s="79">
        <f t="shared" si="152"/>
        <v>638.26</v>
      </c>
      <c r="J1954" s="79">
        <f t="shared" si="153"/>
        <v>0</v>
      </c>
      <c r="K1954" s="79">
        <f t="shared" si="154"/>
        <v>638.26</v>
      </c>
      <c r="L1954" s="121"/>
    </row>
    <row r="1955" spans="2:12" x14ac:dyDescent="0.35">
      <c r="B1955" s="111">
        <f t="shared" si="151"/>
        <v>1945</v>
      </c>
      <c r="C1955" s="64" t="s">
        <v>189</v>
      </c>
      <c r="D1955" s="77" t="s">
        <v>27</v>
      </c>
      <c r="E1955" s="78">
        <f>E1945</f>
        <v>4.4000000000000004</v>
      </c>
      <c r="F1955" s="65"/>
      <c r="G1955" s="65">
        <v>2928</v>
      </c>
      <c r="H1955" s="65">
        <f t="shared" si="155"/>
        <v>2928</v>
      </c>
      <c r="I1955" s="79">
        <f t="shared" si="152"/>
        <v>0</v>
      </c>
      <c r="J1955" s="79">
        <f t="shared" si="153"/>
        <v>12883.2</v>
      </c>
      <c r="K1955" s="79">
        <f t="shared" si="154"/>
        <v>12883.2</v>
      </c>
      <c r="L1955" s="121"/>
    </row>
    <row r="1956" spans="2:12" ht="31" x14ac:dyDescent="0.35">
      <c r="B1956" s="111">
        <f t="shared" si="151"/>
        <v>1946</v>
      </c>
      <c r="C1956" s="80" t="s">
        <v>195</v>
      </c>
      <c r="D1956" s="77" t="s">
        <v>27</v>
      </c>
      <c r="E1956" s="78">
        <f>E1955*1.1</f>
        <v>4.8400000000000007</v>
      </c>
      <c r="F1956" s="65">
        <v>855</v>
      </c>
      <c r="G1956" s="65"/>
      <c r="H1956" s="65">
        <f t="shared" si="155"/>
        <v>855</v>
      </c>
      <c r="I1956" s="79">
        <f t="shared" si="152"/>
        <v>4138.2</v>
      </c>
      <c r="J1956" s="79">
        <f t="shared" si="153"/>
        <v>0</v>
      </c>
      <c r="K1956" s="79">
        <f t="shared" si="154"/>
        <v>4138.2</v>
      </c>
      <c r="L1956" s="121"/>
    </row>
    <row r="1957" spans="2:12" ht="33" x14ac:dyDescent="0.35">
      <c r="B1957" s="111">
        <f t="shared" si="151"/>
        <v>1947</v>
      </c>
      <c r="C1957" s="64" t="s">
        <v>355</v>
      </c>
      <c r="D1957" s="81" t="s">
        <v>26</v>
      </c>
      <c r="E1957" s="78">
        <v>17.2</v>
      </c>
      <c r="F1957" s="65"/>
      <c r="G1957" s="65">
        <v>439</v>
      </c>
      <c r="H1957" s="65">
        <f t="shared" si="155"/>
        <v>439</v>
      </c>
      <c r="I1957" s="79">
        <f t="shared" si="152"/>
        <v>0</v>
      </c>
      <c r="J1957" s="79">
        <f t="shared" si="153"/>
        <v>7550.8</v>
      </c>
      <c r="K1957" s="79">
        <f t="shared" si="154"/>
        <v>7550.8</v>
      </c>
      <c r="L1957" s="121"/>
    </row>
    <row r="1958" spans="2:12" ht="30" x14ac:dyDescent="0.35">
      <c r="B1958" s="111">
        <f t="shared" si="151"/>
        <v>1948</v>
      </c>
      <c r="C1958" s="98" t="s">
        <v>286</v>
      </c>
      <c r="D1958" s="99" t="s">
        <v>27</v>
      </c>
      <c r="E1958" s="100">
        <v>6.6</v>
      </c>
      <c r="F1958" s="101"/>
      <c r="G1958" s="106"/>
      <c r="H1958" s="101">
        <f t="shared" si="155"/>
        <v>0</v>
      </c>
      <c r="I1958" s="101">
        <f t="shared" si="152"/>
        <v>0</v>
      </c>
      <c r="J1958" s="101">
        <f t="shared" si="153"/>
        <v>0</v>
      </c>
      <c r="K1958" s="101">
        <f t="shared" si="154"/>
        <v>0</v>
      </c>
      <c r="L1958" s="121"/>
    </row>
    <row r="1959" spans="2:12" ht="31" x14ac:dyDescent="0.35">
      <c r="B1959" s="111">
        <f t="shared" si="151"/>
        <v>1949</v>
      </c>
      <c r="C1959" s="64" t="s">
        <v>348</v>
      </c>
      <c r="D1959" s="77" t="s">
        <v>26</v>
      </c>
      <c r="E1959" s="78">
        <f>0.97*37.3</f>
        <v>36.180999999999997</v>
      </c>
      <c r="F1959" s="65"/>
      <c r="G1959" s="65">
        <v>300</v>
      </c>
      <c r="H1959" s="65">
        <f t="shared" si="155"/>
        <v>300</v>
      </c>
      <c r="I1959" s="79">
        <f t="shared" si="152"/>
        <v>0</v>
      </c>
      <c r="J1959" s="79">
        <f t="shared" si="153"/>
        <v>10854.3</v>
      </c>
      <c r="K1959" s="79">
        <f t="shared" si="154"/>
        <v>10854.3</v>
      </c>
      <c r="L1959" s="121"/>
    </row>
    <row r="1960" spans="2:12" x14ac:dyDescent="0.35">
      <c r="B1960" s="111">
        <f t="shared" si="151"/>
        <v>1950</v>
      </c>
      <c r="C1960" s="64" t="s">
        <v>19</v>
      </c>
      <c r="D1960" s="77" t="s">
        <v>26</v>
      </c>
      <c r="E1960" s="78">
        <f>E1959/97*3</f>
        <v>1.119</v>
      </c>
      <c r="F1960" s="65"/>
      <c r="G1960" s="65">
        <v>1500</v>
      </c>
      <c r="H1960" s="65">
        <f t="shared" si="155"/>
        <v>1500</v>
      </c>
      <c r="I1960" s="79">
        <f t="shared" si="152"/>
        <v>0</v>
      </c>
      <c r="J1960" s="79">
        <f t="shared" si="153"/>
        <v>1678.5</v>
      </c>
      <c r="K1960" s="79">
        <f t="shared" si="154"/>
        <v>1678.5</v>
      </c>
      <c r="L1960" s="121"/>
    </row>
    <row r="1961" spans="2:12" x14ac:dyDescent="0.35">
      <c r="B1961" s="111">
        <f t="shared" si="151"/>
        <v>1951</v>
      </c>
      <c r="C1961" s="64" t="s">
        <v>184</v>
      </c>
      <c r="D1961" s="77" t="s">
        <v>25</v>
      </c>
      <c r="E1961" s="78">
        <f>E1958*0.75</f>
        <v>4.9499999999999993</v>
      </c>
      <c r="F1961" s="65"/>
      <c r="G1961" s="65"/>
      <c r="H1961" s="65">
        <f t="shared" si="155"/>
        <v>0</v>
      </c>
      <c r="I1961" s="79">
        <f t="shared" si="152"/>
        <v>0</v>
      </c>
      <c r="J1961" s="79">
        <f t="shared" si="153"/>
        <v>0</v>
      </c>
      <c r="K1961" s="79">
        <f t="shared" si="154"/>
        <v>0</v>
      </c>
      <c r="L1961" s="121"/>
    </row>
    <row r="1962" spans="2:12" ht="31" x14ac:dyDescent="0.35">
      <c r="B1962" s="111">
        <f t="shared" si="151"/>
        <v>1952</v>
      </c>
      <c r="C1962" s="64" t="s">
        <v>194</v>
      </c>
      <c r="D1962" s="77" t="s">
        <v>25</v>
      </c>
      <c r="E1962" s="78">
        <f>E1958*0.48</f>
        <v>3.1679999999999997</v>
      </c>
      <c r="F1962" s="65">
        <f>1973*0.15</f>
        <v>295.95</v>
      </c>
      <c r="G1962" s="65">
        <f>1500*0.15</f>
        <v>225</v>
      </c>
      <c r="H1962" s="65">
        <f t="shared" si="155"/>
        <v>520.95000000000005</v>
      </c>
      <c r="I1962" s="79">
        <f t="shared" si="152"/>
        <v>937.57</v>
      </c>
      <c r="J1962" s="79">
        <f t="shared" si="153"/>
        <v>712.8</v>
      </c>
      <c r="K1962" s="79">
        <f t="shared" si="154"/>
        <v>1650.37</v>
      </c>
      <c r="L1962" s="121"/>
    </row>
    <row r="1963" spans="2:12" x14ac:dyDescent="0.35">
      <c r="B1963" s="111">
        <f t="shared" si="151"/>
        <v>1953</v>
      </c>
      <c r="C1963" s="64" t="s">
        <v>20</v>
      </c>
      <c r="D1963" s="77" t="s">
        <v>26</v>
      </c>
      <c r="E1963" s="78">
        <f>0.34*E1958*0.1</f>
        <v>0.22440000000000004</v>
      </c>
      <c r="F1963" s="65"/>
      <c r="G1963" s="65">
        <v>5860</v>
      </c>
      <c r="H1963" s="65">
        <f t="shared" si="155"/>
        <v>5860</v>
      </c>
      <c r="I1963" s="79">
        <f t="shared" si="152"/>
        <v>0</v>
      </c>
      <c r="J1963" s="79">
        <f t="shared" si="153"/>
        <v>1314.98</v>
      </c>
      <c r="K1963" s="79">
        <f t="shared" si="154"/>
        <v>1314.98</v>
      </c>
      <c r="L1963" s="121"/>
    </row>
    <row r="1964" spans="2:12" x14ac:dyDescent="0.35">
      <c r="B1964" s="111">
        <f t="shared" si="151"/>
        <v>1954</v>
      </c>
      <c r="C1964" s="80" t="s">
        <v>159</v>
      </c>
      <c r="D1964" s="77" t="s">
        <v>26</v>
      </c>
      <c r="E1964" s="78">
        <f>E1963*1.02</f>
        <v>0.22888800000000004</v>
      </c>
      <c r="F1964" s="65">
        <v>6700</v>
      </c>
      <c r="G1964" s="65"/>
      <c r="H1964" s="65">
        <f t="shared" si="155"/>
        <v>6700</v>
      </c>
      <c r="I1964" s="79">
        <f t="shared" si="152"/>
        <v>1533.55</v>
      </c>
      <c r="J1964" s="79">
        <f t="shared" si="153"/>
        <v>0</v>
      </c>
      <c r="K1964" s="79">
        <f t="shared" si="154"/>
        <v>1533.55</v>
      </c>
      <c r="L1964" s="121"/>
    </row>
    <row r="1965" spans="2:12" x14ac:dyDescent="0.35">
      <c r="B1965" s="111">
        <f t="shared" si="151"/>
        <v>1955</v>
      </c>
      <c r="C1965" s="64" t="s">
        <v>28</v>
      </c>
      <c r="D1965" s="77" t="s">
        <v>26</v>
      </c>
      <c r="E1965" s="78">
        <f>E1958*0.8/10</f>
        <v>0.52800000000000002</v>
      </c>
      <c r="F1965" s="65"/>
      <c r="G1965" s="65">
        <v>5860</v>
      </c>
      <c r="H1965" s="65">
        <f t="shared" si="155"/>
        <v>5860</v>
      </c>
      <c r="I1965" s="79">
        <f t="shared" si="152"/>
        <v>0</v>
      </c>
      <c r="J1965" s="79">
        <f t="shared" si="153"/>
        <v>3094.08</v>
      </c>
      <c r="K1965" s="79">
        <f t="shared" si="154"/>
        <v>3094.08</v>
      </c>
      <c r="L1965" s="121"/>
    </row>
    <row r="1966" spans="2:12" x14ac:dyDescent="0.35">
      <c r="B1966" s="111">
        <f t="shared" si="151"/>
        <v>1956</v>
      </c>
      <c r="C1966" s="80" t="s">
        <v>29</v>
      </c>
      <c r="D1966" s="77" t="s">
        <v>26</v>
      </c>
      <c r="E1966" s="78">
        <f>E1965*1.02</f>
        <v>0.53856000000000004</v>
      </c>
      <c r="F1966" s="65">
        <v>7100</v>
      </c>
      <c r="G1966" s="65"/>
      <c r="H1966" s="65">
        <f t="shared" si="155"/>
        <v>7100</v>
      </c>
      <c r="I1966" s="79">
        <f t="shared" si="152"/>
        <v>3823.78</v>
      </c>
      <c r="J1966" s="79">
        <f t="shared" si="153"/>
        <v>0</v>
      </c>
      <c r="K1966" s="79">
        <f t="shared" si="154"/>
        <v>3823.78</v>
      </c>
      <c r="L1966" s="121"/>
    </row>
    <row r="1967" spans="2:12" x14ac:dyDescent="0.35">
      <c r="B1967" s="111">
        <f t="shared" si="151"/>
        <v>1957</v>
      </c>
      <c r="C1967" s="80" t="s">
        <v>30</v>
      </c>
      <c r="D1967" s="77" t="s">
        <v>31</v>
      </c>
      <c r="E1967" s="78">
        <f>E1958*1.22</f>
        <v>8.0519999999999996</v>
      </c>
      <c r="F1967" s="65">
        <v>118.9</v>
      </c>
      <c r="G1967" s="65"/>
      <c r="H1967" s="65">
        <f t="shared" si="155"/>
        <v>118.9</v>
      </c>
      <c r="I1967" s="79">
        <f t="shared" si="152"/>
        <v>957.38</v>
      </c>
      <c r="J1967" s="79">
        <f t="shared" si="153"/>
        <v>0</v>
      </c>
      <c r="K1967" s="79">
        <f t="shared" si="154"/>
        <v>957.38</v>
      </c>
      <c r="L1967" s="121"/>
    </row>
    <row r="1968" spans="2:12" x14ac:dyDescent="0.35">
      <c r="B1968" s="111">
        <f t="shared" si="151"/>
        <v>1958</v>
      </c>
      <c r="C1968" s="64" t="s">
        <v>189</v>
      </c>
      <c r="D1968" s="77" t="s">
        <v>27</v>
      </c>
      <c r="E1968" s="78">
        <f>E1958</f>
        <v>6.6</v>
      </c>
      <c r="F1968" s="65"/>
      <c r="G1968" s="65">
        <v>2928</v>
      </c>
      <c r="H1968" s="65">
        <f t="shared" si="155"/>
        <v>2928</v>
      </c>
      <c r="I1968" s="79">
        <f t="shared" si="152"/>
        <v>0</v>
      </c>
      <c r="J1968" s="79">
        <f t="shared" si="153"/>
        <v>19324.8</v>
      </c>
      <c r="K1968" s="79">
        <f t="shared" si="154"/>
        <v>19324.8</v>
      </c>
      <c r="L1968" s="121"/>
    </row>
    <row r="1969" spans="2:12" ht="31" x14ac:dyDescent="0.35">
      <c r="B1969" s="111">
        <f t="shared" si="151"/>
        <v>1959</v>
      </c>
      <c r="C1969" s="80" t="s">
        <v>195</v>
      </c>
      <c r="D1969" s="77" t="s">
        <v>27</v>
      </c>
      <c r="E1969" s="78">
        <f>E1968*1.1</f>
        <v>7.26</v>
      </c>
      <c r="F1969" s="65">
        <v>855</v>
      </c>
      <c r="G1969" s="65"/>
      <c r="H1969" s="65">
        <f t="shared" si="155"/>
        <v>855</v>
      </c>
      <c r="I1969" s="79">
        <f t="shared" si="152"/>
        <v>6207.3</v>
      </c>
      <c r="J1969" s="79">
        <f t="shared" si="153"/>
        <v>0</v>
      </c>
      <c r="K1969" s="79">
        <f t="shared" si="154"/>
        <v>6207.3</v>
      </c>
      <c r="L1969" s="121"/>
    </row>
    <row r="1970" spans="2:12" ht="33" x14ac:dyDescent="0.35">
      <c r="B1970" s="111">
        <f t="shared" si="151"/>
        <v>1960</v>
      </c>
      <c r="C1970" s="64" t="s">
        <v>355</v>
      </c>
      <c r="D1970" s="81" t="s">
        <v>26</v>
      </c>
      <c r="E1970" s="78">
        <v>41.07</v>
      </c>
      <c r="F1970" s="65"/>
      <c r="G1970" s="65">
        <v>439</v>
      </c>
      <c r="H1970" s="65">
        <f t="shared" si="155"/>
        <v>439</v>
      </c>
      <c r="I1970" s="79">
        <f t="shared" si="152"/>
        <v>0</v>
      </c>
      <c r="J1970" s="79">
        <f t="shared" si="153"/>
        <v>18029.73</v>
      </c>
      <c r="K1970" s="79">
        <f t="shared" si="154"/>
        <v>18029.73</v>
      </c>
      <c r="L1970" s="121"/>
    </row>
    <row r="1971" spans="2:12" ht="22.25" customHeight="1" x14ac:dyDescent="0.35">
      <c r="B1971" s="111">
        <f t="shared" si="151"/>
        <v>1961</v>
      </c>
      <c r="C1971" s="98" t="s">
        <v>287</v>
      </c>
      <c r="D1971" s="103" t="s">
        <v>32</v>
      </c>
      <c r="E1971" s="100">
        <v>1</v>
      </c>
      <c r="F1971" s="101"/>
      <c r="G1971" s="101"/>
      <c r="H1971" s="101">
        <f t="shared" si="155"/>
        <v>0</v>
      </c>
      <c r="I1971" s="101">
        <f t="shared" si="152"/>
        <v>0</v>
      </c>
      <c r="J1971" s="101">
        <f t="shared" si="153"/>
        <v>0</v>
      </c>
      <c r="K1971" s="101">
        <f t="shared" si="154"/>
        <v>0</v>
      </c>
      <c r="L1971" s="121"/>
    </row>
    <row r="1972" spans="2:12" ht="31" x14ac:dyDescent="0.35">
      <c r="B1972" s="111">
        <f t="shared" si="151"/>
        <v>1962</v>
      </c>
      <c r="C1972" s="64" t="s">
        <v>348</v>
      </c>
      <c r="D1972" s="81" t="s">
        <v>26</v>
      </c>
      <c r="E1972" s="78">
        <f>48.69*0.97</f>
        <v>47.229299999999995</v>
      </c>
      <c r="F1972" s="65"/>
      <c r="G1972" s="65">
        <v>300</v>
      </c>
      <c r="H1972" s="65">
        <f t="shared" si="155"/>
        <v>300</v>
      </c>
      <c r="I1972" s="79">
        <f t="shared" si="152"/>
        <v>0</v>
      </c>
      <c r="J1972" s="79">
        <f t="shared" si="153"/>
        <v>14168.79</v>
      </c>
      <c r="K1972" s="79">
        <f t="shared" si="154"/>
        <v>14168.79</v>
      </c>
      <c r="L1972" s="121"/>
    </row>
    <row r="1973" spans="2:12" x14ac:dyDescent="0.35">
      <c r="B1973" s="111">
        <f t="shared" si="151"/>
        <v>1963</v>
      </c>
      <c r="C1973" s="64" t="s">
        <v>19</v>
      </c>
      <c r="D1973" s="81" t="s">
        <v>26</v>
      </c>
      <c r="E1973" s="78">
        <f>E1972/9</f>
        <v>5.2476999999999991</v>
      </c>
      <c r="F1973" s="65"/>
      <c r="G1973" s="65">
        <v>1500</v>
      </c>
      <c r="H1973" s="65">
        <f t="shared" si="155"/>
        <v>1500</v>
      </c>
      <c r="I1973" s="79">
        <f t="shared" si="152"/>
        <v>0</v>
      </c>
      <c r="J1973" s="79">
        <f t="shared" si="153"/>
        <v>7871.55</v>
      </c>
      <c r="K1973" s="79">
        <f t="shared" si="154"/>
        <v>7871.55</v>
      </c>
      <c r="L1973" s="121"/>
    </row>
    <row r="1974" spans="2:12" x14ac:dyDescent="0.35">
      <c r="B1974" s="111">
        <f t="shared" si="151"/>
        <v>1964</v>
      </c>
      <c r="C1974" s="64" t="s">
        <v>67</v>
      </c>
      <c r="D1974" s="81" t="s">
        <v>25</v>
      </c>
      <c r="E1974" s="78">
        <f>(3.14*2.7^2)/4</f>
        <v>5.7226500000000007</v>
      </c>
      <c r="F1974" s="65"/>
      <c r="G1974" s="65"/>
      <c r="H1974" s="65">
        <f t="shared" si="155"/>
        <v>0</v>
      </c>
      <c r="I1974" s="79">
        <f t="shared" si="152"/>
        <v>0</v>
      </c>
      <c r="J1974" s="79">
        <f t="shared" si="153"/>
        <v>0</v>
      </c>
      <c r="K1974" s="79">
        <f t="shared" si="154"/>
        <v>0</v>
      </c>
      <c r="L1974" s="121"/>
    </row>
    <row r="1975" spans="2:12" x14ac:dyDescent="0.35">
      <c r="B1975" s="111">
        <f t="shared" si="151"/>
        <v>1965</v>
      </c>
      <c r="C1975" s="64" t="s">
        <v>68</v>
      </c>
      <c r="D1975" s="81" t="s">
        <v>26</v>
      </c>
      <c r="E1975" s="78">
        <f>(3.14*2.7^2)/4*0.1</f>
        <v>0.57226500000000013</v>
      </c>
      <c r="F1975" s="65"/>
      <c r="G1975" s="65">
        <v>5860</v>
      </c>
      <c r="H1975" s="65">
        <f t="shared" si="155"/>
        <v>5860</v>
      </c>
      <c r="I1975" s="79">
        <f t="shared" si="152"/>
        <v>0</v>
      </c>
      <c r="J1975" s="79">
        <f t="shared" si="153"/>
        <v>3353.47</v>
      </c>
      <c r="K1975" s="79">
        <f t="shared" si="154"/>
        <v>3353.47</v>
      </c>
      <c r="L1975" s="121"/>
    </row>
    <row r="1976" spans="2:12" x14ac:dyDescent="0.35">
      <c r="B1976" s="111">
        <f t="shared" si="151"/>
        <v>1966</v>
      </c>
      <c r="C1976" s="80" t="s">
        <v>159</v>
      </c>
      <c r="D1976" s="81" t="s">
        <v>26</v>
      </c>
      <c r="E1976" s="78">
        <f>E1975*1.02</f>
        <v>0.58371030000000013</v>
      </c>
      <c r="F1976" s="65">
        <v>6700</v>
      </c>
      <c r="G1976" s="65"/>
      <c r="H1976" s="65">
        <f t="shared" si="155"/>
        <v>6700</v>
      </c>
      <c r="I1976" s="79">
        <f t="shared" si="152"/>
        <v>3910.86</v>
      </c>
      <c r="J1976" s="79">
        <f t="shared" si="153"/>
        <v>0</v>
      </c>
      <c r="K1976" s="79">
        <f t="shared" si="154"/>
        <v>3910.86</v>
      </c>
      <c r="L1976" s="121"/>
    </row>
    <row r="1977" spans="2:12" x14ac:dyDescent="0.35">
      <c r="B1977" s="111">
        <f t="shared" si="151"/>
        <v>1967</v>
      </c>
      <c r="C1977" s="64" t="s">
        <v>151</v>
      </c>
      <c r="D1977" s="81" t="s">
        <v>25</v>
      </c>
      <c r="E1977" s="78">
        <f>(3.14*2.5^2)/4</f>
        <v>4.90625</v>
      </c>
      <c r="F1977" s="65">
        <v>68.5</v>
      </c>
      <c r="G1977" s="65">
        <v>150</v>
      </c>
      <c r="H1977" s="65">
        <f t="shared" si="155"/>
        <v>218.5</v>
      </c>
      <c r="I1977" s="79">
        <f t="shared" si="152"/>
        <v>336.08</v>
      </c>
      <c r="J1977" s="79">
        <f t="shared" si="153"/>
        <v>735.94</v>
      </c>
      <c r="K1977" s="79">
        <f t="shared" si="154"/>
        <v>1072.02</v>
      </c>
      <c r="L1977" s="121"/>
    </row>
    <row r="1978" spans="2:12" ht="31" x14ac:dyDescent="0.35">
      <c r="B1978" s="111">
        <f t="shared" si="151"/>
        <v>1968</v>
      </c>
      <c r="C1978" s="64" t="s">
        <v>152</v>
      </c>
      <c r="D1978" s="81" t="s">
        <v>25</v>
      </c>
      <c r="E1978" s="78">
        <f>E1977</f>
        <v>4.90625</v>
      </c>
      <c r="F1978" s="65">
        <v>927</v>
      </c>
      <c r="G1978" s="65">
        <v>400</v>
      </c>
      <c r="H1978" s="65">
        <f t="shared" si="155"/>
        <v>1327</v>
      </c>
      <c r="I1978" s="79">
        <f t="shared" si="152"/>
        <v>4548.09</v>
      </c>
      <c r="J1978" s="79">
        <f t="shared" si="153"/>
        <v>1962.5</v>
      </c>
      <c r="K1978" s="79">
        <f t="shared" si="154"/>
        <v>6510.59</v>
      </c>
      <c r="L1978" s="121"/>
    </row>
    <row r="1979" spans="2:12" ht="31" x14ac:dyDescent="0.35">
      <c r="B1979" s="111">
        <f t="shared" si="151"/>
        <v>1969</v>
      </c>
      <c r="C1979" s="64" t="s">
        <v>69</v>
      </c>
      <c r="D1979" s="81" t="s">
        <v>32</v>
      </c>
      <c r="E1979" s="78">
        <v>1</v>
      </c>
      <c r="F1979" s="65"/>
      <c r="G1979" s="65">
        <v>5662</v>
      </c>
      <c r="H1979" s="65">
        <f t="shared" si="155"/>
        <v>5662</v>
      </c>
      <c r="I1979" s="79">
        <f t="shared" si="152"/>
        <v>0</v>
      </c>
      <c r="J1979" s="79">
        <f t="shared" si="153"/>
        <v>5662</v>
      </c>
      <c r="K1979" s="79">
        <f t="shared" si="154"/>
        <v>5662</v>
      </c>
      <c r="L1979" s="121"/>
    </row>
    <row r="1980" spans="2:12" x14ac:dyDescent="0.35">
      <c r="B1980" s="111">
        <f t="shared" si="151"/>
        <v>1970</v>
      </c>
      <c r="C1980" s="82" t="s">
        <v>71</v>
      </c>
      <c r="D1980" s="81" t="s">
        <v>32</v>
      </c>
      <c r="E1980" s="78">
        <v>1</v>
      </c>
      <c r="F1980" s="65">
        <f>7000*1.2</f>
        <v>8400</v>
      </c>
      <c r="G1980" s="65"/>
      <c r="H1980" s="65">
        <f t="shared" si="155"/>
        <v>8400</v>
      </c>
      <c r="I1980" s="79">
        <f t="shared" si="152"/>
        <v>8400</v>
      </c>
      <c r="J1980" s="79">
        <f t="shared" si="153"/>
        <v>0</v>
      </c>
      <c r="K1980" s="79">
        <f t="shared" si="154"/>
        <v>8400</v>
      </c>
      <c r="L1980" s="121"/>
    </row>
    <row r="1981" spans="2:12" x14ac:dyDescent="0.35">
      <c r="B1981" s="111">
        <f t="shared" si="151"/>
        <v>1971</v>
      </c>
      <c r="C1981" s="82" t="s">
        <v>101</v>
      </c>
      <c r="D1981" s="81" t="s">
        <v>26</v>
      </c>
      <c r="E1981" s="78">
        <f>((3.14*2^2)/4*0.02)*1.02</f>
        <v>6.4056000000000016E-2</v>
      </c>
      <c r="F1981" s="65">
        <v>7300</v>
      </c>
      <c r="G1981" s="65"/>
      <c r="H1981" s="65">
        <f t="shared" si="155"/>
        <v>7300</v>
      </c>
      <c r="I1981" s="79">
        <f t="shared" si="152"/>
        <v>467.61</v>
      </c>
      <c r="J1981" s="79">
        <f t="shared" si="153"/>
        <v>0</v>
      </c>
      <c r="K1981" s="79">
        <f t="shared" si="154"/>
        <v>467.61</v>
      </c>
      <c r="L1981" s="121"/>
    </row>
    <row r="1982" spans="2:12" ht="31" x14ac:dyDescent="0.35">
      <c r="B1982" s="111">
        <f t="shared" si="151"/>
        <v>1972</v>
      </c>
      <c r="C1982" s="64" t="s">
        <v>179</v>
      </c>
      <c r="D1982" s="81" t="s">
        <v>26</v>
      </c>
      <c r="E1982" s="78">
        <v>1.2</v>
      </c>
      <c r="F1982" s="65"/>
      <c r="G1982" s="65">
        <v>5860</v>
      </c>
      <c r="H1982" s="65">
        <f t="shared" si="155"/>
        <v>5860</v>
      </c>
      <c r="I1982" s="79">
        <f t="shared" si="152"/>
        <v>0</v>
      </c>
      <c r="J1982" s="79">
        <f t="shared" si="153"/>
        <v>7032</v>
      </c>
      <c r="K1982" s="79">
        <f t="shared" si="154"/>
        <v>7032</v>
      </c>
      <c r="L1982" s="121"/>
    </row>
    <row r="1983" spans="2:12" x14ac:dyDescent="0.35">
      <c r="B1983" s="111">
        <f t="shared" si="151"/>
        <v>1973</v>
      </c>
      <c r="C1983" s="82" t="s">
        <v>75</v>
      </c>
      <c r="D1983" s="81" t="s">
        <v>26</v>
      </c>
      <c r="E1983" s="78">
        <f>E1982*1.02</f>
        <v>1.224</v>
      </c>
      <c r="F1983" s="65">
        <v>7100</v>
      </c>
      <c r="G1983" s="65"/>
      <c r="H1983" s="65">
        <f t="shared" si="155"/>
        <v>7100</v>
      </c>
      <c r="I1983" s="79">
        <f t="shared" si="152"/>
        <v>8690.4</v>
      </c>
      <c r="J1983" s="79">
        <f t="shared" si="153"/>
        <v>0</v>
      </c>
      <c r="K1983" s="79">
        <f t="shared" si="154"/>
        <v>8690.4</v>
      </c>
      <c r="L1983" s="121"/>
    </row>
    <row r="1984" spans="2:12" ht="31" x14ac:dyDescent="0.35">
      <c r="B1984" s="111">
        <f t="shared" si="151"/>
        <v>1974</v>
      </c>
      <c r="C1984" s="64" t="s">
        <v>78</v>
      </c>
      <c r="D1984" s="81" t="s">
        <v>32</v>
      </c>
      <c r="E1984" s="78">
        <v>7</v>
      </c>
      <c r="F1984" s="65"/>
      <c r="G1984" s="65">
        <v>5662</v>
      </c>
      <c r="H1984" s="65">
        <f t="shared" si="155"/>
        <v>5662</v>
      </c>
      <c r="I1984" s="79">
        <f t="shared" si="152"/>
        <v>0</v>
      </c>
      <c r="J1984" s="79">
        <f t="shared" si="153"/>
        <v>39634</v>
      </c>
      <c r="K1984" s="79">
        <f t="shared" si="154"/>
        <v>39634</v>
      </c>
      <c r="L1984" s="121"/>
    </row>
    <row r="1985" spans="2:12" x14ac:dyDescent="0.35">
      <c r="B1985" s="111">
        <f t="shared" si="151"/>
        <v>1975</v>
      </c>
      <c r="C1985" s="82" t="s">
        <v>76</v>
      </c>
      <c r="D1985" s="81" t="s">
        <v>32</v>
      </c>
      <c r="E1985" s="78">
        <v>2</v>
      </c>
      <c r="F1985" s="65">
        <f>7000*1.2</f>
        <v>8400</v>
      </c>
      <c r="G1985" s="65"/>
      <c r="H1985" s="65">
        <f t="shared" si="155"/>
        <v>8400</v>
      </c>
      <c r="I1985" s="79">
        <f t="shared" si="152"/>
        <v>16800</v>
      </c>
      <c r="J1985" s="79">
        <f t="shared" si="153"/>
        <v>0</v>
      </c>
      <c r="K1985" s="79">
        <f t="shared" si="154"/>
        <v>16800</v>
      </c>
      <c r="L1985" s="121"/>
    </row>
    <row r="1986" spans="2:12" x14ac:dyDescent="0.35">
      <c r="B1986" s="111">
        <f t="shared" si="151"/>
        <v>1976</v>
      </c>
      <c r="C1986" s="82" t="s">
        <v>77</v>
      </c>
      <c r="D1986" s="81" t="s">
        <v>32</v>
      </c>
      <c r="E1986" s="78">
        <v>2</v>
      </c>
      <c r="F1986" s="65">
        <f>5500*1.2</f>
        <v>6600</v>
      </c>
      <c r="G1986" s="65"/>
      <c r="H1986" s="65">
        <f t="shared" si="155"/>
        <v>6600</v>
      </c>
      <c r="I1986" s="79">
        <f t="shared" si="152"/>
        <v>13200</v>
      </c>
      <c r="J1986" s="79">
        <f t="shared" si="153"/>
        <v>0</v>
      </c>
      <c r="K1986" s="79">
        <f t="shared" si="154"/>
        <v>13200</v>
      </c>
      <c r="L1986" s="121"/>
    </row>
    <row r="1987" spans="2:12" x14ac:dyDescent="0.35">
      <c r="B1987" s="111">
        <f t="shared" si="151"/>
        <v>1977</v>
      </c>
      <c r="C1987" s="82" t="s">
        <v>294</v>
      </c>
      <c r="D1987" s="81" t="s">
        <v>32</v>
      </c>
      <c r="E1987" s="78">
        <v>1</v>
      </c>
      <c r="F1987" s="65">
        <f>1200*1.2</f>
        <v>1440</v>
      </c>
      <c r="G1987" s="65"/>
      <c r="H1987" s="65">
        <f t="shared" si="155"/>
        <v>1440</v>
      </c>
      <c r="I1987" s="79">
        <f t="shared" si="152"/>
        <v>1440</v>
      </c>
      <c r="J1987" s="79">
        <f t="shared" si="153"/>
        <v>0</v>
      </c>
      <c r="K1987" s="79">
        <f t="shared" si="154"/>
        <v>1440</v>
      </c>
      <c r="L1987" s="121"/>
    </row>
    <row r="1988" spans="2:12" x14ac:dyDescent="0.35">
      <c r="B1988" s="111">
        <f t="shared" si="151"/>
        <v>1978</v>
      </c>
      <c r="C1988" s="82" t="s">
        <v>293</v>
      </c>
      <c r="D1988" s="81" t="s">
        <v>32</v>
      </c>
      <c r="E1988" s="78">
        <v>1</v>
      </c>
      <c r="F1988" s="65">
        <f>900*1.2</f>
        <v>1080</v>
      </c>
      <c r="G1988" s="65"/>
      <c r="H1988" s="65">
        <f t="shared" si="155"/>
        <v>1080</v>
      </c>
      <c r="I1988" s="79">
        <f t="shared" si="152"/>
        <v>1080</v>
      </c>
      <c r="J1988" s="79">
        <f t="shared" si="153"/>
        <v>0</v>
      </c>
      <c r="K1988" s="79">
        <f t="shared" si="154"/>
        <v>1080</v>
      </c>
      <c r="L1988" s="121"/>
    </row>
    <row r="1989" spans="2:12" x14ac:dyDescent="0.35">
      <c r="B1989" s="111">
        <f t="shared" si="151"/>
        <v>1979</v>
      </c>
      <c r="C1989" s="82" t="s">
        <v>306</v>
      </c>
      <c r="D1989" s="81" t="s">
        <v>32</v>
      </c>
      <c r="E1989" s="78">
        <v>1</v>
      </c>
      <c r="F1989" s="65">
        <v>840</v>
      </c>
      <c r="G1989" s="65"/>
      <c r="H1989" s="65">
        <f t="shared" si="155"/>
        <v>840</v>
      </c>
      <c r="I1989" s="79">
        <f t="shared" si="152"/>
        <v>840</v>
      </c>
      <c r="J1989" s="79">
        <f t="shared" si="153"/>
        <v>0</v>
      </c>
      <c r="K1989" s="79">
        <f t="shared" si="154"/>
        <v>840</v>
      </c>
      <c r="L1989" s="121"/>
    </row>
    <row r="1990" spans="2:12" ht="31" x14ac:dyDescent="0.35">
      <c r="B1990" s="111">
        <f t="shared" si="151"/>
        <v>1980</v>
      </c>
      <c r="C1990" s="64" t="s">
        <v>85</v>
      </c>
      <c r="D1990" s="81" t="s">
        <v>32</v>
      </c>
      <c r="E1990" s="78">
        <v>1</v>
      </c>
      <c r="F1990" s="65"/>
      <c r="G1990" s="65">
        <v>2500</v>
      </c>
      <c r="H1990" s="65">
        <f t="shared" si="155"/>
        <v>2500</v>
      </c>
      <c r="I1990" s="79">
        <f t="shared" si="152"/>
        <v>0</v>
      </c>
      <c r="J1990" s="79">
        <f t="shared" si="153"/>
        <v>2500</v>
      </c>
      <c r="K1990" s="79">
        <f t="shared" si="154"/>
        <v>2500</v>
      </c>
      <c r="L1990" s="121"/>
    </row>
    <row r="1991" spans="2:12" x14ac:dyDescent="0.35">
      <c r="B1991" s="111">
        <f t="shared" si="151"/>
        <v>1981</v>
      </c>
      <c r="C1991" s="82" t="s">
        <v>79</v>
      </c>
      <c r="D1991" s="81" t="s">
        <v>32</v>
      </c>
      <c r="E1991" s="78">
        <v>1</v>
      </c>
      <c r="F1991" s="65">
        <f>6500*1.2</f>
        <v>7800</v>
      </c>
      <c r="G1991" s="65"/>
      <c r="H1991" s="65">
        <f t="shared" si="155"/>
        <v>7800</v>
      </c>
      <c r="I1991" s="79">
        <f t="shared" si="152"/>
        <v>7800</v>
      </c>
      <c r="J1991" s="79">
        <f t="shared" si="153"/>
        <v>0</v>
      </c>
      <c r="K1991" s="79">
        <f t="shared" si="154"/>
        <v>7800</v>
      </c>
      <c r="L1991" s="121"/>
    </row>
    <row r="1992" spans="2:12" ht="31" x14ac:dyDescent="0.35">
      <c r="B1992" s="111">
        <f t="shared" si="151"/>
        <v>1982</v>
      </c>
      <c r="C1992" s="64" t="s">
        <v>316</v>
      </c>
      <c r="D1992" s="81" t="s">
        <v>32</v>
      </c>
      <c r="E1992" s="78">
        <v>1</v>
      </c>
      <c r="F1992" s="65"/>
      <c r="G1992" s="65"/>
      <c r="H1992" s="65">
        <f t="shared" si="155"/>
        <v>0</v>
      </c>
      <c r="I1992" s="79">
        <f t="shared" si="152"/>
        <v>0</v>
      </c>
      <c r="J1992" s="79">
        <f t="shared" si="153"/>
        <v>0</v>
      </c>
      <c r="K1992" s="79">
        <f t="shared" si="154"/>
        <v>0</v>
      </c>
      <c r="L1992" s="121"/>
    </row>
    <row r="1993" spans="2:12" x14ac:dyDescent="0.35">
      <c r="B1993" s="111">
        <f t="shared" si="151"/>
        <v>1983</v>
      </c>
      <c r="C1993" s="88" t="s">
        <v>84</v>
      </c>
      <c r="D1993" s="81" t="s">
        <v>32</v>
      </c>
      <c r="E1993" s="78">
        <v>1</v>
      </c>
      <c r="F1993" s="65">
        <v>1300</v>
      </c>
      <c r="G1993" s="65">
        <v>990</v>
      </c>
      <c r="H1993" s="65">
        <f t="shared" si="155"/>
        <v>2290</v>
      </c>
      <c r="I1993" s="79">
        <f t="shared" si="152"/>
        <v>1300</v>
      </c>
      <c r="J1993" s="79">
        <f t="shared" si="153"/>
        <v>990</v>
      </c>
      <c r="K1993" s="79">
        <f t="shared" si="154"/>
        <v>2290</v>
      </c>
      <c r="L1993" s="121"/>
    </row>
    <row r="1994" spans="2:12" x14ac:dyDescent="0.35">
      <c r="B1994" s="111">
        <f t="shared" si="151"/>
        <v>1984</v>
      </c>
      <c r="C1994" s="80" t="s">
        <v>301</v>
      </c>
      <c r="D1994" s="81" t="s">
        <v>32</v>
      </c>
      <c r="E1994" s="78">
        <v>1</v>
      </c>
      <c r="F1994" s="65">
        <v>6000</v>
      </c>
      <c r="G1994" s="65">
        <v>1464.09</v>
      </c>
      <c r="H1994" s="65">
        <f t="shared" si="155"/>
        <v>7464.09</v>
      </c>
      <c r="I1994" s="79">
        <f t="shared" si="152"/>
        <v>6000</v>
      </c>
      <c r="J1994" s="79">
        <f t="shared" si="153"/>
        <v>1464.09</v>
      </c>
      <c r="K1994" s="79">
        <f t="shared" si="154"/>
        <v>7464.09</v>
      </c>
      <c r="L1994" s="121"/>
    </row>
    <row r="1995" spans="2:12" ht="31" x14ac:dyDescent="0.35">
      <c r="B1995" s="111">
        <f t="shared" si="151"/>
        <v>1985</v>
      </c>
      <c r="C1995" s="64" t="s">
        <v>156</v>
      </c>
      <c r="D1995" s="81" t="s">
        <v>25</v>
      </c>
      <c r="E1995" s="78">
        <f>(3.14*2.2)*4.03+3.8</f>
        <v>31.639240000000008</v>
      </c>
      <c r="F1995" s="65">
        <v>68.5</v>
      </c>
      <c r="G1995" s="65">
        <v>150</v>
      </c>
      <c r="H1995" s="65">
        <f t="shared" si="155"/>
        <v>218.5</v>
      </c>
      <c r="I1995" s="79">
        <f t="shared" si="152"/>
        <v>2167.29</v>
      </c>
      <c r="J1995" s="79">
        <f t="shared" si="153"/>
        <v>4745.8900000000003</v>
      </c>
      <c r="K1995" s="79">
        <f t="shared" si="154"/>
        <v>6913.18</v>
      </c>
      <c r="L1995" s="121"/>
    </row>
    <row r="1996" spans="2:12" ht="46.5" x14ac:dyDescent="0.35">
      <c r="B1996" s="111">
        <f t="shared" si="151"/>
        <v>1986</v>
      </c>
      <c r="C1996" s="64" t="s">
        <v>157</v>
      </c>
      <c r="D1996" s="81" t="s">
        <v>25</v>
      </c>
      <c r="E1996" s="78">
        <f>E1995</f>
        <v>31.639240000000008</v>
      </c>
      <c r="F1996" s="65">
        <v>927</v>
      </c>
      <c r="G1996" s="65">
        <v>400</v>
      </c>
      <c r="H1996" s="65">
        <f t="shared" si="155"/>
        <v>1327</v>
      </c>
      <c r="I1996" s="79">
        <f t="shared" si="152"/>
        <v>29329.58</v>
      </c>
      <c r="J1996" s="79">
        <f t="shared" si="153"/>
        <v>12655.7</v>
      </c>
      <c r="K1996" s="79">
        <f t="shared" si="154"/>
        <v>41985.279999999999</v>
      </c>
      <c r="L1996" s="121"/>
    </row>
    <row r="1997" spans="2:12" x14ac:dyDescent="0.35">
      <c r="B1997" s="111">
        <f t="shared" ref="B1997:B2060" si="156">B1996+1</f>
        <v>1987</v>
      </c>
      <c r="C1997" s="64" t="s">
        <v>102</v>
      </c>
      <c r="D1997" s="81" t="s">
        <v>32</v>
      </c>
      <c r="E1997" s="78">
        <v>1</v>
      </c>
      <c r="F1997" s="68"/>
      <c r="G1997" s="65"/>
      <c r="H1997" s="65">
        <f t="shared" si="155"/>
        <v>0</v>
      </c>
      <c r="I1997" s="79">
        <f t="shared" ref="I1997:I2060" si="157">ROUND(F1997*E1997,2)</f>
        <v>0</v>
      </c>
      <c r="J1997" s="79">
        <f t="shared" ref="J1997:J2060" si="158">ROUND(G1997*E1997,2)</f>
        <v>0</v>
      </c>
      <c r="K1997" s="79">
        <f t="shared" ref="K1997:K2060" si="159">I1997+J1997</f>
        <v>0</v>
      </c>
      <c r="L1997" s="121"/>
    </row>
    <row r="1998" spans="2:12" x14ac:dyDescent="0.35">
      <c r="B1998" s="111">
        <f t="shared" si="156"/>
        <v>1988</v>
      </c>
      <c r="C1998" s="82" t="s">
        <v>104</v>
      </c>
      <c r="D1998" s="81" t="s">
        <v>31</v>
      </c>
      <c r="E1998" s="78">
        <v>30</v>
      </c>
      <c r="F1998" s="68">
        <v>71</v>
      </c>
      <c r="G1998" s="65">
        <v>97.61</v>
      </c>
      <c r="H1998" s="65">
        <f t="shared" si="155"/>
        <v>168.61</v>
      </c>
      <c r="I1998" s="79">
        <f t="shared" si="157"/>
        <v>2130</v>
      </c>
      <c r="J1998" s="79">
        <f t="shared" si="158"/>
        <v>2928.3</v>
      </c>
      <c r="K1998" s="79">
        <f t="shared" si="159"/>
        <v>5058.3</v>
      </c>
      <c r="L1998" s="121"/>
    </row>
    <row r="1999" spans="2:12" x14ac:dyDescent="0.35">
      <c r="B1999" s="111">
        <f t="shared" si="156"/>
        <v>1989</v>
      </c>
      <c r="C1999" s="64" t="s">
        <v>93</v>
      </c>
      <c r="D1999" s="81" t="s">
        <v>32</v>
      </c>
      <c r="E1999" s="78">
        <v>2</v>
      </c>
      <c r="F1999" s="68"/>
      <c r="G1999" s="65"/>
      <c r="H1999" s="65">
        <f t="shared" ref="H1999:H2062" si="160">F1999+G1999</f>
        <v>0</v>
      </c>
      <c r="I1999" s="79">
        <f t="shared" si="157"/>
        <v>0</v>
      </c>
      <c r="J1999" s="79">
        <f t="shared" si="158"/>
        <v>0</v>
      </c>
      <c r="K1999" s="79">
        <f t="shared" si="159"/>
        <v>0</v>
      </c>
      <c r="L1999" s="121"/>
    </row>
    <row r="2000" spans="2:12" x14ac:dyDescent="0.35">
      <c r="B2000" s="111">
        <f t="shared" si="156"/>
        <v>1990</v>
      </c>
      <c r="C2000" s="82" t="s">
        <v>94</v>
      </c>
      <c r="D2000" s="81" t="s">
        <v>31</v>
      </c>
      <c r="E2000" s="78">
        <f>0.82*E1999</f>
        <v>1.64</v>
      </c>
      <c r="F2000" s="68">
        <v>71</v>
      </c>
      <c r="G2000" s="65">
        <v>97.61</v>
      </c>
      <c r="H2000" s="65">
        <f t="shared" si="160"/>
        <v>168.61</v>
      </c>
      <c r="I2000" s="79">
        <f t="shared" si="157"/>
        <v>116.44</v>
      </c>
      <c r="J2000" s="79">
        <f t="shared" si="158"/>
        <v>160.08000000000001</v>
      </c>
      <c r="K2000" s="79">
        <f t="shared" si="159"/>
        <v>276.52</v>
      </c>
      <c r="L2000" s="121"/>
    </row>
    <row r="2001" spans="2:12" ht="31" x14ac:dyDescent="0.35">
      <c r="B2001" s="111">
        <f t="shared" si="156"/>
        <v>1991</v>
      </c>
      <c r="C2001" s="64" t="s">
        <v>304</v>
      </c>
      <c r="D2001" s="81" t="s">
        <v>32</v>
      </c>
      <c r="E2001" s="78">
        <v>3</v>
      </c>
      <c r="F2001" s="68"/>
      <c r="G2001" s="65">
        <v>1464</v>
      </c>
      <c r="H2001" s="65">
        <f t="shared" si="160"/>
        <v>1464</v>
      </c>
      <c r="I2001" s="79">
        <f t="shared" si="157"/>
        <v>0</v>
      </c>
      <c r="J2001" s="79">
        <f t="shared" si="158"/>
        <v>4392</v>
      </c>
      <c r="K2001" s="79">
        <f t="shared" si="159"/>
        <v>4392</v>
      </c>
      <c r="L2001" s="121"/>
    </row>
    <row r="2002" spans="2:12" x14ac:dyDescent="0.35">
      <c r="B2002" s="111">
        <f t="shared" si="156"/>
        <v>1992</v>
      </c>
      <c r="C2002" s="64" t="s">
        <v>347</v>
      </c>
      <c r="D2002" s="81"/>
      <c r="E2002" s="78"/>
      <c r="F2002" s="65"/>
      <c r="G2002" s="65"/>
      <c r="H2002" s="65">
        <f t="shared" si="160"/>
        <v>0</v>
      </c>
      <c r="I2002" s="79">
        <f t="shared" si="157"/>
        <v>0</v>
      </c>
      <c r="J2002" s="79">
        <f t="shared" si="158"/>
        <v>0</v>
      </c>
      <c r="K2002" s="79">
        <f t="shared" si="159"/>
        <v>0</v>
      </c>
      <c r="L2002" s="121">
        <v>1</v>
      </c>
    </row>
    <row r="2003" spans="2:12" ht="31" x14ac:dyDescent="0.35">
      <c r="B2003" s="111">
        <f t="shared" si="156"/>
        <v>1993</v>
      </c>
      <c r="C2003" s="80" t="s">
        <v>309</v>
      </c>
      <c r="D2003" s="81" t="s">
        <v>32</v>
      </c>
      <c r="E2003" s="78">
        <v>1</v>
      </c>
      <c r="F2003" s="65">
        <v>2263</v>
      </c>
      <c r="G2003" s="65">
        <v>1700</v>
      </c>
      <c r="H2003" s="65">
        <f t="shared" si="160"/>
        <v>3963</v>
      </c>
      <c r="I2003" s="79">
        <f t="shared" si="157"/>
        <v>2263</v>
      </c>
      <c r="J2003" s="79">
        <f t="shared" si="158"/>
        <v>1700</v>
      </c>
      <c r="K2003" s="79">
        <f t="shared" si="159"/>
        <v>3963</v>
      </c>
      <c r="L2003" s="121"/>
    </row>
    <row r="2004" spans="2:12" ht="31" x14ac:dyDescent="0.35">
      <c r="B2004" s="111">
        <f t="shared" si="156"/>
        <v>1994</v>
      </c>
      <c r="C2004" s="80" t="s">
        <v>310</v>
      </c>
      <c r="D2004" s="81" t="s">
        <v>32</v>
      </c>
      <c r="E2004" s="78">
        <v>1</v>
      </c>
      <c r="F2004" s="65">
        <v>1303</v>
      </c>
      <c r="G2004" s="65">
        <v>1700</v>
      </c>
      <c r="H2004" s="65">
        <f t="shared" si="160"/>
        <v>3003</v>
      </c>
      <c r="I2004" s="79">
        <f t="shared" si="157"/>
        <v>1303</v>
      </c>
      <c r="J2004" s="79">
        <f t="shared" si="158"/>
        <v>1700</v>
      </c>
      <c r="K2004" s="79">
        <f t="shared" si="159"/>
        <v>3003</v>
      </c>
      <c r="L2004" s="121"/>
    </row>
    <row r="2005" spans="2:12" ht="31" x14ac:dyDescent="0.35">
      <c r="B2005" s="111">
        <f t="shared" si="156"/>
        <v>1995</v>
      </c>
      <c r="C2005" s="80" t="s">
        <v>63</v>
      </c>
      <c r="D2005" s="81" t="s">
        <v>27</v>
      </c>
      <c r="E2005" s="78">
        <f>0.53*1.1</f>
        <v>0.58300000000000007</v>
      </c>
      <c r="F2005" s="65">
        <v>855</v>
      </c>
      <c r="G2005" s="65">
        <v>1700</v>
      </c>
      <c r="H2005" s="65">
        <f t="shared" si="160"/>
        <v>2555</v>
      </c>
      <c r="I2005" s="79">
        <f t="shared" si="157"/>
        <v>498.47</v>
      </c>
      <c r="J2005" s="79">
        <f t="shared" si="158"/>
        <v>991.1</v>
      </c>
      <c r="K2005" s="79">
        <f t="shared" si="159"/>
        <v>1489.5700000000002</v>
      </c>
      <c r="L2005" s="121"/>
    </row>
    <row r="2006" spans="2:12" ht="33" x14ac:dyDescent="0.35">
      <c r="B2006" s="111">
        <f t="shared" si="156"/>
        <v>1996</v>
      </c>
      <c r="C2006" s="64" t="s">
        <v>362</v>
      </c>
      <c r="D2006" s="81" t="s">
        <v>26</v>
      </c>
      <c r="E2006" s="78">
        <f>52.97-15.31</f>
        <v>37.659999999999997</v>
      </c>
      <c r="F2006" s="68"/>
      <c r="G2006" s="65">
        <v>439</v>
      </c>
      <c r="H2006" s="65">
        <f t="shared" si="160"/>
        <v>439</v>
      </c>
      <c r="I2006" s="79">
        <f t="shared" si="157"/>
        <v>0</v>
      </c>
      <c r="J2006" s="79">
        <f t="shared" si="158"/>
        <v>16532.740000000002</v>
      </c>
      <c r="K2006" s="79">
        <f t="shared" si="159"/>
        <v>16532.740000000002</v>
      </c>
      <c r="L2006" s="121"/>
    </row>
    <row r="2007" spans="2:12" ht="31" x14ac:dyDescent="0.35">
      <c r="B2007" s="111">
        <f t="shared" si="156"/>
        <v>1997</v>
      </c>
      <c r="C2007" s="64" t="s">
        <v>348</v>
      </c>
      <c r="D2007" s="81" t="s">
        <v>26</v>
      </c>
      <c r="E2007" s="78">
        <f>0.97*48.69</f>
        <v>47.229299999999995</v>
      </c>
      <c r="F2007" s="65"/>
      <c r="G2007" s="65">
        <v>300</v>
      </c>
      <c r="H2007" s="65">
        <f t="shared" si="160"/>
        <v>300</v>
      </c>
      <c r="I2007" s="79">
        <f t="shared" si="157"/>
        <v>0</v>
      </c>
      <c r="J2007" s="79">
        <f t="shared" si="158"/>
        <v>14168.79</v>
      </c>
      <c r="K2007" s="79">
        <f t="shared" si="159"/>
        <v>14168.79</v>
      </c>
      <c r="L2007" s="121"/>
    </row>
    <row r="2008" spans="2:12" ht="30" x14ac:dyDescent="0.35">
      <c r="B2008" s="111">
        <f t="shared" si="156"/>
        <v>1998</v>
      </c>
      <c r="C2008" s="98" t="s">
        <v>288</v>
      </c>
      <c r="D2008" s="99" t="s">
        <v>27</v>
      </c>
      <c r="E2008" s="100">
        <v>7.4</v>
      </c>
      <c r="F2008" s="101"/>
      <c r="G2008" s="101"/>
      <c r="H2008" s="101">
        <f t="shared" si="160"/>
        <v>0</v>
      </c>
      <c r="I2008" s="101">
        <f t="shared" si="157"/>
        <v>0</v>
      </c>
      <c r="J2008" s="101">
        <f t="shared" si="158"/>
        <v>0</v>
      </c>
      <c r="K2008" s="101">
        <f t="shared" si="159"/>
        <v>0</v>
      </c>
      <c r="L2008" s="121"/>
    </row>
    <row r="2009" spans="2:12" ht="31" x14ac:dyDescent="0.35">
      <c r="B2009" s="111">
        <f t="shared" si="156"/>
        <v>1999</v>
      </c>
      <c r="C2009" s="64" t="s">
        <v>348</v>
      </c>
      <c r="D2009" s="77" t="s">
        <v>26</v>
      </c>
      <c r="E2009" s="78">
        <f>0.97*45.51</f>
        <v>44.1447</v>
      </c>
      <c r="F2009" s="65"/>
      <c r="G2009" s="65">
        <v>300</v>
      </c>
      <c r="H2009" s="65">
        <f t="shared" si="160"/>
        <v>300</v>
      </c>
      <c r="I2009" s="79">
        <f t="shared" si="157"/>
        <v>0</v>
      </c>
      <c r="J2009" s="79">
        <f t="shared" si="158"/>
        <v>13243.41</v>
      </c>
      <c r="K2009" s="79">
        <f t="shared" si="159"/>
        <v>13243.41</v>
      </c>
      <c r="L2009" s="121"/>
    </row>
    <row r="2010" spans="2:12" x14ac:dyDescent="0.35">
      <c r="B2010" s="111">
        <f t="shared" si="156"/>
        <v>2000</v>
      </c>
      <c r="C2010" s="64" t="s">
        <v>19</v>
      </c>
      <c r="D2010" s="77" t="s">
        <v>26</v>
      </c>
      <c r="E2010" s="78">
        <f>E2009/97*3</f>
        <v>1.3653</v>
      </c>
      <c r="F2010" s="65"/>
      <c r="G2010" s="65">
        <v>1500</v>
      </c>
      <c r="H2010" s="65">
        <f t="shared" si="160"/>
        <v>1500</v>
      </c>
      <c r="I2010" s="79">
        <f t="shared" si="157"/>
        <v>0</v>
      </c>
      <c r="J2010" s="79">
        <f t="shared" si="158"/>
        <v>2047.95</v>
      </c>
      <c r="K2010" s="79">
        <f t="shared" si="159"/>
        <v>2047.95</v>
      </c>
      <c r="L2010" s="121"/>
    </row>
    <row r="2011" spans="2:12" x14ac:dyDescent="0.35">
      <c r="B2011" s="111">
        <f t="shared" si="156"/>
        <v>2001</v>
      </c>
      <c r="C2011" s="64" t="s">
        <v>184</v>
      </c>
      <c r="D2011" s="77" t="s">
        <v>25</v>
      </c>
      <c r="E2011" s="78">
        <f>E2008*0.75</f>
        <v>5.5500000000000007</v>
      </c>
      <c r="F2011" s="65"/>
      <c r="G2011" s="65"/>
      <c r="H2011" s="65">
        <f t="shared" si="160"/>
        <v>0</v>
      </c>
      <c r="I2011" s="79">
        <f t="shared" si="157"/>
        <v>0</v>
      </c>
      <c r="J2011" s="79">
        <f t="shared" si="158"/>
        <v>0</v>
      </c>
      <c r="K2011" s="79">
        <f t="shared" si="159"/>
        <v>0</v>
      </c>
      <c r="L2011" s="121"/>
    </row>
    <row r="2012" spans="2:12" ht="31" x14ac:dyDescent="0.35">
      <c r="B2012" s="111">
        <f t="shared" si="156"/>
        <v>2002</v>
      </c>
      <c r="C2012" s="64" t="s">
        <v>194</v>
      </c>
      <c r="D2012" s="77" t="s">
        <v>25</v>
      </c>
      <c r="E2012" s="78">
        <f>E2008*0.48</f>
        <v>3.552</v>
      </c>
      <c r="F2012" s="65">
        <f>1973*0.15</f>
        <v>295.95</v>
      </c>
      <c r="G2012" s="65">
        <f>1500*0.15</f>
        <v>225</v>
      </c>
      <c r="H2012" s="65">
        <f t="shared" si="160"/>
        <v>520.95000000000005</v>
      </c>
      <c r="I2012" s="79">
        <f t="shared" si="157"/>
        <v>1051.21</v>
      </c>
      <c r="J2012" s="79">
        <f t="shared" si="158"/>
        <v>799.2</v>
      </c>
      <c r="K2012" s="79">
        <f t="shared" si="159"/>
        <v>1850.41</v>
      </c>
      <c r="L2012" s="121"/>
    </row>
    <row r="2013" spans="2:12" x14ac:dyDescent="0.35">
      <c r="B2013" s="111">
        <f t="shared" si="156"/>
        <v>2003</v>
      </c>
      <c r="C2013" s="64" t="s">
        <v>20</v>
      </c>
      <c r="D2013" s="77" t="s">
        <v>26</v>
      </c>
      <c r="E2013" s="78">
        <f>0.34*E2008*0.1</f>
        <v>0.25160000000000005</v>
      </c>
      <c r="F2013" s="65"/>
      <c r="G2013" s="65">
        <v>5860</v>
      </c>
      <c r="H2013" s="65">
        <f t="shared" si="160"/>
        <v>5860</v>
      </c>
      <c r="I2013" s="79">
        <f t="shared" si="157"/>
        <v>0</v>
      </c>
      <c r="J2013" s="79">
        <f t="shared" si="158"/>
        <v>1474.38</v>
      </c>
      <c r="K2013" s="79">
        <f t="shared" si="159"/>
        <v>1474.38</v>
      </c>
      <c r="L2013" s="121"/>
    </row>
    <row r="2014" spans="2:12" x14ac:dyDescent="0.35">
      <c r="B2014" s="111">
        <f t="shared" si="156"/>
        <v>2004</v>
      </c>
      <c r="C2014" s="80" t="s">
        <v>159</v>
      </c>
      <c r="D2014" s="77" t="s">
        <v>26</v>
      </c>
      <c r="E2014" s="78">
        <f>E2013*1.02</f>
        <v>0.25663200000000003</v>
      </c>
      <c r="F2014" s="65">
        <v>6700</v>
      </c>
      <c r="G2014" s="65"/>
      <c r="H2014" s="65">
        <f t="shared" si="160"/>
        <v>6700</v>
      </c>
      <c r="I2014" s="79">
        <f t="shared" si="157"/>
        <v>1719.43</v>
      </c>
      <c r="J2014" s="79">
        <f t="shared" si="158"/>
        <v>0</v>
      </c>
      <c r="K2014" s="79">
        <f t="shared" si="159"/>
        <v>1719.43</v>
      </c>
      <c r="L2014" s="121"/>
    </row>
    <row r="2015" spans="2:12" x14ac:dyDescent="0.35">
      <c r="B2015" s="111">
        <f t="shared" si="156"/>
        <v>2005</v>
      </c>
      <c r="C2015" s="64" t="s">
        <v>28</v>
      </c>
      <c r="D2015" s="77" t="s">
        <v>26</v>
      </c>
      <c r="E2015" s="78">
        <f>E2008*0.8/10</f>
        <v>0.59200000000000008</v>
      </c>
      <c r="F2015" s="65"/>
      <c r="G2015" s="65">
        <v>5860</v>
      </c>
      <c r="H2015" s="65">
        <f t="shared" si="160"/>
        <v>5860</v>
      </c>
      <c r="I2015" s="79">
        <f t="shared" si="157"/>
        <v>0</v>
      </c>
      <c r="J2015" s="79">
        <f t="shared" si="158"/>
        <v>3469.12</v>
      </c>
      <c r="K2015" s="79">
        <f t="shared" si="159"/>
        <v>3469.12</v>
      </c>
      <c r="L2015" s="121"/>
    </row>
    <row r="2016" spans="2:12" x14ac:dyDescent="0.35">
      <c r="B2016" s="111">
        <f t="shared" si="156"/>
        <v>2006</v>
      </c>
      <c r="C2016" s="80" t="s">
        <v>29</v>
      </c>
      <c r="D2016" s="77" t="s">
        <v>26</v>
      </c>
      <c r="E2016" s="78">
        <f>E2015*1.02</f>
        <v>0.60384000000000004</v>
      </c>
      <c r="F2016" s="65">
        <v>7100</v>
      </c>
      <c r="G2016" s="65"/>
      <c r="H2016" s="65">
        <f t="shared" si="160"/>
        <v>7100</v>
      </c>
      <c r="I2016" s="79">
        <f t="shared" si="157"/>
        <v>4287.26</v>
      </c>
      <c r="J2016" s="79">
        <f t="shared" si="158"/>
        <v>0</v>
      </c>
      <c r="K2016" s="79">
        <f t="shared" si="159"/>
        <v>4287.26</v>
      </c>
      <c r="L2016" s="121"/>
    </row>
    <row r="2017" spans="2:12" x14ac:dyDescent="0.35">
      <c r="B2017" s="111">
        <f t="shared" si="156"/>
        <v>2007</v>
      </c>
      <c r="C2017" s="80" t="s">
        <v>30</v>
      </c>
      <c r="D2017" s="77" t="s">
        <v>31</v>
      </c>
      <c r="E2017" s="78">
        <f>E2008*1.22</f>
        <v>9.0280000000000005</v>
      </c>
      <c r="F2017" s="65">
        <v>118.9</v>
      </c>
      <c r="G2017" s="65"/>
      <c r="H2017" s="65">
        <f t="shared" si="160"/>
        <v>118.9</v>
      </c>
      <c r="I2017" s="79">
        <f t="shared" si="157"/>
        <v>1073.43</v>
      </c>
      <c r="J2017" s="79">
        <f t="shared" si="158"/>
        <v>0</v>
      </c>
      <c r="K2017" s="79">
        <f t="shared" si="159"/>
        <v>1073.43</v>
      </c>
      <c r="L2017" s="121"/>
    </row>
    <row r="2018" spans="2:12" x14ac:dyDescent="0.35">
      <c r="B2018" s="111">
        <f t="shared" si="156"/>
        <v>2008</v>
      </c>
      <c r="C2018" s="64" t="s">
        <v>189</v>
      </c>
      <c r="D2018" s="77" t="s">
        <v>27</v>
      </c>
      <c r="E2018" s="78">
        <f>E2008</f>
        <v>7.4</v>
      </c>
      <c r="F2018" s="65"/>
      <c r="G2018" s="65">
        <v>2928</v>
      </c>
      <c r="H2018" s="65">
        <f t="shared" si="160"/>
        <v>2928</v>
      </c>
      <c r="I2018" s="79">
        <f t="shared" si="157"/>
        <v>0</v>
      </c>
      <c r="J2018" s="79">
        <f t="shared" si="158"/>
        <v>21667.200000000001</v>
      </c>
      <c r="K2018" s="79">
        <f t="shared" si="159"/>
        <v>21667.200000000001</v>
      </c>
      <c r="L2018" s="121"/>
    </row>
    <row r="2019" spans="2:12" ht="31" x14ac:dyDescent="0.35">
      <c r="B2019" s="111">
        <f t="shared" si="156"/>
        <v>2009</v>
      </c>
      <c r="C2019" s="80" t="s">
        <v>195</v>
      </c>
      <c r="D2019" s="77" t="s">
        <v>27</v>
      </c>
      <c r="E2019" s="78">
        <f>E2018*1.1</f>
        <v>8.14</v>
      </c>
      <c r="F2019" s="65">
        <v>855</v>
      </c>
      <c r="G2019" s="65"/>
      <c r="H2019" s="65">
        <f t="shared" si="160"/>
        <v>855</v>
      </c>
      <c r="I2019" s="79">
        <f t="shared" si="157"/>
        <v>6959.7</v>
      </c>
      <c r="J2019" s="79">
        <f t="shared" si="158"/>
        <v>0</v>
      </c>
      <c r="K2019" s="79">
        <f t="shared" si="159"/>
        <v>6959.7</v>
      </c>
      <c r="L2019" s="121"/>
    </row>
    <row r="2020" spans="2:12" ht="33" x14ac:dyDescent="0.35">
      <c r="B2020" s="111">
        <f t="shared" si="156"/>
        <v>2010</v>
      </c>
      <c r="C2020" s="64" t="s">
        <v>355</v>
      </c>
      <c r="D2020" s="81" t="s">
        <v>26</v>
      </c>
      <c r="E2020" s="78">
        <f>E2009*1.1</f>
        <v>48.559170000000002</v>
      </c>
      <c r="F2020" s="65"/>
      <c r="G2020" s="65">
        <v>439</v>
      </c>
      <c r="H2020" s="65">
        <f t="shared" si="160"/>
        <v>439</v>
      </c>
      <c r="I2020" s="79">
        <f t="shared" si="157"/>
        <v>0</v>
      </c>
      <c r="J2020" s="79">
        <f t="shared" si="158"/>
        <v>21317.48</v>
      </c>
      <c r="K2020" s="79">
        <f t="shared" si="159"/>
        <v>21317.48</v>
      </c>
      <c r="L2020" s="121"/>
    </row>
    <row r="2021" spans="2:12" ht="26.4" customHeight="1" x14ac:dyDescent="0.35">
      <c r="B2021" s="111">
        <f t="shared" si="156"/>
        <v>2011</v>
      </c>
      <c r="C2021" s="98" t="s">
        <v>289</v>
      </c>
      <c r="D2021" s="103" t="s">
        <v>32</v>
      </c>
      <c r="E2021" s="100">
        <v>1</v>
      </c>
      <c r="F2021" s="101"/>
      <c r="G2021" s="101"/>
      <c r="H2021" s="101">
        <f t="shared" si="160"/>
        <v>0</v>
      </c>
      <c r="I2021" s="101">
        <f t="shared" si="157"/>
        <v>0</v>
      </c>
      <c r="J2021" s="101">
        <f t="shared" si="158"/>
        <v>0</v>
      </c>
      <c r="K2021" s="101">
        <f t="shared" si="159"/>
        <v>0</v>
      </c>
      <c r="L2021" s="121"/>
    </row>
    <row r="2022" spans="2:12" ht="31" x14ac:dyDescent="0.35">
      <c r="B2022" s="111">
        <f t="shared" si="156"/>
        <v>2012</v>
      </c>
      <c r="C2022" s="64" t="s">
        <v>348</v>
      </c>
      <c r="D2022" s="81" t="s">
        <v>26</v>
      </c>
      <c r="E2022" s="78">
        <f>44.79*0.97</f>
        <v>43.446300000000001</v>
      </c>
      <c r="F2022" s="65"/>
      <c r="G2022" s="65">
        <v>300</v>
      </c>
      <c r="H2022" s="65">
        <f t="shared" si="160"/>
        <v>300</v>
      </c>
      <c r="I2022" s="79">
        <f t="shared" si="157"/>
        <v>0</v>
      </c>
      <c r="J2022" s="79">
        <f t="shared" si="158"/>
        <v>13033.89</v>
      </c>
      <c r="K2022" s="79">
        <f t="shared" si="159"/>
        <v>13033.89</v>
      </c>
      <c r="L2022" s="121"/>
    </row>
    <row r="2023" spans="2:12" x14ac:dyDescent="0.35">
      <c r="B2023" s="111">
        <f t="shared" si="156"/>
        <v>2013</v>
      </c>
      <c r="C2023" s="64" t="s">
        <v>19</v>
      </c>
      <c r="D2023" s="81" t="s">
        <v>26</v>
      </c>
      <c r="E2023" s="78">
        <f>E2022/9</f>
        <v>4.8273666666666664</v>
      </c>
      <c r="F2023" s="65"/>
      <c r="G2023" s="65">
        <v>1500</v>
      </c>
      <c r="H2023" s="65">
        <f t="shared" si="160"/>
        <v>1500</v>
      </c>
      <c r="I2023" s="79">
        <f t="shared" si="157"/>
        <v>0</v>
      </c>
      <c r="J2023" s="79">
        <f t="shared" si="158"/>
        <v>7241.05</v>
      </c>
      <c r="K2023" s="79">
        <f t="shared" si="159"/>
        <v>7241.05</v>
      </c>
      <c r="L2023" s="121"/>
    </row>
    <row r="2024" spans="2:12" x14ac:dyDescent="0.35">
      <c r="B2024" s="111">
        <f t="shared" si="156"/>
        <v>2014</v>
      </c>
      <c r="C2024" s="64" t="s">
        <v>67</v>
      </c>
      <c r="D2024" s="81" t="s">
        <v>25</v>
      </c>
      <c r="E2024" s="78">
        <f>(3.14*2.7^2)/4</f>
        <v>5.7226500000000007</v>
      </c>
      <c r="F2024" s="65"/>
      <c r="G2024" s="65"/>
      <c r="H2024" s="65">
        <f t="shared" si="160"/>
        <v>0</v>
      </c>
      <c r="I2024" s="79">
        <f t="shared" si="157"/>
        <v>0</v>
      </c>
      <c r="J2024" s="79">
        <f t="shared" si="158"/>
        <v>0</v>
      </c>
      <c r="K2024" s="79">
        <f t="shared" si="159"/>
        <v>0</v>
      </c>
      <c r="L2024" s="121"/>
    </row>
    <row r="2025" spans="2:12" x14ac:dyDescent="0.35">
      <c r="B2025" s="111">
        <f t="shared" si="156"/>
        <v>2015</v>
      </c>
      <c r="C2025" s="64" t="s">
        <v>68</v>
      </c>
      <c r="D2025" s="81" t="s">
        <v>26</v>
      </c>
      <c r="E2025" s="78">
        <f>(3.14*2.7^2)/4*0.1</f>
        <v>0.57226500000000013</v>
      </c>
      <c r="F2025" s="65"/>
      <c r="G2025" s="65">
        <v>5860</v>
      </c>
      <c r="H2025" s="65">
        <f t="shared" si="160"/>
        <v>5860</v>
      </c>
      <c r="I2025" s="79">
        <f t="shared" si="157"/>
        <v>0</v>
      </c>
      <c r="J2025" s="79">
        <f t="shared" si="158"/>
        <v>3353.47</v>
      </c>
      <c r="K2025" s="79">
        <f t="shared" si="159"/>
        <v>3353.47</v>
      </c>
      <c r="L2025" s="121"/>
    </row>
    <row r="2026" spans="2:12" x14ac:dyDescent="0.35">
      <c r="B2026" s="111">
        <f t="shared" si="156"/>
        <v>2016</v>
      </c>
      <c r="C2026" s="80" t="s">
        <v>159</v>
      </c>
      <c r="D2026" s="81" t="s">
        <v>26</v>
      </c>
      <c r="E2026" s="78">
        <f>E2025*1.02</f>
        <v>0.58371030000000013</v>
      </c>
      <c r="F2026" s="65">
        <v>6700</v>
      </c>
      <c r="G2026" s="65"/>
      <c r="H2026" s="65">
        <f t="shared" si="160"/>
        <v>6700</v>
      </c>
      <c r="I2026" s="79">
        <f t="shared" si="157"/>
        <v>3910.86</v>
      </c>
      <c r="J2026" s="79">
        <f t="shared" si="158"/>
        <v>0</v>
      </c>
      <c r="K2026" s="79">
        <f t="shared" si="159"/>
        <v>3910.86</v>
      </c>
      <c r="L2026" s="121"/>
    </row>
    <row r="2027" spans="2:12" x14ac:dyDescent="0.35">
      <c r="B2027" s="111">
        <f t="shared" si="156"/>
        <v>2017</v>
      </c>
      <c r="C2027" s="64" t="s">
        <v>151</v>
      </c>
      <c r="D2027" s="81" t="s">
        <v>25</v>
      </c>
      <c r="E2027" s="78">
        <f>(3.14*2.5^2)/4</f>
        <v>4.90625</v>
      </c>
      <c r="F2027" s="65">
        <v>68.5</v>
      </c>
      <c r="G2027" s="65">
        <v>150</v>
      </c>
      <c r="H2027" s="65">
        <f t="shared" si="160"/>
        <v>218.5</v>
      </c>
      <c r="I2027" s="79">
        <f t="shared" si="157"/>
        <v>336.08</v>
      </c>
      <c r="J2027" s="79">
        <f t="shared" si="158"/>
        <v>735.94</v>
      </c>
      <c r="K2027" s="79">
        <f t="shared" si="159"/>
        <v>1072.02</v>
      </c>
      <c r="L2027" s="121"/>
    </row>
    <row r="2028" spans="2:12" ht="31" x14ac:dyDescent="0.35">
      <c r="B2028" s="111">
        <f t="shared" si="156"/>
        <v>2018</v>
      </c>
      <c r="C2028" s="64" t="s">
        <v>152</v>
      </c>
      <c r="D2028" s="81" t="s">
        <v>25</v>
      </c>
      <c r="E2028" s="78">
        <f>E2027</f>
        <v>4.90625</v>
      </c>
      <c r="F2028" s="65">
        <v>927</v>
      </c>
      <c r="G2028" s="65">
        <v>400</v>
      </c>
      <c r="H2028" s="65">
        <f t="shared" si="160"/>
        <v>1327</v>
      </c>
      <c r="I2028" s="79">
        <f t="shared" si="157"/>
        <v>4548.09</v>
      </c>
      <c r="J2028" s="79">
        <f t="shared" si="158"/>
        <v>1962.5</v>
      </c>
      <c r="K2028" s="79">
        <f t="shared" si="159"/>
        <v>6510.59</v>
      </c>
      <c r="L2028" s="121"/>
    </row>
    <row r="2029" spans="2:12" ht="31" x14ac:dyDescent="0.35">
      <c r="B2029" s="111">
        <f t="shared" si="156"/>
        <v>2019</v>
      </c>
      <c r="C2029" s="64" t="s">
        <v>69</v>
      </c>
      <c r="D2029" s="81" t="s">
        <v>32</v>
      </c>
      <c r="E2029" s="78">
        <v>1</v>
      </c>
      <c r="F2029" s="65"/>
      <c r="G2029" s="65">
        <v>5662</v>
      </c>
      <c r="H2029" s="65">
        <f t="shared" si="160"/>
        <v>5662</v>
      </c>
      <c r="I2029" s="79">
        <f t="shared" si="157"/>
        <v>0</v>
      </c>
      <c r="J2029" s="79">
        <f t="shared" si="158"/>
        <v>5662</v>
      </c>
      <c r="K2029" s="79">
        <f t="shared" si="159"/>
        <v>5662</v>
      </c>
      <c r="L2029" s="121"/>
    </row>
    <row r="2030" spans="2:12" x14ac:dyDescent="0.35">
      <c r="B2030" s="111">
        <f t="shared" si="156"/>
        <v>2020</v>
      </c>
      <c r="C2030" s="82" t="s">
        <v>71</v>
      </c>
      <c r="D2030" s="81" t="s">
        <v>32</v>
      </c>
      <c r="E2030" s="78">
        <v>1</v>
      </c>
      <c r="F2030" s="65">
        <f>7000*1.2</f>
        <v>8400</v>
      </c>
      <c r="G2030" s="65"/>
      <c r="H2030" s="65">
        <f t="shared" si="160"/>
        <v>8400</v>
      </c>
      <c r="I2030" s="79">
        <f t="shared" si="157"/>
        <v>8400</v>
      </c>
      <c r="J2030" s="79">
        <f t="shared" si="158"/>
        <v>0</v>
      </c>
      <c r="K2030" s="79">
        <f t="shared" si="159"/>
        <v>8400</v>
      </c>
      <c r="L2030" s="121"/>
    </row>
    <row r="2031" spans="2:12" x14ac:dyDescent="0.35">
      <c r="B2031" s="111">
        <f t="shared" si="156"/>
        <v>2021</v>
      </c>
      <c r="C2031" s="82" t="s">
        <v>101</v>
      </c>
      <c r="D2031" s="81" t="s">
        <v>26</v>
      </c>
      <c r="E2031" s="78">
        <f>((3.14*2^2)/4*0.02)*1.02</f>
        <v>6.4056000000000016E-2</v>
      </c>
      <c r="F2031" s="65">
        <v>7300</v>
      </c>
      <c r="G2031" s="65"/>
      <c r="H2031" s="65">
        <f t="shared" si="160"/>
        <v>7300</v>
      </c>
      <c r="I2031" s="79">
        <f t="shared" si="157"/>
        <v>467.61</v>
      </c>
      <c r="J2031" s="79">
        <f t="shared" si="158"/>
        <v>0</v>
      </c>
      <c r="K2031" s="79">
        <f t="shared" si="159"/>
        <v>467.61</v>
      </c>
      <c r="L2031" s="121"/>
    </row>
    <row r="2032" spans="2:12" ht="31" x14ac:dyDescent="0.35">
      <c r="B2032" s="111">
        <f t="shared" si="156"/>
        <v>2022</v>
      </c>
      <c r="C2032" s="64" t="s">
        <v>179</v>
      </c>
      <c r="D2032" s="81" t="s">
        <v>26</v>
      </c>
      <c r="E2032" s="78">
        <v>1.2</v>
      </c>
      <c r="F2032" s="65"/>
      <c r="G2032" s="65">
        <v>5860</v>
      </c>
      <c r="H2032" s="65">
        <f t="shared" si="160"/>
        <v>5860</v>
      </c>
      <c r="I2032" s="79">
        <f t="shared" si="157"/>
        <v>0</v>
      </c>
      <c r="J2032" s="79">
        <f t="shared" si="158"/>
        <v>7032</v>
      </c>
      <c r="K2032" s="79">
        <f t="shared" si="159"/>
        <v>7032</v>
      </c>
      <c r="L2032" s="121"/>
    </row>
    <row r="2033" spans="2:12" x14ac:dyDescent="0.35">
      <c r="B2033" s="111">
        <f t="shared" si="156"/>
        <v>2023</v>
      </c>
      <c r="C2033" s="82" t="s">
        <v>75</v>
      </c>
      <c r="D2033" s="81" t="s">
        <v>26</v>
      </c>
      <c r="E2033" s="78">
        <f>E2032*1.02</f>
        <v>1.224</v>
      </c>
      <c r="F2033" s="65">
        <v>7100</v>
      </c>
      <c r="G2033" s="65"/>
      <c r="H2033" s="65">
        <f t="shared" si="160"/>
        <v>7100</v>
      </c>
      <c r="I2033" s="79">
        <f t="shared" si="157"/>
        <v>8690.4</v>
      </c>
      <c r="J2033" s="79">
        <f t="shared" si="158"/>
        <v>0</v>
      </c>
      <c r="K2033" s="79">
        <f t="shared" si="159"/>
        <v>8690.4</v>
      </c>
      <c r="L2033" s="121"/>
    </row>
    <row r="2034" spans="2:12" ht="31" x14ac:dyDescent="0.35">
      <c r="B2034" s="111">
        <f t="shared" si="156"/>
        <v>2024</v>
      </c>
      <c r="C2034" s="64" t="s">
        <v>78</v>
      </c>
      <c r="D2034" s="81" t="s">
        <v>32</v>
      </c>
      <c r="E2034" s="78">
        <v>6</v>
      </c>
      <c r="F2034" s="65"/>
      <c r="G2034" s="65">
        <v>5662</v>
      </c>
      <c r="H2034" s="65">
        <f t="shared" si="160"/>
        <v>5662</v>
      </c>
      <c r="I2034" s="79">
        <f t="shared" si="157"/>
        <v>0</v>
      </c>
      <c r="J2034" s="79">
        <f t="shared" si="158"/>
        <v>33972</v>
      </c>
      <c r="K2034" s="79">
        <f t="shared" si="159"/>
        <v>33972</v>
      </c>
      <c r="L2034" s="121"/>
    </row>
    <row r="2035" spans="2:12" x14ac:dyDescent="0.35">
      <c r="B2035" s="111">
        <f t="shared" si="156"/>
        <v>2025</v>
      </c>
      <c r="C2035" s="82" t="s">
        <v>76</v>
      </c>
      <c r="D2035" s="81" t="s">
        <v>32</v>
      </c>
      <c r="E2035" s="78">
        <v>2</v>
      </c>
      <c r="F2035" s="65">
        <f>7000*1.2</f>
        <v>8400</v>
      </c>
      <c r="G2035" s="65"/>
      <c r="H2035" s="65">
        <f t="shared" si="160"/>
        <v>8400</v>
      </c>
      <c r="I2035" s="79">
        <f t="shared" si="157"/>
        <v>16800</v>
      </c>
      <c r="J2035" s="79">
        <f t="shared" si="158"/>
        <v>0</v>
      </c>
      <c r="K2035" s="79">
        <f t="shared" si="159"/>
        <v>16800</v>
      </c>
      <c r="L2035" s="121"/>
    </row>
    <row r="2036" spans="2:12" x14ac:dyDescent="0.35">
      <c r="B2036" s="111">
        <f t="shared" si="156"/>
        <v>2026</v>
      </c>
      <c r="C2036" s="82" t="s">
        <v>77</v>
      </c>
      <c r="D2036" s="81" t="s">
        <v>32</v>
      </c>
      <c r="E2036" s="78">
        <v>2</v>
      </c>
      <c r="F2036" s="65">
        <f>5500*1.2</f>
        <v>6600</v>
      </c>
      <c r="G2036" s="65"/>
      <c r="H2036" s="65">
        <f t="shared" si="160"/>
        <v>6600</v>
      </c>
      <c r="I2036" s="79">
        <f t="shared" si="157"/>
        <v>13200</v>
      </c>
      <c r="J2036" s="79">
        <f t="shared" si="158"/>
        <v>0</v>
      </c>
      <c r="K2036" s="79">
        <f t="shared" si="159"/>
        <v>13200</v>
      </c>
      <c r="L2036" s="121"/>
    </row>
    <row r="2037" spans="2:12" x14ac:dyDescent="0.35">
      <c r="B2037" s="111">
        <f t="shared" si="156"/>
        <v>2027</v>
      </c>
      <c r="C2037" s="82" t="s">
        <v>293</v>
      </c>
      <c r="D2037" s="81" t="s">
        <v>32</v>
      </c>
      <c r="E2037" s="78">
        <v>1</v>
      </c>
      <c r="F2037" s="65">
        <f>900*1.2</f>
        <v>1080</v>
      </c>
      <c r="G2037" s="65"/>
      <c r="H2037" s="65">
        <f t="shared" si="160"/>
        <v>1080</v>
      </c>
      <c r="I2037" s="79">
        <f t="shared" si="157"/>
        <v>1080</v>
      </c>
      <c r="J2037" s="79">
        <f t="shared" si="158"/>
        <v>0</v>
      </c>
      <c r="K2037" s="79">
        <f t="shared" si="159"/>
        <v>1080</v>
      </c>
      <c r="L2037" s="121"/>
    </row>
    <row r="2038" spans="2:12" x14ac:dyDescent="0.35">
      <c r="B2038" s="111">
        <f t="shared" si="156"/>
        <v>2028</v>
      </c>
      <c r="C2038" s="82" t="s">
        <v>306</v>
      </c>
      <c r="D2038" s="81" t="s">
        <v>32</v>
      </c>
      <c r="E2038" s="78">
        <v>1</v>
      </c>
      <c r="F2038" s="65">
        <v>840</v>
      </c>
      <c r="G2038" s="65"/>
      <c r="H2038" s="65">
        <f t="shared" si="160"/>
        <v>840</v>
      </c>
      <c r="I2038" s="79">
        <f t="shared" si="157"/>
        <v>840</v>
      </c>
      <c r="J2038" s="79">
        <f t="shared" si="158"/>
        <v>0</v>
      </c>
      <c r="K2038" s="79">
        <f t="shared" si="159"/>
        <v>840</v>
      </c>
      <c r="L2038" s="121"/>
    </row>
    <row r="2039" spans="2:12" ht="31" x14ac:dyDescent="0.35">
      <c r="B2039" s="111">
        <f t="shared" si="156"/>
        <v>2029</v>
      </c>
      <c r="C2039" s="64" t="s">
        <v>85</v>
      </c>
      <c r="D2039" s="81" t="s">
        <v>32</v>
      </c>
      <c r="E2039" s="78">
        <v>1</v>
      </c>
      <c r="F2039" s="65"/>
      <c r="G2039" s="65">
        <v>2500</v>
      </c>
      <c r="H2039" s="65">
        <f t="shared" si="160"/>
        <v>2500</v>
      </c>
      <c r="I2039" s="79">
        <f t="shared" si="157"/>
        <v>0</v>
      </c>
      <c r="J2039" s="79">
        <f t="shared" si="158"/>
        <v>2500</v>
      </c>
      <c r="K2039" s="79">
        <f t="shared" si="159"/>
        <v>2500</v>
      </c>
      <c r="L2039" s="121"/>
    </row>
    <row r="2040" spans="2:12" x14ac:dyDescent="0.35">
      <c r="B2040" s="111">
        <f t="shared" si="156"/>
        <v>2030</v>
      </c>
      <c r="C2040" s="82" t="s">
        <v>79</v>
      </c>
      <c r="D2040" s="81" t="s">
        <v>32</v>
      </c>
      <c r="E2040" s="78">
        <v>1</v>
      </c>
      <c r="F2040" s="65">
        <f>6500*1.2</f>
        <v>7800</v>
      </c>
      <c r="G2040" s="65"/>
      <c r="H2040" s="65">
        <f t="shared" si="160"/>
        <v>7800</v>
      </c>
      <c r="I2040" s="79">
        <f t="shared" si="157"/>
        <v>7800</v>
      </c>
      <c r="J2040" s="79">
        <f t="shared" si="158"/>
        <v>0</v>
      </c>
      <c r="K2040" s="79">
        <f t="shared" si="159"/>
        <v>7800</v>
      </c>
      <c r="L2040" s="121"/>
    </row>
    <row r="2041" spans="2:12" ht="31" x14ac:dyDescent="0.35">
      <c r="B2041" s="111">
        <f t="shared" si="156"/>
        <v>2031</v>
      </c>
      <c r="C2041" s="64" t="s">
        <v>316</v>
      </c>
      <c r="D2041" s="81" t="s">
        <v>32</v>
      </c>
      <c r="E2041" s="78">
        <v>1</v>
      </c>
      <c r="F2041" s="65"/>
      <c r="G2041" s="65"/>
      <c r="H2041" s="65">
        <f t="shared" si="160"/>
        <v>0</v>
      </c>
      <c r="I2041" s="79">
        <f t="shared" si="157"/>
        <v>0</v>
      </c>
      <c r="J2041" s="79">
        <f t="shared" si="158"/>
        <v>0</v>
      </c>
      <c r="K2041" s="79">
        <f t="shared" si="159"/>
        <v>0</v>
      </c>
      <c r="L2041" s="121"/>
    </row>
    <row r="2042" spans="2:12" x14ac:dyDescent="0.35">
      <c r="B2042" s="111">
        <f t="shared" si="156"/>
        <v>2032</v>
      </c>
      <c r="C2042" s="88" t="s">
        <v>84</v>
      </c>
      <c r="D2042" s="81" t="s">
        <v>32</v>
      </c>
      <c r="E2042" s="78">
        <v>1</v>
      </c>
      <c r="F2042" s="65">
        <v>1300</v>
      </c>
      <c r="G2042" s="65">
        <v>990</v>
      </c>
      <c r="H2042" s="65">
        <f t="shared" si="160"/>
        <v>2290</v>
      </c>
      <c r="I2042" s="79">
        <f t="shared" si="157"/>
        <v>1300</v>
      </c>
      <c r="J2042" s="79">
        <f t="shared" si="158"/>
        <v>990</v>
      </c>
      <c r="K2042" s="79">
        <f t="shared" si="159"/>
        <v>2290</v>
      </c>
      <c r="L2042" s="121"/>
    </row>
    <row r="2043" spans="2:12" x14ac:dyDescent="0.35">
      <c r="B2043" s="111">
        <f t="shared" si="156"/>
        <v>2033</v>
      </c>
      <c r="C2043" s="80" t="s">
        <v>301</v>
      </c>
      <c r="D2043" s="81" t="s">
        <v>32</v>
      </c>
      <c r="E2043" s="78">
        <v>1</v>
      </c>
      <c r="F2043" s="65">
        <v>6000</v>
      </c>
      <c r="G2043" s="65">
        <v>1464.09</v>
      </c>
      <c r="H2043" s="65">
        <f t="shared" si="160"/>
        <v>7464.09</v>
      </c>
      <c r="I2043" s="79">
        <f t="shared" si="157"/>
        <v>6000</v>
      </c>
      <c r="J2043" s="79">
        <f t="shared" si="158"/>
        <v>1464.09</v>
      </c>
      <c r="K2043" s="79">
        <f t="shared" si="159"/>
        <v>7464.09</v>
      </c>
      <c r="L2043" s="121"/>
    </row>
    <row r="2044" spans="2:12" ht="31" x14ac:dyDescent="0.35">
      <c r="B2044" s="111">
        <f t="shared" si="156"/>
        <v>2034</v>
      </c>
      <c r="C2044" s="64" t="s">
        <v>156</v>
      </c>
      <c r="D2044" s="81" t="s">
        <v>25</v>
      </c>
      <c r="E2044" s="78">
        <f>(3.14*2.2)*4.08+3.8</f>
        <v>31.984640000000006</v>
      </c>
      <c r="F2044" s="65">
        <v>68.5</v>
      </c>
      <c r="G2044" s="65">
        <v>150</v>
      </c>
      <c r="H2044" s="65">
        <f t="shared" si="160"/>
        <v>218.5</v>
      </c>
      <c r="I2044" s="79">
        <f t="shared" si="157"/>
        <v>2190.9499999999998</v>
      </c>
      <c r="J2044" s="79">
        <f t="shared" si="158"/>
        <v>4797.7</v>
      </c>
      <c r="K2044" s="79">
        <f t="shared" si="159"/>
        <v>6988.65</v>
      </c>
      <c r="L2044" s="121"/>
    </row>
    <row r="2045" spans="2:12" ht="46.5" x14ac:dyDescent="0.35">
      <c r="B2045" s="111">
        <f t="shared" si="156"/>
        <v>2035</v>
      </c>
      <c r="C2045" s="64" t="s">
        <v>157</v>
      </c>
      <c r="D2045" s="81" t="s">
        <v>25</v>
      </c>
      <c r="E2045" s="78">
        <f>E2044</f>
        <v>31.984640000000006</v>
      </c>
      <c r="F2045" s="65">
        <v>927</v>
      </c>
      <c r="G2045" s="65">
        <v>400</v>
      </c>
      <c r="H2045" s="65">
        <f t="shared" si="160"/>
        <v>1327</v>
      </c>
      <c r="I2045" s="79">
        <f t="shared" si="157"/>
        <v>29649.759999999998</v>
      </c>
      <c r="J2045" s="79">
        <f t="shared" si="158"/>
        <v>12793.86</v>
      </c>
      <c r="K2045" s="79">
        <f t="shared" si="159"/>
        <v>42443.619999999995</v>
      </c>
      <c r="L2045" s="121"/>
    </row>
    <row r="2046" spans="2:12" x14ac:dyDescent="0.35">
      <c r="B2046" s="111">
        <f t="shared" si="156"/>
        <v>2036</v>
      </c>
      <c r="C2046" s="64" t="s">
        <v>102</v>
      </c>
      <c r="D2046" s="81" t="s">
        <v>32</v>
      </c>
      <c r="E2046" s="78">
        <v>1</v>
      </c>
      <c r="F2046" s="68"/>
      <c r="G2046" s="65"/>
      <c r="H2046" s="65">
        <f t="shared" si="160"/>
        <v>0</v>
      </c>
      <c r="I2046" s="79">
        <f t="shared" si="157"/>
        <v>0</v>
      </c>
      <c r="J2046" s="79">
        <f t="shared" si="158"/>
        <v>0</v>
      </c>
      <c r="K2046" s="79">
        <f t="shared" si="159"/>
        <v>0</v>
      </c>
      <c r="L2046" s="121"/>
    </row>
    <row r="2047" spans="2:12" x14ac:dyDescent="0.35">
      <c r="B2047" s="111">
        <f t="shared" si="156"/>
        <v>2037</v>
      </c>
      <c r="C2047" s="82" t="s">
        <v>104</v>
      </c>
      <c r="D2047" s="81" t="s">
        <v>31</v>
      </c>
      <c r="E2047" s="78">
        <v>30</v>
      </c>
      <c r="F2047" s="68">
        <v>71</v>
      </c>
      <c r="G2047" s="65">
        <v>97.61</v>
      </c>
      <c r="H2047" s="65">
        <f t="shared" si="160"/>
        <v>168.61</v>
      </c>
      <c r="I2047" s="79">
        <f t="shared" si="157"/>
        <v>2130</v>
      </c>
      <c r="J2047" s="79">
        <f t="shared" si="158"/>
        <v>2928.3</v>
      </c>
      <c r="K2047" s="79">
        <f t="shared" si="159"/>
        <v>5058.3</v>
      </c>
      <c r="L2047" s="121"/>
    </row>
    <row r="2048" spans="2:12" x14ac:dyDescent="0.35">
      <c r="B2048" s="111">
        <f t="shared" si="156"/>
        <v>2038</v>
      </c>
      <c r="C2048" s="64" t="s">
        <v>93</v>
      </c>
      <c r="D2048" s="81" t="s">
        <v>32</v>
      </c>
      <c r="E2048" s="78">
        <v>3</v>
      </c>
      <c r="F2048" s="68"/>
      <c r="G2048" s="65"/>
      <c r="H2048" s="65">
        <f t="shared" si="160"/>
        <v>0</v>
      </c>
      <c r="I2048" s="79">
        <f t="shared" si="157"/>
        <v>0</v>
      </c>
      <c r="J2048" s="79">
        <f t="shared" si="158"/>
        <v>0</v>
      </c>
      <c r="K2048" s="79">
        <f t="shared" si="159"/>
        <v>0</v>
      </c>
      <c r="L2048" s="121"/>
    </row>
    <row r="2049" spans="2:12" x14ac:dyDescent="0.35">
      <c r="B2049" s="111">
        <f t="shared" si="156"/>
        <v>2039</v>
      </c>
      <c r="C2049" s="82" t="s">
        <v>94</v>
      </c>
      <c r="D2049" s="81" t="s">
        <v>31</v>
      </c>
      <c r="E2049" s="78">
        <f>0.82*E2048</f>
        <v>2.46</v>
      </c>
      <c r="F2049" s="68">
        <v>71</v>
      </c>
      <c r="G2049" s="65">
        <v>97.61</v>
      </c>
      <c r="H2049" s="65">
        <f t="shared" si="160"/>
        <v>168.61</v>
      </c>
      <c r="I2049" s="79">
        <f t="shared" si="157"/>
        <v>174.66</v>
      </c>
      <c r="J2049" s="79">
        <f t="shared" si="158"/>
        <v>240.12</v>
      </c>
      <c r="K2049" s="79">
        <f t="shared" si="159"/>
        <v>414.78</v>
      </c>
      <c r="L2049" s="121"/>
    </row>
    <row r="2050" spans="2:12" ht="31" x14ac:dyDescent="0.35">
      <c r="B2050" s="111">
        <f t="shared" si="156"/>
        <v>2040</v>
      </c>
      <c r="C2050" s="64" t="s">
        <v>304</v>
      </c>
      <c r="D2050" s="81" t="s">
        <v>32</v>
      </c>
      <c r="E2050" s="78">
        <v>3</v>
      </c>
      <c r="F2050" s="68"/>
      <c r="G2050" s="65">
        <v>1464</v>
      </c>
      <c r="H2050" s="65">
        <f t="shared" si="160"/>
        <v>1464</v>
      </c>
      <c r="I2050" s="79">
        <f t="shared" si="157"/>
        <v>0</v>
      </c>
      <c r="J2050" s="79">
        <f t="shared" si="158"/>
        <v>4392</v>
      </c>
      <c r="K2050" s="79">
        <f t="shared" si="159"/>
        <v>4392</v>
      </c>
      <c r="L2050" s="121"/>
    </row>
    <row r="2051" spans="2:12" x14ac:dyDescent="0.35">
      <c r="B2051" s="111">
        <f t="shared" si="156"/>
        <v>2041</v>
      </c>
      <c r="C2051" s="64" t="s">
        <v>331</v>
      </c>
      <c r="D2051" s="81"/>
      <c r="E2051" s="78"/>
      <c r="F2051" s="65"/>
      <c r="G2051" s="65"/>
      <c r="H2051" s="65">
        <f t="shared" si="160"/>
        <v>0</v>
      </c>
      <c r="I2051" s="79">
        <f t="shared" si="157"/>
        <v>0</v>
      </c>
      <c r="J2051" s="79">
        <f t="shared" si="158"/>
        <v>0</v>
      </c>
      <c r="K2051" s="79">
        <f t="shared" si="159"/>
        <v>0</v>
      </c>
      <c r="L2051" s="121">
        <v>1</v>
      </c>
    </row>
    <row r="2052" spans="2:12" ht="31" x14ac:dyDescent="0.35">
      <c r="B2052" s="111">
        <f t="shared" si="156"/>
        <v>2042</v>
      </c>
      <c r="C2052" s="80" t="s">
        <v>309</v>
      </c>
      <c r="D2052" s="81" t="s">
        <v>32</v>
      </c>
      <c r="E2052" s="78">
        <v>1</v>
      </c>
      <c r="F2052" s="65">
        <v>2263</v>
      </c>
      <c r="G2052" s="65">
        <v>1700</v>
      </c>
      <c r="H2052" s="65">
        <f t="shared" si="160"/>
        <v>3963</v>
      </c>
      <c r="I2052" s="79">
        <f t="shared" si="157"/>
        <v>2263</v>
      </c>
      <c r="J2052" s="79">
        <f t="shared" si="158"/>
        <v>1700</v>
      </c>
      <c r="K2052" s="79">
        <f t="shared" si="159"/>
        <v>3963</v>
      </c>
      <c r="L2052" s="121"/>
    </row>
    <row r="2053" spans="2:12" ht="31" x14ac:dyDescent="0.35">
      <c r="B2053" s="111">
        <f t="shared" si="156"/>
        <v>2043</v>
      </c>
      <c r="C2053" s="80" t="s">
        <v>310</v>
      </c>
      <c r="D2053" s="81" t="s">
        <v>32</v>
      </c>
      <c r="E2053" s="78">
        <v>1</v>
      </c>
      <c r="F2053" s="65">
        <v>1303</v>
      </c>
      <c r="G2053" s="65">
        <v>1700</v>
      </c>
      <c r="H2053" s="65">
        <f t="shared" si="160"/>
        <v>3003</v>
      </c>
      <c r="I2053" s="79">
        <f t="shared" si="157"/>
        <v>1303</v>
      </c>
      <c r="J2053" s="79">
        <f t="shared" si="158"/>
        <v>1700</v>
      </c>
      <c r="K2053" s="79">
        <f t="shared" si="159"/>
        <v>3003</v>
      </c>
      <c r="L2053" s="121"/>
    </row>
    <row r="2054" spans="2:12" ht="31" x14ac:dyDescent="0.35">
      <c r="B2054" s="111">
        <f t="shared" si="156"/>
        <v>2044</v>
      </c>
      <c r="C2054" s="80" t="s">
        <v>63</v>
      </c>
      <c r="D2054" s="81" t="s">
        <v>27</v>
      </c>
      <c r="E2054" s="78">
        <f>0.32*1.1</f>
        <v>0.35200000000000004</v>
      </c>
      <c r="F2054" s="65">
        <v>855</v>
      </c>
      <c r="G2054" s="65">
        <v>1700</v>
      </c>
      <c r="H2054" s="65">
        <f t="shared" si="160"/>
        <v>2555</v>
      </c>
      <c r="I2054" s="79">
        <f t="shared" si="157"/>
        <v>300.95999999999998</v>
      </c>
      <c r="J2054" s="79">
        <f t="shared" si="158"/>
        <v>598.4</v>
      </c>
      <c r="K2054" s="79">
        <f t="shared" si="159"/>
        <v>899.3599999999999</v>
      </c>
      <c r="L2054" s="121"/>
    </row>
    <row r="2055" spans="2:12" ht="33" x14ac:dyDescent="0.35">
      <c r="B2055" s="111">
        <f t="shared" si="156"/>
        <v>2045</v>
      </c>
      <c r="C2055" s="64" t="s">
        <v>362</v>
      </c>
      <c r="D2055" s="81" t="s">
        <v>26</v>
      </c>
      <c r="E2055" s="78">
        <f>53.23-15.5</f>
        <v>37.729999999999997</v>
      </c>
      <c r="F2055" s="68"/>
      <c r="G2055" s="65">
        <v>439</v>
      </c>
      <c r="H2055" s="65">
        <f t="shared" si="160"/>
        <v>439</v>
      </c>
      <c r="I2055" s="79">
        <f t="shared" si="157"/>
        <v>0</v>
      </c>
      <c r="J2055" s="79">
        <f t="shared" si="158"/>
        <v>16563.47</v>
      </c>
      <c r="K2055" s="79">
        <f t="shared" si="159"/>
        <v>16563.47</v>
      </c>
      <c r="L2055" s="121"/>
    </row>
    <row r="2056" spans="2:12" ht="30" x14ac:dyDescent="0.35">
      <c r="B2056" s="111">
        <f t="shared" si="156"/>
        <v>2046</v>
      </c>
      <c r="C2056" s="98" t="s">
        <v>290</v>
      </c>
      <c r="D2056" s="99" t="s">
        <v>27</v>
      </c>
      <c r="E2056" s="100">
        <v>10.199999999999999</v>
      </c>
      <c r="F2056" s="101"/>
      <c r="G2056" s="101"/>
      <c r="H2056" s="101">
        <f t="shared" si="160"/>
        <v>0</v>
      </c>
      <c r="I2056" s="101">
        <f t="shared" si="157"/>
        <v>0</v>
      </c>
      <c r="J2056" s="101">
        <f t="shared" si="158"/>
        <v>0</v>
      </c>
      <c r="K2056" s="101">
        <f t="shared" si="159"/>
        <v>0</v>
      </c>
      <c r="L2056" s="121"/>
    </row>
    <row r="2057" spans="2:12" ht="31" x14ac:dyDescent="0.35">
      <c r="B2057" s="111">
        <f t="shared" si="156"/>
        <v>2047</v>
      </c>
      <c r="C2057" s="64" t="s">
        <v>348</v>
      </c>
      <c r="D2057" s="77" t="s">
        <v>26</v>
      </c>
      <c r="E2057" s="78">
        <f>0.97*68.97</f>
        <v>66.900899999999993</v>
      </c>
      <c r="F2057" s="65"/>
      <c r="G2057" s="65">
        <v>300</v>
      </c>
      <c r="H2057" s="65">
        <f t="shared" si="160"/>
        <v>300</v>
      </c>
      <c r="I2057" s="79">
        <f t="shared" si="157"/>
        <v>0</v>
      </c>
      <c r="J2057" s="79">
        <f t="shared" si="158"/>
        <v>20070.27</v>
      </c>
      <c r="K2057" s="79">
        <f t="shared" si="159"/>
        <v>20070.27</v>
      </c>
      <c r="L2057" s="121"/>
    </row>
    <row r="2058" spans="2:12" x14ac:dyDescent="0.35">
      <c r="B2058" s="111">
        <f t="shared" si="156"/>
        <v>2048</v>
      </c>
      <c r="C2058" s="64" t="s">
        <v>19</v>
      </c>
      <c r="D2058" s="77" t="s">
        <v>26</v>
      </c>
      <c r="E2058" s="78">
        <f>E2057/97*3</f>
        <v>2.0690999999999997</v>
      </c>
      <c r="F2058" s="65"/>
      <c r="G2058" s="65">
        <v>1500</v>
      </c>
      <c r="H2058" s="65">
        <f t="shared" si="160"/>
        <v>1500</v>
      </c>
      <c r="I2058" s="79">
        <f t="shared" si="157"/>
        <v>0</v>
      </c>
      <c r="J2058" s="79">
        <f t="shared" si="158"/>
        <v>3103.65</v>
      </c>
      <c r="K2058" s="79">
        <f t="shared" si="159"/>
        <v>3103.65</v>
      </c>
      <c r="L2058" s="121"/>
    </row>
    <row r="2059" spans="2:12" x14ac:dyDescent="0.35">
      <c r="B2059" s="111">
        <f t="shared" si="156"/>
        <v>2049</v>
      </c>
      <c r="C2059" s="64" t="s">
        <v>184</v>
      </c>
      <c r="D2059" s="77" t="s">
        <v>25</v>
      </c>
      <c r="E2059" s="78">
        <f>E2056*0.75</f>
        <v>7.6499999999999995</v>
      </c>
      <c r="F2059" s="65"/>
      <c r="G2059" s="65"/>
      <c r="H2059" s="65">
        <f t="shared" si="160"/>
        <v>0</v>
      </c>
      <c r="I2059" s="79">
        <f t="shared" si="157"/>
        <v>0</v>
      </c>
      <c r="J2059" s="79">
        <f t="shared" si="158"/>
        <v>0</v>
      </c>
      <c r="K2059" s="79">
        <f t="shared" si="159"/>
        <v>0</v>
      </c>
      <c r="L2059" s="121"/>
    </row>
    <row r="2060" spans="2:12" ht="31" x14ac:dyDescent="0.35">
      <c r="B2060" s="111">
        <f t="shared" si="156"/>
        <v>2050</v>
      </c>
      <c r="C2060" s="64" t="s">
        <v>194</v>
      </c>
      <c r="D2060" s="77" t="s">
        <v>25</v>
      </c>
      <c r="E2060" s="78">
        <f>E2056*0.48</f>
        <v>4.8959999999999999</v>
      </c>
      <c r="F2060" s="65">
        <f>1973*0.15</f>
        <v>295.95</v>
      </c>
      <c r="G2060" s="65">
        <f>1500*0.15</f>
        <v>225</v>
      </c>
      <c r="H2060" s="65">
        <f t="shared" si="160"/>
        <v>520.95000000000005</v>
      </c>
      <c r="I2060" s="79">
        <f t="shared" si="157"/>
        <v>1448.97</v>
      </c>
      <c r="J2060" s="79">
        <f t="shared" si="158"/>
        <v>1101.5999999999999</v>
      </c>
      <c r="K2060" s="79">
        <f t="shared" si="159"/>
        <v>2550.5699999999997</v>
      </c>
      <c r="L2060" s="121"/>
    </row>
    <row r="2061" spans="2:12" x14ac:dyDescent="0.35">
      <c r="B2061" s="111">
        <f t="shared" ref="B2061:B2111" si="161">B2060+1</f>
        <v>2051</v>
      </c>
      <c r="C2061" s="64" t="s">
        <v>20</v>
      </c>
      <c r="D2061" s="77" t="s">
        <v>26</v>
      </c>
      <c r="E2061" s="78">
        <f>0.34*E2056*0.1</f>
        <v>0.3468</v>
      </c>
      <c r="F2061" s="65"/>
      <c r="G2061" s="65">
        <v>5860</v>
      </c>
      <c r="H2061" s="65">
        <f t="shared" si="160"/>
        <v>5860</v>
      </c>
      <c r="I2061" s="79">
        <f t="shared" ref="I2061:I2111" si="162">ROUND(F2061*E2061,2)</f>
        <v>0</v>
      </c>
      <c r="J2061" s="79">
        <f t="shared" ref="J2061:J2111" si="163">ROUND(G2061*E2061,2)</f>
        <v>2032.25</v>
      </c>
      <c r="K2061" s="79">
        <f t="shared" ref="K2061:K2111" si="164">I2061+J2061</f>
        <v>2032.25</v>
      </c>
      <c r="L2061" s="121"/>
    </row>
    <row r="2062" spans="2:12" x14ac:dyDescent="0.35">
      <c r="B2062" s="111">
        <f t="shared" si="161"/>
        <v>2052</v>
      </c>
      <c r="C2062" s="80" t="s">
        <v>159</v>
      </c>
      <c r="D2062" s="77" t="s">
        <v>26</v>
      </c>
      <c r="E2062" s="78">
        <f>E2061*1.02</f>
        <v>0.35373599999999999</v>
      </c>
      <c r="F2062" s="65">
        <v>6700</v>
      </c>
      <c r="G2062" s="65"/>
      <c r="H2062" s="65">
        <f t="shared" si="160"/>
        <v>6700</v>
      </c>
      <c r="I2062" s="79">
        <f t="shared" si="162"/>
        <v>2370.0300000000002</v>
      </c>
      <c r="J2062" s="79">
        <f t="shared" si="163"/>
        <v>0</v>
      </c>
      <c r="K2062" s="79">
        <f t="shared" si="164"/>
        <v>2370.0300000000002</v>
      </c>
      <c r="L2062" s="121"/>
    </row>
    <row r="2063" spans="2:12" x14ac:dyDescent="0.35">
      <c r="B2063" s="111">
        <f t="shared" si="161"/>
        <v>2053</v>
      </c>
      <c r="C2063" s="64" t="s">
        <v>28</v>
      </c>
      <c r="D2063" s="77" t="s">
        <v>26</v>
      </c>
      <c r="E2063" s="78">
        <f>E2056*0.8/10</f>
        <v>0.81600000000000006</v>
      </c>
      <c r="F2063" s="65"/>
      <c r="G2063" s="65">
        <v>5860</v>
      </c>
      <c r="H2063" s="65">
        <f t="shared" ref="H2063:H2111" si="165">F2063+G2063</f>
        <v>5860</v>
      </c>
      <c r="I2063" s="79">
        <f t="shared" si="162"/>
        <v>0</v>
      </c>
      <c r="J2063" s="79">
        <f t="shared" si="163"/>
        <v>4781.76</v>
      </c>
      <c r="K2063" s="79">
        <f t="shared" si="164"/>
        <v>4781.76</v>
      </c>
      <c r="L2063" s="121"/>
    </row>
    <row r="2064" spans="2:12" x14ac:dyDescent="0.35">
      <c r="B2064" s="111">
        <f t="shared" si="161"/>
        <v>2054</v>
      </c>
      <c r="C2064" s="80" t="s">
        <v>29</v>
      </c>
      <c r="D2064" s="77" t="s">
        <v>26</v>
      </c>
      <c r="E2064" s="78">
        <f>E2063*1.02</f>
        <v>0.83232000000000006</v>
      </c>
      <c r="F2064" s="65">
        <v>7100</v>
      </c>
      <c r="G2064" s="65"/>
      <c r="H2064" s="65">
        <f t="shared" si="165"/>
        <v>7100</v>
      </c>
      <c r="I2064" s="79">
        <f t="shared" si="162"/>
        <v>5909.47</v>
      </c>
      <c r="J2064" s="79">
        <f t="shared" si="163"/>
        <v>0</v>
      </c>
      <c r="K2064" s="79">
        <f t="shared" si="164"/>
        <v>5909.47</v>
      </c>
      <c r="L2064" s="121"/>
    </row>
    <row r="2065" spans="2:12" x14ac:dyDescent="0.35">
      <c r="B2065" s="111">
        <f t="shared" si="161"/>
        <v>2055</v>
      </c>
      <c r="C2065" s="80" t="s">
        <v>30</v>
      </c>
      <c r="D2065" s="77" t="s">
        <v>31</v>
      </c>
      <c r="E2065" s="78">
        <f>E2056*1.22</f>
        <v>12.443999999999999</v>
      </c>
      <c r="F2065" s="65">
        <v>118.9</v>
      </c>
      <c r="G2065" s="65"/>
      <c r="H2065" s="65">
        <f t="shared" si="165"/>
        <v>118.9</v>
      </c>
      <c r="I2065" s="79">
        <f t="shared" si="162"/>
        <v>1479.59</v>
      </c>
      <c r="J2065" s="79">
        <f t="shared" si="163"/>
        <v>0</v>
      </c>
      <c r="K2065" s="79">
        <f t="shared" si="164"/>
        <v>1479.59</v>
      </c>
      <c r="L2065" s="121"/>
    </row>
    <row r="2066" spans="2:12" x14ac:dyDescent="0.35">
      <c r="B2066" s="111">
        <f t="shared" si="161"/>
        <v>2056</v>
      </c>
      <c r="C2066" s="64" t="s">
        <v>189</v>
      </c>
      <c r="D2066" s="77" t="s">
        <v>27</v>
      </c>
      <c r="E2066" s="78">
        <f>E2056</f>
        <v>10.199999999999999</v>
      </c>
      <c r="F2066" s="65"/>
      <c r="G2066" s="65">
        <v>2928</v>
      </c>
      <c r="H2066" s="65">
        <f t="shared" si="165"/>
        <v>2928</v>
      </c>
      <c r="I2066" s="79">
        <f t="shared" si="162"/>
        <v>0</v>
      </c>
      <c r="J2066" s="79">
        <f t="shared" si="163"/>
        <v>29865.599999999999</v>
      </c>
      <c r="K2066" s="79">
        <f t="shared" si="164"/>
        <v>29865.599999999999</v>
      </c>
      <c r="L2066" s="121"/>
    </row>
    <row r="2067" spans="2:12" ht="31" x14ac:dyDescent="0.35">
      <c r="B2067" s="111">
        <f t="shared" si="161"/>
        <v>2057</v>
      </c>
      <c r="C2067" s="80" t="s">
        <v>195</v>
      </c>
      <c r="D2067" s="77" t="s">
        <v>27</v>
      </c>
      <c r="E2067" s="78">
        <f>E2066*1.1</f>
        <v>11.22</v>
      </c>
      <c r="F2067" s="65">
        <v>855</v>
      </c>
      <c r="G2067" s="65"/>
      <c r="H2067" s="65">
        <f t="shared" si="165"/>
        <v>855</v>
      </c>
      <c r="I2067" s="79">
        <f t="shared" si="162"/>
        <v>9593.1</v>
      </c>
      <c r="J2067" s="79">
        <f t="shared" si="163"/>
        <v>0</v>
      </c>
      <c r="K2067" s="79">
        <f t="shared" si="164"/>
        <v>9593.1</v>
      </c>
      <c r="L2067" s="121"/>
    </row>
    <row r="2068" spans="2:12" ht="33" x14ac:dyDescent="0.35">
      <c r="B2068" s="111">
        <f t="shared" si="161"/>
        <v>2058</v>
      </c>
      <c r="C2068" s="64" t="s">
        <v>355</v>
      </c>
      <c r="D2068" s="81" t="s">
        <v>26</v>
      </c>
      <c r="E2068" s="78">
        <v>79.319999999999993</v>
      </c>
      <c r="F2068" s="65"/>
      <c r="G2068" s="65">
        <v>439</v>
      </c>
      <c r="H2068" s="65">
        <f t="shared" si="165"/>
        <v>439</v>
      </c>
      <c r="I2068" s="79">
        <f t="shared" si="162"/>
        <v>0</v>
      </c>
      <c r="J2068" s="79">
        <f t="shared" si="163"/>
        <v>34821.480000000003</v>
      </c>
      <c r="K2068" s="79">
        <f t="shared" si="164"/>
        <v>34821.480000000003</v>
      </c>
      <c r="L2068" s="121"/>
    </row>
    <row r="2069" spans="2:12" ht="30" customHeight="1" x14ac:dyDescent="0.35">
      <c r="B2069" s="111">
        <f t="shared" si="161"/>
        <v>2059</v>
      </c>
      <c r="C2069" s="98" t="s">
        <v>291</v>
      </c>
      <c r="D2069" s="103" t="s">
        <v>32</v>
      </c>
      <c r="E2069" s="100">
        <v>1</v>
      </c>
      <c r="F2069" s="101"/>
      <c r="G2069" s="101"/>
      <c r="H2069" s="101">
        <f t="shared" si="165"/>
        <v>0</v>
      </c>
      <c r="I2069" s="101">
        <f t="shared" si="162"/>
        <v>0</v>
      </c>
      <c r="J2069" s="101">
        <f t="shared" si="163"/>
        <v>0</v>
      </c>
      <c r="K2069" s="101">
        <f t="shared" si="164"/>
        <v>0</v>
      </c>
      <c r="L2069" s="121"/>
    </row>
    <row r="2070" spans="2:12" ht="31" x14ac:dyDescent="0.35">
      <c r="B2070" s="111">
        <f t="shared" si="161"/>
        <v>2060</v>
      </c>
      <c r="C2070" s="64" t="s">
        <v>348</v>
      </c>
      <c r="D2070" s="81" t="s">
        <v>26</v>
      </c>
      <c r="E2070" s="78">
        <f>44.4*0.97</f>
        <v>43.067999999999998</v>
      </c>
      <c r="F2070" s="65"/>
      <c r="G2070" s="65">
        <v>300</v>
      </c>
      <c r="H2070" s="65">
        <f t="shared" si="165"/>
        <v>300</v>
      </c>
      <c r="I2070" s="79">
        <f t="shared" si="162"/>
        <v>0</v>
      </c>
      <c r="J2070" s="79">
        <f t="shared" si="163"/>
        <v>12920.4</v>
      </c>
      <c r="K2070" s="79">
        <f t="shared" si="164"/>
        <v>12920.4</v>
      </c>
      <c r="L2070" s="121"/>
    </row>
    <row r="2071" spans="2:12" x14ac:dyDescent="0.35">
      <c r="B2071" s="111">
        <f t="shared" si="161"/>
        <v>2061</v>
      </c>
      <c r="C2071" s="64" t="s">
        <v>19</v>
      </c>
      <c r="D2071" s="81" t="s">
        <v>26</v>
      </c>
      <c r="E2071" s="78">
        <f>E2070/9</f>
        <v>4.785333333333333</v>
      </c>
      <c r="F2071" s="65"/>
      <c r="G2071" s="65">
        <v>1500</v>
      </c>
      <c r="H2071" s="65">
        <f t="shared" si="165"/>
        <v>1500</v>
      </c>
      <c r="I2071" s="79">
        <f t="shared" si="162"/>
        <v>0</v>
      </c>
      <c r="J2071" s="79">
        <f t="shared" si="163"/>
        <v>7178</v>
      </c>
      <c r="K2071" s="79">
        <f t="shared" si="164"/>
        <v>7178</v>
      </c>
      <c r="L2071" s="121"/>
    </row>
    <row r="2072" spans="2:12" x14ac:dyDescent="0.35">
      <c r="B2072" s="111">
        <f t="shared" si="161"/>
        <v>2062</v>
      </c>
      <c r="C2072" s="64" t="s">
        <v>67</v>
      </c>
      <c r="D2072" s="81" t="s">
        <v>25</v>
      </c>
      <c r="E2072" s="78">
        <f>(3.14*2.7^2)/4</f>
        <v>5.7226500000000007</v>
      </c>
      <c r="F2072" s="65"/>
      <c r="G2072" s="65"/>
      <c r="H2072" s="65">
        <f t="shared" si="165"/>
        <v>0</v>
      </c>
      <c r="I2072" s="79">
        <f t="shared" si="162"/>
        <v>0</v>
      </c>
      <c r="J2072" s="79">
        <f t="shared" si="163"/>
        <v>0</v>
      </c>
      <c r="K2072" s="79">
        <f t="shared" si="164"/>
        <v>0</v>
      </c>
      <c r="L2072" s="121"/>
    </row>
    <row r="2073" spans="2:12" x14ac:dyDescent="0.35">
      <c r="B2073" s="111">
        <f t="shared" si="161"/>
        <v>2063</v>
      </c>
      <c r="C2073" s="64" t="s">
        <v>68</v>
      </c>
      <c r="D2073" s="81" t="s">
        <v>26</v>
      </c>
      <c r="E2073" s="78">
        <f>(3.14*2.7^2)/4*0.1</f>
        <v>0.57226500000000013</v>
      </c>
      <c r="F2073" s="65"/>
      <c r="G2073" s="65">
        <v>5860</v>
      </c>
      <c r="H2073" s="65">
        <f t="shared" si="165"/>
        <v>5860</v>
      </c>
      <c r="I2073" s="79">
        <f t="shared" si="162"/>
        <v>0</v>
      </c>
      <c r="J2073" s="79">
        <f t="shared" si="163"/>
        <v>3353.47</v>
      </c>
      <c r="K2073" s="79">
        <f t="shared" si="164"/>
        <v>3353.47</v>
      </c>
      <c r="L2073" s="121"/>
    </row>
    <row r="2074" spans="2:12" x14ac:dyDescent="0.35">
      <c r="B2074" s="111">
        <f t="shared" si="161"/>
        <v>2064</v>
      </c>
      <c r="C2074" s="80" t="s">
        <v>159</v>
      </c>
      <c r="D2074" s="81" t="s">
        <v>26</v>
      </c>
      <c r="E2074" s="78">
        <f>E2073*1.02</f>
        <v>0.58371030000000013</v>
      </c>
      <c r="F2074" s="65">
        <v>6700</v>
      </c>
      <c r="G2074" s="65"/>
      <c r="H2074" s="65">
        <f t="shared" si="165"/>
        <v>6700</v>
      </c>
      <c r="I2074" s="79">
        <f t="shared" si="162"/>
        <v>3910.86</v>
      </c>
      <c r="J2074" s="79">
        <f t="shared" si="163"/>
        <v>0</v>
      </c>
      <c r="K2074" s="79">
        <f t="shared" si="164"/>
        <v>3910.86</v>
      </c>
      <c r="L2074" s="121"/>
    </row>
    <row r="2075" spans="2:12" x14ac:dyDescent="0.35">
      <c r="B2075" s="111">
        <f t="shared" si="161"/>
        <v>2065</v>
      </c>
      <c r="C2075" s="64" t="s">
        <v>151</v>
      </c>
      <c r="D2075" s="81" t="s">
        <v>25</v>
      </c>
      <c r="E2075" s="78">
        <f>(3.14*2.5^2)/4</f>
        <v>4.90625</v>
      </c>
      <c r="F2075" s="65">
        <v>68.5</v>
      </c>
      <c r="G2075" s="65">
        <v>150</v>
      </c>
      <c r="H2075" s="65">
        <f t="shared" si="165"/>
        <v>218.5</v>
      </c>
      <c r="I2075" s="79">
        <f t="shared" si="162"/>
        <v>336.08</v>
      </c>
      <c r="J2075" s="79">
        <f t="shared" si="163"/>
        <v>735.94</v>
      </c>
      <c r="K2075" s="79">
        <f t="shared" si="164"/>
        <v>1072.02</v>
      </c>
      <c r="L2075" s="121"/>
    </row>
    <row r="2076" spans="2:12" ht="31" x14ac:dyDescent="0.35">
      <c r="B2076" s="111">
        <f t="shared" si="161"/>
        <v>2066</v>
      </c>
      <c r="C2076" s="64" t="s">
        <v>152</v>
      </c>
      <c r="D2076" s="81" t="s">
        <v>25</v>
      </c>
      <c r="E2076" s="78">
        <f>E2075</f>
        <v>4.90625</v>
      </c>
      <c r="F2076" s="65">
        <v>927</v>
      </c>
      <c r="G2076" s="65">
        <v>400</v>
      </c>
      <c r="H2076" s="65">
        <f t="shared" si="165"/>
        <v>1327</v>
      </c>
      <c r="I2076" s="79">
        <f t="shared" si="162"/>
        <v>4548.09</v>
      </c>
      <c r="J2076" s="79">
        <f t="shared" si="163"/>
        <v>1962.5</v>
      </c>
      <c r="K2076" s="79">
        <f t="shared" si="164"/>
        <v>6510.59</v>
      </c>
      <c r="L2076" s="121"/>
    </row>
    <row r="2077" spans="2:12" ht="31" x14ac:dyDescent="0.35">
      <c r="B2077" s="111">
        <f t="shared" si="161"/>
        <v>2067</v>
      </c>
      <c r="C2077" s="64" t="s">
        <v>69</v>
      </c>
      <c r="D2077" s="81" t="s">
        <v>32</v>
      </c>
      <c r="E2077" s="78">
        <v>1</v>
      </c>
      <c r="F2077" s="65"/>
      <c r="G2077" s="65">
        <v>5662</v>
      </c>
      <c r="H2077" s="65">
        <f t="shared" si="165"/>
        <v>5662</v>
      </c>
      <c r="I2077" s="79">
        <f t="shared" si="162"/>
        <v>0</v>
      </c>
      <c r="J2077" s="79">
        <f t="shared" si="163"/>
        <v>5662</v>
      </c>
      <c r="K2077" s="79">
        <f t="shared" si="164"/>
        <v>5662</v>
      </c>
      <c r="L2077" s="121"/>
    </row>
    <row r="2078" spans="2:12" x14ac:dyDescent="0.35">
      <c r="B2078" s="111">
        <f t="shared" si="161"/>
        <v>2068</v>
      </c>
      <c r="C2078" s="82" t="s">
        <v>71</v>
      </c>
      <c r="D2078" s="81" t="s">
        <v>32</v>
      </c>
      <c r="E2078" s="78">
        <v>1</v>
      </c>
      <c r="F2078" s="65">
        <f>7000*1.2</f>
        <v>8400</v>
      </c>
      <c r="G2078" s="65"/>
      <c r="H2078" s="65">
        <f t="shared" si="165"/>
        <v>8400</v>
      </c>
      <c r="I2078" s="79">
        <f t="shared" si="162"/>
        <v>8400</v>
      </c>
      <c r="J2078" s="79">
        <f t="shared" si="163"/>
        <v>0</v>
      </c>
      <c r="K2078" s="79">
        <f t="shared" si="164"/>
        <v>8400</v>
      </c>
      <c r="L2078" s="121"/>
    </row>
    <row r="2079" spans="2:12" x14ac:dyDescent="0.35">
      <c r="B2079" s="111">
        <f t="shared" si="161"/>
        <v>2069</v>
      </c>
      <c r="C2079" s="82" t="s">
        <v>101</v>
      </c>
      <c r="D2079" s="81" t="s">
        <v>26</v>
      </c>
      <c r="E2079" s="78">
        <f>((3.14*2^2)/4*0.02)*1.02</f>
        <v>6.4056000000000016E-2</v>
      </c>
      <c r="F2079" s="65">
        <v>7300</v>
      </c>
      <c r="G2079" s="65"/>
      <c r="H2079" s="65">
        <f t="shared" si="165"/>
        <v>7300</v>
      </c>
      <c r="I2079" s="79">
        <f t="shared" si="162"/>
        <v>467.61</v>
      </c>
      <c r="J2079" s="79">
        <f t="shared" si="163"/>
        <v>0</v>
      </c>
      <c r="K2079" s="79">
        <f t="shared" si="164"/>
        <v>467.61</v>
      </c>
      <c r="L2079" s="121"/>
    </row>
    <row r="2080" spans="2:12" ht="31" x14ac:dyDescent="0.35">
      <c r="B2080" s="111">
        <f t="shared" si="161"/>
        <v>2070</v>
      </c>
      <c r="C2080" s="64" t="s">
        <v>179</v>
      </c>
      <c r="D2080" s="81" t="s">
        <v>26</v>
      </c>
      <c r="E2080" s="78">
        <v>1.2</v>
      </c>
      <c r="F2080" s="65"/>
      <c r="G2080" s="65">
        <v>5860</v>
      </c>
      <c r="H2080" s="65">
        <f t="shared" si="165"/>
        <v>5860</v>
      </c>
      <c r="I2080" s="79">
        <f t="shared" si="162"/>
        <v>0</v>
      </c>
      <c r="J2080" s="79">
        <f t="shared" si="163"/>
        <v>7032</v>
      </c>
      <c r="K2080" s="79">
        <f t="shared" si="164"/>
        <v>7032</v>
      </c>
      <c r="L2080" s="121"/>
    </row>
    <row r="2081" spans="2:12" x14ac:dyDescent="0.35">
      <c r="B2081" s="111">
        <f t="shared" si="161"/>
        <v>2071</v>
      </c>
      <c r="C2081" s="82" t="s">
        <v>75</v>
      </c>
      <c r="D2081" s="81" t="s">
        <v>26</v>
      </c>
      <c r="E2081" s="78">
        <f>E2080*1.02</f>
        <v>1.224</v>
      </c>
      <c r="F2081" s="65">
        <v>7100</v>
      </c>
      <c r="G2081" s="65"/>
      <c r="H2081" s="65">
        <f t="shared" si="165"/>
        <v>7100</v>
      </c>
      <c r="I2081" s="79">
        <f t="shared" si="162"/>
        <v>8690.4</v>
      </c>
      <c r="J2081" s="79">
        <f t="shared" si="163"/>
        <v>0</v>
      </c>
      <c r="K2081" s="79">
        <f t="shared" si="164"/>
        <v>8690.4</v>
      </c>
      <c r="L2081" s="121"/>
    </row>
    <row r="2082" spans="2:12" ht="31" x14ac:dyDescent="0.35">
      <c r="B2082" s="111">
        <f t="shared" si="161"/>
        <v>2072</v>
      </c>
      <c r="C2082" s="64" t="s">
        <v>78</v>
      </c>
      <c r="D2082" s="81" t="s">
        <v>32</v>
      </c>
      <c r="E2082" s="78">
        <v>6</v>
      </c>
      <c r="F2082" s="65"/>
      <c r="G2082" s="65">
        <v>5662</v>
      </c>
      <c r="H2082" s="65">
        <f t="shared" si="165"/>
        <v>5662</v>
      </c>
      <c r="I2082" s="79">
        <f t="shared" si="162"/>
        <v>0</v>
      </c>
      <c r="J2082" s="79">
        <f t="shared" si="163"/>
        <v>33972</v>
      </c>
      <c r="K2082" s="79">
        <f t="shared" si="164"/>
        <v>33972</v>
      </c>
      <c r="L2082" s="121"/>
    </row>
    <row r="2083" spans="2:12" x14ac:dyDescent="0.35">
      <c r="B2083" s="111">
        <f t="shared" si="161"/>
        <v>2073</v>
      </c>
      <c r="C2083" s="82" t="s">
        <v>76</v>
      </c>
      <c r="D2083" s="81" t="s">
        <v>32</v>
      </c>
      <c r="E2083" s="78">
        <v>4</v>
      </c>
      <c r="F2083" s="65">
        <f>7000*1.2</f>
        <v>8400</v>
      </c>
      <c r="G2083" s="65"/>
      <c r="H2083" s="65">
        <f t="shared" si="165"/>
        <v>8400</v>
      </c>
      <c r="I2083" s="79">
        <f t="shared" si="162"/>
        <v>33600</v>
      </c>
      <c r="J2083" s="79">
        <f t="shared" si="163"/>
        <v>0</v>
      </c>
      <c r="K2083" s="79">
        <f t="shared" si="164"/>
        <v>33600</v>
      </c>
      <c r="L2083" s="121"/>
    </row>
    <row r="2084" spans="2:12" x14ac:dyDescent="0.35">
      <c r="B2084" s="111">
        <f t="shared" si="161"/>
        <v>2074</v>
      </c>
      <c r="C2084" s="82" t="s">
        <v>293</v>
      </c>
      <c r="D2084" s="81" t="s">
        <v>32</v>
      </c>
      <c r="E2084" s="78">
        <v>1</v>
      </c>
      <c r="F2084" s="65">
        <f>900*1.2</f>
        <v>1080</v>
      </c>
      <c r="G2084" s="65"/>
      <c r="H2084" s="65">
        <f t="shared" si="165"/>
        <v>1080</v>
      </c>
      <c r="I2084" s="79">
        <f t="shared" si="162"/>
        <v>1080</v>
      </c>
      <c r="J2084" s="79">
        <f t="shared" si="163"/>
        <v>0</v>
      </c>
      <c r="K2084" s="79">
        <f t="shared" si="164"/>
        <v>1080</v>
      </c>
      <c r="L2084" s="121"/>
    </row>
    <row r="2085" spans="2:12" x14ac:dyDescent="0.35">
      <c r="B2085" s="111">
        <f t="shared" si="161"/>
        <v>2075</v>
      </c>
      <c r="C2085" s="82" t="s">
        <v>294</v>
      </c>
      <c r="D2085" s="81" t="s">
        <v>32</v>
      </c>
      <c r="E2085" s="78">
        <v>1</v>
      </c>
      <c r="F2085" s="65">
        <f>1200*1.2</f>
        <v>1440</v>
      </c>
      <c r="G2085" s="65"/>
      <c r="H2085" s="65">
        <f t="shared" si="165"/>
        <v>1440</v>
      </c>
      <c r="I2085" s="79">
        <f t="shared" si="162"/>
        <v>1440</v>
      </c>
      <c r="J2085" s="79">
        <f t="shared" si="163"/>
        <v>0</v>
      </c>
      <c r="K2085" s="79">
        <f t="shared" si="164"/>
        <v>1440</v>
      </c>
      <c r="L2085" s="121"/>
    </row>
    <row r="2086" spans="2:12" ht="31" x14ac:dyDescent="0.35">
      <c r="B2086" s="111">
        <f t="shared" si="161"/>
        <v>2076</v>
      </c>
      <c r="C2086" s="64" t="s">
        <v>85</v>
      </c>
      <c r="D2086" s="81" t="s">
        <v>32</v>
      </c>
      <c r="E2086" s="78">
        <v>1</v>
      </c>
      <c r="F2086" s="65"/>
      <c r="G2086" s="65">
        <v>2500</v>
      </c>
      <c r="H2086" s="65">
        <f t="shared" si="165"/>
        <v>2500</v>
      </c>
      <c r="I2086" s="79">
        <f t="shared" si="162"/>
        <v>0</v>
      </c>
      <c r="J2086" s="79">
        <f t="shared" si="163"/>
        <v>2500</v>
      </c>
      <c r="K2086" s="79">
        <f t="shared" si="164"/>
        <v>2500</v>
      </c>
      <c r="L2086" s="121"/>
    </row>
    <row r="2087" spans="2:12" x14ac:dyDescent="0.35">
      <c r="B2087" s="111">
        <f t="shared" si="161"/>
        <v>2077</v>
      </c>
      <c r="C2087" s="82" t="s">
        <v>79</v>
      </c>
      <c r="D2087" s="81" t="s">
        <v>32</v>
      </c>
      <c r="E2087" s="78">
        <v>1</v>
      </c>
      <c r="F2087" s="65">
        <f>6500*1.2</f>
        <v>7800</v>
      </c>
      <c r="G2087" s="65"/>
      <c r="H2087" s="65">
        <f t="shared" si="165"/>
        <v>7800</v>
      </c>
      <c r="I2087" s="79">
        <f t="shared" si="162"/>
        <v>7800</v>
      </c>
      <c r="J2087" s="79">
        <f t="shared" si="163"/>
        <v>0</v>
      </c>
      <c r="K2087" s="79">
        <f t="shared" si="164"/>
        <v>7800</v>
      </c>
      <c r="L2087" s="121"/>
    </row>
    <row r="2088" spans="2:12" ht="31" x14ac:dyDescent="0.35">
      <c r="B2088" s="111">
        <f t="shared" si="161"/>
        <v>2078</v>
      </c>
      <c r="C2088" s="64" t="s">
        <v>316</v>
      </c>
      <c r="D2088" s="81" t="s">
        <v>32</v>
      </c>
      <c r="E2088" s="78">
        <v>1</v>
      </c>
      <c r="F2088" s="65"/>
      <c r="G2088" s="65"/>
      <c r="H2088" s="65">
        <f t="shared" si="165"/>
        <v>0</v>
      </c>
      <c r="I2088" s="79">
        <f t="shared" si="162"/>
        <v>0</v>
      </c>
      <c r="J2088" s="79">
        <f t="shared" si="163"/>
        <v>0</v>
      </c>
      <c r="K2088" s="79">
        <f t="shared" si="164"/>
        <v>0</v>
      </c>
      <c r="L2088" s="121"/>
    </row>
    <row r="2089" spans="2:12" x14ac:dyDescent="0.35">
      <c r="B2089" s="111">
        <f t="shared" si="161"/>
        <v>2079</v>
      </c>
      <c r="C2089" s="88" t="s">
        <v>84</v>
      </c>
      <c r="D2089" s="81" t="s">
        <v>32</v>
      </c>
      <c r="E2089" s="78">
        <v>1</v>
      </c>
      <c r="F2089" s="65">
        <v>1300</v>
      </c>
      <c r="G2089" s="65">
        <v>990</v>
      </c>
      <c r="H2089" s="65">
        <f t="shared" si="165"/>
        <v>2290</v>
      </c>
      <c r="I2089" s="79">
        <f t="shared" si="162"/>
        <v>1300</v>
      </c>
      <c r="J2089" s="79">
        <f t="shared" si="163"/>
        <v>990</v>
      </c>
      <c r="K2089" s="79">
        <f t="shared" si="164"/>
        <v>2290</v>
      </c>
      <c r="L2089" s="121"/>
    </row>
    <row r="2090" spans="2:12" x14ac:dyDescent="0.35">
      <c r="B2090" s="111">
        <f t="shared" si="161"/>
        <v>2080</v>
      </c>
      <c r="C2090" s="80" t="s">
        <v>301</v>
      </c>
      <c r="D2090" s="81" t="s">
        <v>32</v>
      </c>
      <c r="E2090" s="78">
        <v>1</v>
      </c>
      <c r="F2090" s="65">
        <v>6000</v>
      </c>
      <c r="G2090" s="65">
        <v>1464.09</v>
      </c>
      <c r="H2090" s="65">
        <f t="shared" si="165"/>
        <v>7464.09</v>
      </c>
      <c r="I2090" s="79">
        <f t="shared" si="162"/>
        <v>6000</v>
      </c>
      <c r="J2090" s="79">
        <f t="shared" si="163"/>
        <v>1464.09</v>
      </c>
      <c r="K2090" s="79">
        <f t="shared" si="164"/>
        <v>7464.09</v>
      </c>
      <c r="L2090" s="121"/>
    </row>
    <row r="2091" spans="2:12" ht="31" x14ac:dyDescent="0.35">
      <c r="B2091" s="111">
        <f t="shared" si="161"/>
        <v>2081</v>
      </c>
      <c r="C2091" s="64" t="s">
        <v>156</v>
      </c>
      <c r="D2091" s="81" t="s">
        <v>25</v>
      </c>
      <c r="E2091" s="78">
        <f>(3.14*2.2)*4.37+3.8</f>
        <v>33.987960000000008</v>
      </c>
      <c r="F2091" s="65">
        <v>68.5</v>
      </c>
      <c r="G2091" s="65">
        <v>150</v>
      </c>
      <c r="H2091" s="65">
        <f t="shared" si="165"/>
        <v>218.5</v>
      </c>
      <c r="I2091" s="79">
        <f t="shared" si="162"/>
        <v>2328.1799999999998</v>
      </c>
      <c r="J2091" s="79">
        <f t="shared" si="163"/>
        <v>5098.1899999999996</v>
      </c>
      <c r="K2091" s="79">
        <f t="shared" si="164"/>
        <v>7426.369999999999</v>
      </c>
      <c r="L2091" s="121"/>
    </row>
    <row r="2092" spans="2:12" ht="46.5" x14ac:dyDescent="0.35">
      <c r="B2092" s="111">
        <f t="shared" si="161"/>
        <v>2082</v>
      </c>
      <c r="C2092" s="64" t="s">
        <v>157</v>
      </c>
      <c r="D2092" s="81" t="s">
        <v>25</v>
      </c>
      <c r="E2092" s="78">
        <f>E2091</f>
        <v>33.987960000000008</v>
      </c>
      <c r="F2092" s="65">
        <v>927</v>
      </c>
      <c r="G2092" s="65">
        <v>400</v>
      </c>
      <c r="H2092" s="65">
        <f t="shared" si="165"/>
        <v>1327</v>
      </c>
      <c r="I2092" s="79">
        <f t="shared" si="162"/>
        <v>31506.84</v>
      </c>
      <c r="J2092" s="79">
        <f t="shared" si="163"/>
        <v>13595.18</v>
      </c>
      <c r="K2092" s="79">
        <f t="shared" si="164"/>
        <v>45102.020000000004</v>
      </c>
      <c r="L2092" s="121"/>
    </row>
    <row r="2093" spans="2:12" x14ac:dyDescent="0.35">
      <c r="B2093" s="111">
        <f t="shared" si="161"/>
        <v>2083</v>
      </c>
      <c r="C2093" s="64" t="s">
        <v>335</v>
      </c>
      <c r="D2093" s="81" t="s">
        <v>32</v>
      </c>
      <c r="E2093" s="78">
        <v>1</v>
      </c>
      <c r="F2093" s="68"/>
      <c r="G2093" s="65"/>
      <c r="H2093" s="65">
        <f t="shared" si="165"/>
        <v>0</v>
      </c>
      <c r="I2093" s="79">
        <f t="shared" si="162"/>
        <v>0</v>
      </c>
      <c r="J2093" s="79">
        <f t="shared" si="163"/>
        <v>0</v>
      </c>
      <c r="K2093" s="79">
        <f t="shared" si="164"/>
        <v>0</v>
      </c>
      <c r="L2093" s="121"/>
    </row>
    <row r="2094" spans="2:12" x14ac:dyDescent="0.35">
      <c r="B2094" s="111">
        <f t="shared" si="161"/>
        <v>2084</v>
      </c>
      <c r="C2094" s="82" t="s">
        <v>336</v>
      </c>
      <c r="D2094" s="81" t="s">
        <v>31</v>
      </c>
      <c r="E2094" s="78">
        <v>46.6</v>
      </c>
      <c r="F2094" s="68">
        <v>71</v>
      </c>
      <c r="G2094" s="65">
        <v>97.61</v>
      </c>
      <c r="H2094" s="65">
        <f t="shared" si="165"/>
        <v>168.61</v>
      </c>
      <c r="I2094" s="79">
        <f t="shared" si="162"/>
        <v>3308.6</v>
      </c>
      <c r="J2094" s="79">
        <f t="shared" si="163"/>
        <v>4548.63</v>
      </c>
      <c r="K2094" s="79">
        <f t="shared" si="164"/>
        <v>7857.23</v>
      </c>
      <c r="L2094" s="121"/>
    </row>
    <row r="2095" spans="2:12" x14ac:dyDescent="0.35">
      <c r="B2095" s="111">
        <f t="shared" si="161"/>
        <v>2085</v>
      </c>
      <c r="C2095" s="64" t="s">
        <v>93</v>
      </c>
      <c r="D2095" s="81" t="s">
        <v>32</v>
      </c>
      <c r="E2095" s="78">
        <v>2</v>
      </c>
      <c r="F2095" s="68"/>
      <c r="G2095" s="65"/>
      <c r="H2095" s="65">
        <f t="shared" si="165"/>
        <v>0</v>
      </c>
      <c r="I2095" s="79">
        <f t="shared" si="162"/>
        <v>0</v>
      </c>
      <c r="J2095" s="79">
        <f t="shared" si="163"/>
        <v>0</v>
      </c>
      <c r="K2095" s="79">
        <f t="shared" si="164"/>
        <v>0</v>
      </c>
      <c r="L2095" s="121"/>
    </row>
    <row r="2096" spans="2:12" x14ac:dyDescent="0.35">
      <c r="B2096" s="111">
        <f t="shared" si="161"/>
        <v>2086</v>
      </c>
      <c r="C2096" s="82" t="s">
        <v>94</v>
      </c>
      <c r="D2096" s="81" t="s">
        <v>31</v>
      </c>
      <c r="E2096" s="78">
        <f>0.82*E2095</f>
        <v>1.64</v>
      </c>
      <c r="F2096" s="68">
        <v>71</v>
      </c>
      <c r="G2096" s="65">
        <v>97.61</v>
      </c>
      <c r="H2096" s="65">
        <f t="shared" si="165"/>
        <v>168.61</v>
      </c>
      <c r="I2096" s="79">
        <f t="shared" si="162"/>
        <v>116.44</v>
      </c>
      <c r="J2096" s="79">
        <f t="shared" si="163"/>
        <v>160.08000000000001</v>
      </c>
      <c r="K2096" s="79">
        <f t="shared" si="164"/>
        <v>276.52</v>
      </c>
      <c r="L2096" s="121"/>
    </row>
    <row r="2097" spans="2:12" ht="31" x14ac:dyDescent="0.35">
      <c r="B2097" s="111">
        <f t="shared" si="161"/>
        <v>2087</v>
      </c>
      <c r="C2097" s="64" t="s">
        <v>304</v>
      </c>
      <c r="D2097" s="81" t="s">
        <v>32</v>
      </c>
      <c r="E2097" s="78">
        <v>2</v>
      </c>
      <c r="F2097" s="68"/>
      <c r="G2097" s="65">
        <v>1464</v>
      </c>
      <c r="H2097" s="65">
        <f t="shared" si="165"/>
        <v>1464</v>
      </c>
      <c r="I2097" s="79">
        <f t="shared" si="162"/>
        <v>0</v>
      </c>
      <c r="J2097" s="79">
        <f t="shared" si="163"/>
        <v>2928</v>
      </c>
      <c r="K2097" s="79">
        <f t="shared" si="164"/>
        <v>2928</v>
      </c>
      <c r="L2097" s="121"/>
    </row>
    <row r="2098" spans="2:12" ht="33" x14ac:dyDescent="0.35">
      <c r="B2098" s="111">
        <f t="shared" si="161"/>
        <v>2088</v>
      </c>
      <c r="C2098" s="64" t="s">
        <v>362</v>
      </c>
      <c r="D2098" s="81" t="s">
        <v>26</v>
      </c>
      <c r="E2098" s="78">
        <f>56.98-16.3</f>
        <v>40.679999999999993</v>
      </c>
      <c r="F2098" s="68"/>
      <c r="G2098" s="65">
        <v>439</v>
      </c>
      <c r="H2098" s="65">
        <f t="shared" si="165"/>
        <v>439</v>
      </c>
      <c r="I2098" s="79">
        <f t="shared" si="162"/>
        <v>0</v>
      </c>
      <c r="J2098" s="79">
        <f t="shared" si="163"/>
        <v>17858.52</v>
      </c>
      <c r="K2098" s="79">
        <f t="shared" si="164"/>
        <v>17858.52</v>
      </c>
      <c r="L2098" s="121"/>
    </row>
    <row r="2099" spans="2:12" ht="30" x14ac:dyDescent="0.35">
      <c r="B2099" s="111">
        <f t="shared" si="161"/>
        <v>2089</v>
      </c>
      <c r="C2099" s="98" t="s">
        <v>292</v>
      </c>
      <c r="D2099" s="99" t="s">
        <v>27</v>
      </c>
      <c r="E2099" s="100">
        <v>8.6999999999999993</v>
      </c>
      <c r="F2099" s="101"/>
      <c r="G2099" s="101"/>
      <c r="H2099" s="101">
        <f t="shared" si="165"/>
        <v>0</v>
      </c>
      <c r="I2099" s="101">
        <f t="shared" si="162"/>
        <v>0</v>
      </c>
      <c r="J2099" s="101">
        <f t="shared" si="163"/>
        <v>0</v>
      </c>
      <c r="K2099" s="101">
        <f t="shared" si="164"/>
        <v>0</v>
      </c>
      <c r="L2099" s="121"/>
    </row>
    <row r="2100" spans="2:12" ht="31" x14ac:dyDescent="0.35">
      <c r="B2100" s="111">
        <f t="shared" si="161"/>
        <v>2090</v>
      </c>
      <c r="C2100" s="64" t="s">
        <v>348</v>
      </c>
      <c r="D2100" s="77" t="s">
        <v>26</v>
      </c>
      <c r="E2100" s="78">
        <f>0.97*30.16</f>
        <v>29.255199999999999</v>
      </c>
      <c r="F2100" s="65"/>
      <c r="G2100" s="65">
        <v>300</v>
      </c>
      <c r="H2100" s="65">
        <f t="shared" si="165"/>
        <v>300</v>
      </c>
      <c r="I2100" s="79">
        <f t="shared" si="162"/>
        <v>0</v>
      </c>
      <c r="J2100" s="79">
        <f t="shared" si="163"/>
        <v>8776.56</v>
      </c>
      <c r="K2100" s="79">
        <f t="shared" si="164"/>
        <v>8776.56</v>
      </c>
      <c r="L2100" s="121"/>
    </row>
    <row r="2101" spans="2:12" x14ac:dyDescent="0.35">
      <c r="B2101" s="111">
        <f t="shared" si="161"/>
        <v>2091</v>
      </c>
      <c r="C2101" s="64" t="s">
        <v>19</v>
      </c>
      <c r="D2101" s="77" t="s">
        <v>26</v>
      </c>
      <c r="E2101" s="78">
        <f>E2100/97*3</f>
        <v>0.90479999999999994</v>
      </c>
      <c r="F2101" s="65"/>
      <c r="G2101" s="65">
        <v>1500</v>
      </c>
      <c r="H2101" s="65">
        <f t="shared" si="165"/>
        <v>1500</v>
      </c>
      <c r="I2101" s="79">
        <f t="shared" si="162"/>
        <v>0</v>
      </c>
      <c r="J2101" s="79">
        <f t="shared" si="163"/>
        <v>1357.2</v>
      </c>
      <c r="K2101" s="79">
        <f t="shared" si="164"/>
        <v>1357.2</v>
      </c>
      <c r="L2101" s="121"/>
    </row>
    <row r="2102" spans="2:12" x14ac:dyDescent="0.35">
      <c r="B2102" s="111">
        <f t="shared" si="161"/>
        <v>2092</v>
      </c>
      <c r="C2102" s="64" t="s">
        <v>184</v>
      </c>
      <c r="D2102" s="77" t="s">
        <v>25</v>
      </c>
      <c r="E2102" s="78">
        <f>E2099*0.75</f>
        <v>6.5249999999999995</v>
      </c>
      <c r="F2102" s="65"/>
      <c r="G2102" s="123"/>
      <c r="H2102" s="65">
        <f t="shared" si="165"/>
        <v>0</v>
      </c>
      <c r="I2102" s="79">
        <f t="shared" si="162"/>
        <v>0</v>
      </c>
      <c r="J2102" s="79">
        <f t="shared" si="163"/>
        <v>0</v>
      </c>
      <c r="K2102" s="79">
        <f t="shared" si="164"/>
        <v>0</v>
      </c>
      <c r="L2102" s="121"/>
    </row>
    <row r="2103" spans="2:12" ht="31" x14ac:dyDescent="0.35">
      <c r="B2103" s="111">
        <f t="shared" si="161"/>
        <v>2093</v>
      </c>
      <c r="C2103" s="64" t="s">
        <v>194</v>
      </c>
      <c r="D2103" s="77" t="s">
        <v>25</v>
      </c>
      <c r="E2103" s="78">
        <f>E2099*0.48</f>
        <v>4.1759999999999993</v>
      </c>
      <c r="F2103" s="65">
        <f>1973*0.15</f>
        <v>295.95</v>
      </c>
      <c r="G2103" s="65">
        <f>1500*0.15</f>
        <v>225</v>
      </c>
      <c r="H2103" s="65">
        <f t="shared" si="165"/>
        <v>520.95000000000005</v>
      </c>
      <c r="I2103" s="79">
        <f t="shared" si="162"/>
        <v>1235.8900000000001</v>
      </c>
      <c r="J2103" s="79">
        <f t="shared" si="163"/>
        <v>939.6</v>
      </c>
      <c r="K2103" s="79">
        <f t="shared" si="164"/>
        <v>2175.4900000000002</v>
      </c>
      <c r="L2103" s="121"/>
    </row>
    <row r="2104" spans="2:12" x14ac:dyDescent="0.35">
      <c r="B2104" s="111">
        <f t="shared" si="161"/>
        <v>2094</v>
      </c>
      <c r="C2104" s="64" t="s">
        <v>20</v>
      </c>
      <c r="D2104" s="77" t="s">
        <v>26</v>
      </c>
      <c r="E2104" s="78">
        <f>0.34*E2099*0.1</f>
        <v>0.29580000000000001</v>
      </c>
      <c r="F2104" s="65"/>
      <c r="G2104" s="65">
        <v>5860</v>
      </c>
      <c r="H2104" s="65">
        <f t="shared" si="165"/>
        <v>5860</v>
      </c>
      <c r="I2104" s="79">
        <f t="shared" si="162"/>
        <v>0</v>
      </c>
      <c r="J2104" s="79">
        <f t="shared" si="163"/>
        <v>1733.39</v>
      </c>
      <c r="K2104" s="79">
        <f t="shared" si="164"/>
        <v>1733.39</v>
      </c>
      <c r="L2104" s="121"/>
    </row>
    <row r="2105" spans="2:12" x14ac:dyDescent="0.35">
      <c r="B2105" s="111">
        <f t="shared" si="161"/>
        <v>2095</v>
      </c>
      <c r="C2105" s="80" t="s">
        <v>159</v>
      </c>
      <c r="D2105" s="77" t="s">
        <v>26</v>
      </c>
      <c r="E2105" s="78">
        <f>E2104*1.02</f>
        <v>0.30171600000000004</v>
      </c>
      <c r="F2105" s="65">
        <v>6700</v>
      </c>
      <c r="G2105" s="123"/>
      <c r="H2105" s="65">
        <f t="shared" si="165"/>
        <v>6700</v>
      </c>
      <c r="I2105" s="79">
        <f t="shared" si="162"/>
        <v>2021.5</v>
      </c>
      <c r="J2105" s="79">
        <f t="shared" si="163"/>
        <v>0</v>
      </c>
      <c r="K2105" s="79">
        <f t="shared" si="164"/>
        <v>2021.5</v>
      </c>
      <c r="L2105" s="121"/>
    </row>
    <row r="2106" spans="2:12" x14ac:dyDescent="0.35">
      <c r="B2106" s="111">
        <f t="shared" si="161"/>
        <v>2096</v>
      </c>
      <c r="C2106" s="64" t="s">
        <v>28</v>
      </c>
      <c r="D2106" s="77" t="s">
        <v>26</v>
      </c>
      <c r="E2106" s="78">
        <f>E2099*0.8/10</f>
        <v>0.69599999999999995</v>
      </c>
      <c r="F2106" s="65"/>
      <c r="G2106" s="65">
        <v>5860</v>
      </c>
      <c r="H2106" s="65">
        <f t="shared" si="165"/>
        <v>5860</v>
      </c>
      <c r="I2106" s="79">
        <f t="shared" si="162"/>
        <v>0</v>
      </c>
      <c r="J2106" s="79">
        <f t="shared" si="163"/>
        <v>4078.56</v>
      </c>
      <c r="K2106" s="79">
        <f t="shared" si="164"/>
        <v>4078.56</v>
      </c>
      <c r="L2106" s="121"/>
    </row>
    <row r="2107" spans="2:12" x14ac:dyDescent="0.35">
      <c r="B2107" s="111">
        <f t="shared" si="161"/>
        <v>2097</v>
      </c>
      <c r="C2107" s="80" t="s">
        <v>29</v>
      </c>
      <c r="D2107" s="77" t="s">
        <v>26</v>
      </c>
      <c r="E2107" s="78">
        <f>E2106*1.02</f>
        <v>0.70992</v>
      </c>
      <c r="F2107" s="65">
        <v>7100</v>
      </c>
      <c r="G2107" s="123"/>
      <c r="H2107" s="65">
        <f t="shared" si="165"/>
        <v>7100</v>
      </c>
      <c r="I2107" s="79">
        <f t="shared" si="162"/>
        <v>5040.43</v>
      </c>
      <c r="J2107" s="79">
        <f t="shared" si="163"/>
        <v>0</v>
      </c>
      <c r="K2107" s="79">
        <f t="shared" si="164"/>
        <v>5040.43</v>
      </c>
      <c r="L2107" s="121"/>
    </row>
    <row r="2108" spans="2:12" x14ac:dyDescent="0.35">
      <c r="B2108" s="111">
        <f t="shared" si="161"/>
        <v>2098</v>
      </c>
      <c r="C2108" s="80" t="s">
        <v>30</v>
      </c>
      <c r="D2108" s="77" t="s">
        <v>31</v>
      </c>
      <c r="E2108" s="78">
        <f>E2099*1.22</f>
        <v>10.613999999999999</v>
      </c>
      <c r="F2108" s="65">
        <v>118.9</v>
      </c>
      <c r="G2108" s="123"/>
      <c r="H2108" s="65">
        <f t="shared" si="165"/>
        <v>118.9</v>
      </c>
      <c r="I2108" s="79">
        <f t="shared" si="162"/>
        <v>1262</v>
      </c>
      <c r="J2108" s="79">
        <f t="shared" si="163"/>
        <v>0</v>
      </c>
      <c r="K2108" s="79">
        <f t="shared" si="164"/>
        <v>1262</v>
      </c>
      <c r="L2108" s="121"/>
    </row>
    <row r="2109" spans="2:12" x14ac:dyDescent="0.35">
      <c r="B2109" s="111">
        <f t="shared" si="161"/>
        <v>2099</v>
      </c>
      <c r="C2109" s="64" t="s">
        <v>189</v>
      </c>
      <c r="D2109" s="77" t="s">
        <v>27</v>
      </c>
      <c r="E2109" s="78">
        <f>E2099</f>
        <v>8.6999999999999993</v>
      </c>
      <c r="F2109" s="65"/>
      <c r="G2109" s="65">
        <v>2928</v>
      </c>
      <c r="H2109" s="65">
        <f t="shared" si="165"/>
        <v>2928</v>
      </c>
      <c r="I2109" s="79">
        <f t="shared" si="162"/>
        <v>0</v>
      </c>
      <c r="J2109" s="79">
        <f t="shared" si="163"/>
        <v>25473.599999999999</v>
      </c>
      <c r="K2109" s="79">
        <f t="shared" si="164"/>
        <v>25473.599999999999</v>
      </c>
      <c r="L2109" s="121"/>
    </row>
    <row r="2110" spans="2:12" ht="31" x14ac:dyDescent="0.35">
      <c r="B2110" s="111">
        <f t="shared" si="161"/>
        <v>2100</v>
      </c>
      <c r="C2110" s="80" t="s">
        <v>195</v>
      </c>
      <c r="D2110" s="77" t="s">
        <v>27</v>
      </c>
      <c r="E2110" s="78">
        <f>E2109*1.1</f>
        <v>9.57</v>
      </c>
      <c r="F2110" s="65">
        <v>855</v>
      </c>
      <c r="G2110" s="65"/>
      <c r="H2110" s="65">
        <f t="shared" si="165"/>
        <v>855</v>
      </c>
      <c r="I2110" s="79">
        <f t="shared" si="162"/>
        <v>8182.35</v>
      </c>
      <c r="J2110" s="79">
        <f t="shared" si="163"/>
        <v>0</v>
      </c>
      <c r="K2110" s="79">
        <f t="shared" si="164"/>
        <v>8182.35</v>
      </c>
      <c r="L2110" s="121"/>
    </row>
    <row r="2111" spans="2:12" ht="33" x14ac:dyDescent="0.35">
      <c r="B2111" s="111">
        <f t="shared" si="161"/>
        <v>2101</v>
      </c>
      <c r="C2111" s="64" t="s">
        <v>355</v>
      </c>
      <c r="D2111" s="81" t="s">
        <v>26</v>
      </c>
      <c r="E2111" s="78">
        <v>89.2</v>
      </c>
      <c r="F2111" s="65"/>
      <c r="G2111" s="65">
        <v>439</v>
      </c>
      <c r="H2111" s="65">
        <f t="shared" si="165"/>
        <v>439</v>
      </c>
      <c r="I2111" s="79">
        <f t="shared" si="162"/>
        <v>0</v>
      </c>
      <c r="J2111" s="79">
        <f t="shared" si="163"/>
        <v>39158.800000000003</v>
      </c>
      <c r="K2111" s="79">
        <f t="shared" si="164"/>
        <v>39158.800000000003</v>
      </c>
      <c r="L2111" s="123"/>
    </row>
    <row r="2112" spans="2:12" s="120" customFormat="1" ht="24" customHeight="1" x14ac:dyDescent="0.35">
      <c r="B2112" s="113"/>
      <c r="C2112" s="114" t="s">
        <v>10</v>
      </c>
      <c r="D2112" s="115"/>
      <c r="E2112" s="116"/>
      <c r="F2112" s="117"/>
      <c r="G2112" s="117"/>
      <c r="H2112" s="117"/>
      <c r="I2112" s="106">
        <f>SUM(I12:I2111)</f>
        <v>5257506.2399999928</v>
      </c>
      <c r="J2112" s="106">
        <f t="shared" ref="J2112" si="166">SUM(J12:J2111)</f>
        <v>8992941.4200000018</v>
      </c>
      <c r="K2112" s="106">
        <f>SUM(K12:K2111)</f>
        <v>14250447.659999978</v>
      </c>
      <c r="L2112" s="123"/>
    </row>
    <row r="2113" spans="1:16" ht="19.25" customHeight="1" x14ac:dyDescent="0.35">
      <c r="A2113" s="71">
        <v>1</v>
      </c>
      <c r="B2113" s="110"/>
      <c r="C2113" s="93" t="s">
        <v>350</v>
      </c>
      <c r="D2113" s="81"/>
      <c r="E2113" s="94"/>
      <c r="F2113" s="69"/>
      <c r="G2113" s="69"/>
      <c r="H2113" s="69"/>
      <c r="I2113" s="65">
        <f>I2112/6</f>
        <v>876251.03999999876</v>
      </c>
      <c r="J2113" s="65">
        <f t="shared" ref="J2113:K2113" si="167">J2112/6</f>
        <v>1498823.5700000003</v>
      </c>
      <c r="K2113" s="65">
        <f t="shared" si="167"/>
        <v>2375074.6099999961</v>
      </c>
    </row>
    <row r="2114" spans="1:16" x14ac:dyDescent="0.35">
      <c r="A2114" s="71">
        <v>2</v>
      </c>
      <c r="M2114" s="95" t="s">
        <v>150</v>
      </c>
    </row>
    <row r="2115" spans="1:16" x14ac:dyDescent="0.35">
      <c r="A2115" s="71">
        <v>2</v>
      </c>
    </row>
    <row r="2116" spans="1:16" x14ac:dyDescent="0.35">
      <c r="A2116" s="71">
        <v>1</v>
      </c>
    </row>
    <row r="2117" spans="1:16" x14ac:dyDescent="0.35">
      <c r="A2117" s="71">
        <v>2</v>
      </c>
    </row>
    <row r="2118" spans="1:16" x14ac:dyDescent="0.35">
      <c r="A2118" s="71">
        <v>2</v>
      </c>
    </row>
    <row r="2119" spans="1:16" x14ac:dyDescent="0.35">
      <c r="A2119" s="71">
        <v>2</v>
      </c>
    </row>
    <row r="2120" spans="1:16" x14ac:dyDescent="0.35">
      <c r="A2120" s="71">
        <v>2</v>
      </c>
    </row>
    <row r="2121" spans="1:16" x14ac:dyDescent="0.35">
      <c r="A2121" s="71">
        <v>2</v>
      </c>
      <c r="P2121" s="71">
        <v>1</v>
      </c>
    </row>
    <row r="2122" spans="1:16" x14ac:dyDescent="0.35">
      <c r="A2122" s="71">
        <v>2</v>
      </c>
      <c r="P2122" s="71">
        <v>7</v>
      </c>
    </row>
    <row r="2123" spans="1:16" x14ac:dyDescent="0.35">
      <c r="A2123" s="71">
        <v>2</v>
      </c>
      <c r="P2123" s="71">
        <v>8</v>
      </c>
    </row>
    <row r="2124" spans="1:16" x14ac:dyDescent="0.35">
      <c r="A2124" s="71">
        <v>2</v>
      </c>
    </row>
    <row r="2125" spans="1:16" x14ac:dyDescent="0.35">
      <c r="A2125" s="71">
        <v>2</v>
      </c>
      <c r="P2125" s="71">
        <v>9</v>
      </c>
    </row>
    <row r="2126" spans="1:16" x14ac:dyDescent="0.35">
      <c r="A2126" s="71">
        <v>2</v>
      </c>
      <c r="P2126" s="71">
        <v>10</v>
      </c>
    </row>
    <row r="2127" spans="1:16" x14ac:dyDescent="0.35">
      <c r="A2127" s="71">
        <v>2</v>
      </c>
      <c r="M2127" s="71" t="s">
        <v>73</v>
      </c>
      <c r="N2127" s="71">
        <f>(3.14*2^2)/4*(0.3+0.03+0.014)-(((3.14*0.225^2)/4)*2)</f>
        <v>1.0006787500000001</v>
      </c>
    </row>
    <row r="2128" spans="1:16" x14ac:dyDescent="0.35">
      <c r="A2128" s="71">
        <v>2</v>
      </c>
      <c r="P2128" s="71">
        <v>11</v>
      </c>
    </row>
    <row r="2129" spans="1:16" x14ac:dyDescent="0.35">
      <c r="A2129" s="71">
        <v>2</v>
      </c>
    </row>
    <row r="2130" spans="1:16" x14ac:dyDescent="0.35">
      <c r="A2130" s="71">
        <v>2</v>
      </c>
      <c r="P2130" s="71">
        <v>12</v>
      </c>
    </row>
    <row r="2131" spans="1:16" x14ac:dyDescent="0.35">
      <c r="A2131" s="71">
        <v>2</v>
      </c>
      <c r="P2131" s="71">
        <v>13</v>
      </c>
    </row>
    <row r="2132" spans="1:16" x14ac:dyDescent="0.35">
      <c r="A2132" s="71">
        <v>2</v>
      </c>
      <c r="P2132" s="71">
        <v>14</v>
      </c>
    </row>
    <row r="2133" spans="1:16" x14ac:dyDescent="0.35">
      <c r="A2133" s="71">
        <v>2</v>
      </c>
    </row>
    <row r="2134" spans="1:16" x14ac:dyDescent="0.35">
      <c r="A2134" s="71">
        <v>2</v>
      </c>
      <c r="P2134" s="71">
        <v>15</v>
      </c>
    </row>
    <row r="2135" spans="1:16" x14ac:dyDescent="0.35">
      <c r="A2135" s="71">
        <v>2</v>
      </c>
    </row>
    <row r="2136" spans="1:16" x14ac:dyDescent="0.35">
      <c r="A2136" s="71">
        <v>2</v>
      </c>
      <c r="P2136" s="71">
        <v>16</v>
      </c>
    </row>
    <row r="2137" spans="1:16" x14ac:dyDescent="0.35">
      <c r="A2137" s="71">
        <v>2</v>
      </c>
    </row>
    <row r="2138" spans="1:16" x14ac:dyDescent="0.35">
      <c r="A2138" s="71">
        <v>2</v>
      </c>
      <c r="P2138" s="71">
        <v>17</v>
      </c>
    </row>
    <row r="2139" spans="1:16" ht="46.5" x14ac:dyDescent="0.35">
      <c r="A2139" s="71">
        <v>2</v>
      </c>
      <c r="M2139" s="71" t="s">
        <v>89</v>
      </c>
      <c r="O2139" s="64" t="s">
        <v>90</v>
      </c>
      <c r="P2139" s="71">
        <v>7</v>
      </c>
    </row>
    <row r="2140" spans="1:16" x14ac:dyDescent="0.35">
      <c r="A2140" s="71">
        <v>2</v>
      </c>
      <c r="P2140" s="71">
        <v>8</v>
      </c>
    </row>
    <row r="2141" spans="1:16" x14ac:dyDescent="0.35">
      <c r="A2141" s="71">
        <v>2</v>
      </c>
    </row>
    <row r="2142" spans="1:16" x14ac:dyDescent="0.35">
      <c r="A2142" s="71">
        <v>2</v>
      </c>
      <c r="P2142" s="71">
        <v>19</v>
      </c>
    </row>
    <row r="2143" spans="1:16" x14ac:dyDescent="0.35">
      <c r="A2143" s="71">
        <v>2</v>
      </c>
    </row>
    <row r="2144" spans="1:16" x14ac:dyDescent="0.35">
      <c r="A2144" s="71">
        <v>2</v>
      </c>
      <c r="P2144" s="71">
        <v>24</v>
      </c>
    </row>
    <row r="2145" spans="1:16" x14ac:dyDescent="0.35">
      <c r="A2145" s="71">
        <v>2</v>
      </c>
    </row>
    <row r="2146" spans="1:16" x14ac:dyDescent="0.35">
      <c r="A2146" s="71">
        <v>2</v>
      </c>
    </row>
    <row r="2147" spans="1:16" x14ac:dyDescent="0.35">
      <c r="A2147" s="71">
        <v>2</v>
      </c>
    </row>
    <row r="2148" spans="1:16" x14ac:dyDescent="0.35">
      <c r="A2148" s="71">
        <v>1</v>
      </c>
    </row>
    <row r="2149" spans="1:16" x14ac:dyDescent="0.35">
      <c r="A2149" s="71">
        <v>2</v>
      </c>
    </row>
    <row r="2150" spans="1:16" x14ac:dyDescent="0.35">
      <c r="A2150" s="71">
        <v>2</v>
      </c>
    </row>
    <row r="2151" spans="1:16" x14ac:dyDescent="0.35">
      <c r="A2151" s="71">
        <v>2</v>
      </c>
    </row>
    <row r="2152" spans="1:16" x14ac:dyDescent="0.35">
      <c r="A2152" s="71">
        <v>2</v>
      </c>
    </row>
    <row r="2153" spans="1:16" x14ac:dyDescent="0.35">
      <c r="A2153" s="71">
        <v>2</v>
      </c>
      <c r="P2153" s="71">
        <v>1</v>
      </c>
    </row>
    <row r="2154" spans="1:16" x14ac:dyDescent="0.35">
      <c r="A2154" s="71">
        <v>2</v>
      </c>
      <c r="P2154" s="71">
        <v>7</v>
      </c>
    </row>
    <row r="2155" spans="1:16" x14ac:dyDescent="0.35">
      <c r="A2155" s="71">
        <v>2</v>
      </c>
      <c r="P2155" s="71">
        <v>8</v>
      </c>
    </row>
    <row r="2156" spans="1:16" x14ac:dyDescent="0.35">
      <c r="A2156" s="71">
        <v>2</v>
      </c>
    </row>
    <row r="2157" spans="1:16" x14ac:dyDescent="0.35">
      <c r="A2157" s="71">
        <v>2</v>
      </c>
      <c r="P2157" s="71">
        <v>9</v>
      </c>
    </row>
    <row r="2158" spans="1:16" x14ac:dyDescent="0.35">
      <c r="A2158" s="71">
        <v>2</v>
      </c>
      <c r="P2158" s="71">
        <v>10</v>
      </c>
    </row>
    <row r="2159" spans="1:16" x14ac:dyDescent="0.35">
      <c r="A2159" s="71">
        <v>2</v>
      </c>
      <c r="M2159" s="71" t="s">
        <v>73</v>
      </c>
    </row>
    <row r="2160" spans="1:16" x14ac:dyDescent="0.35">
      <c r="A2160" s="71">
        <v>2</v>
      </c>
      <c r="P2160" s="71">
        <v>11</v>
      </c>
    </row>
    <row r="2161" spans="1:16" x14ac:dyDescent="0.35">
      <c r="A2161" s="71">
        <v>2</v>
      </c>
    </row>
    <row r="2162" spans="1:16" x14ac:dyDescent="0.35">
      <c r="A2162" s="71">
        <v>2</v>
      </c>
      <c r="P2162" s="71">
        <v>12</v>
      </c>
    </row>
    <row r="2163" spans="1:16" x14ac:dyDescent="0.35">
      <c r="A2163" s="71">
        <v>2</v>
      </c>
      <c r="P2163" s="71">
        <v>14</v>
      </c>
    </row>
    <row r="2164" spans="1:16" x14ac:dyDescent="0.35">
      <c r="A2164" s="71">
        <v>2</v>
      </c>
    </row>
    <row r="2165" spans="1:16" x14ac:dyDescent="0.35">
      <c r="A2165" s="71">
        <v>2</v>
      </c>
      <c r="P2165" s="71">
        <v>15</v>
      </c>
    </row>
    <row r="2166" spans="1:16" x14ac:dyDescent="0.35">
      <c r="A2166" s="71">
        <v>2</v>
      </c>
    </row>
    <row r="2167" spans="1:16" x14ac:dyDescent="0.35">
      <c r="A2167" s="71">
        <v>2</v>
      </c>
      <c r="P2167" s="71">
        <v>16</v>
      </c>
    </row>
    <row r="2168" spans="1:16" x14ac:dyDescent="0.35">
      <c r="A2168" s="71">
        <v>2</v>
      </c>
    </row>
    <row r="2169" spans="1:16" x14ac:dyDescent="0.35">
      <c r="A2169" s="71">
        <v>2</v>
      </c>
      <c r="P2169" s="71">
        <v>17</v>
      </c>
    </row>
    <row r="2170" spans="1:16" ht="46.5" x14ac:dyDescent="0.35">
      <c r="A2170" s="71">
        <v>2</v>
      </c>
      <c r="M2170" s="71" t="s">
        <v>89</v>
      </c>
      <c r="O2170" s="64" t="s">
        <v>90</v>
      </c>
      <c r="P2170" s="71">
        <v>7</v>
      </c>
    </row>
    <row r="2171" spans="1:16" x14ac:dyDescent="0.35">
      <c r="A2171" s="71">
        <v>2</v>
      </c>
      <c r="O2171" s="96"/>
      <c r="P2171" s="71">
        <v>8</v>
      </c>
    </row>
    <row r="2172" spans="1:16" x14ac:dyDescent="0.35">
      <c r="A2172" s="71">
        <v>2</v>
      </c>
    </row>
    <row r="2173" spans="1:16" x14ac:dyDescent="0.35">
      <c r="A2173" s="71">
        <v>2</v>
      </c>
      <c r="P2173" s="71">
        <v>18</v>
      </c>
    </row>
    <row r="2174" spans="1:16" x14ac:dyDescent="0.35">
      <c r="A2174" s="71">
        <v>2</v>
      </c>
      <c r="M2174" s="97"/>
      <c r="N2174" s="97"/>
      <c r="P2174" s="66"/>
    </row>
    <row r="2175" spans="1:16" x14ac:dyDescent="0.35">
      <c r="A2175" s="71">
        <v>2</v>
      </c>
      <c r="P2175" s="71">
        <v>24</v>
      </c>
    </row>
    <row r="2176" spans="1:16" x14ac:dyDescent="0.35">
      <c r="A2176" s="71">
        <v>2</v>
      </c>
      <c r="P2176" s="66"/>
    </row>
    <row r="2177" spans="1:16" x14ac:dyDescent="0.35">
      <c r="A2177" s="71">
        <v>2</v>
      </c>
    </row>
    <row r="2178" spans="1:16" x14ac:dyDescent="0.35">
      <c r="A2178" s="71">
        <v>2</v>
      </c>
    </row>
    <row r="2179" spans="1:16" x14ac:dyDescent="0.35">
      <c r="A2179" s="71">
        <v>1</v>
      </c>
    </row>
    <row r="2180" spans="1:16" x14ac:dyDescent="0.35">
      <c r="A2180" s="71">
        <v>2</v>
      </c>
    </row>
    <row r="2181" spans="1:16" x14ac:dyDescent="0.35">
      <c r="A2181" s="71">
        <v>2</v>
      </c>
    </row>
    <row r="2182" spans="1:16" x14ac:dyDescent="0.35">
      <c r="A2182" s="71">
        <v>2</v>
      </c>
    </row>
    <row r="2183" spans="1:16" x14ac:dyDescent="0.35">
      <c r="A2183" s="71">
        <v>2</v>
      </c>
    </row>
    <row r="2184" spans="1:16" x14ac:dyDescent="0.35">
      <c r="A2184" s="71">
        <v>2</v>
      </c>
      <c r="P2184" s="71">
        <v>1</v>
      </c>
    </row>
    <row r="2185" spans="1:16" x14ac:dyDescent="0.35">
      <c r="A2185" s="71">
        <v>2</v>
      </c>
      <c r="P2185" s="71">
        <v>7</v>
      </c>
    </row>
    <row r="2186" spans="1:16" x14ac:dyDescent="0.35">
      <c r="A2186" s="71">
        <v>2</v>
      </c>
      <c r="P2186" s="71">
        <v>8</v>
      </c>
    </row>
    <row r="2187" spans="1:16" x14ac:dyDescent="0.35">
      <c r="A2187" s="71">
        <v>2</v>
      </c>
    </row>
    <row r="2188" spans="1:16" x14ac:dyDescent="0.35">
      <c r="A2188" s="71">
        <v>2</v>
      </c>
      <c r="P2188" s="71">
        <v>9</v>
      </c>
    </row>
    <row r="2189" spans="1:16" x14ac:dyDescent="0.35">
      <c r="A2189" s="71">
        <v>2</v>
      </c>
      <c r="P2189" s="71">
        <v>10</v>
      </c>
    </row>
    <row r="2190" spans="1:16" x14ac:dyDescent="0.35">
      <c r="A2190" s="71">
        <v>2</v>
      </c>
      <c r="M2190" s="71" t="s">
        <v>73</v>
      </c>
    </row>
    <row r="2191" spans="1:16" x14ac:dyDescent="0.35">
      <c r="A2191" s="71">
        <v>2</v>
      </c>
      <c r="P2191" s="71">
        <v>11</v>
      </c>
    </row>
    <row r="2192" spans="1:16" x14ac:dyDescent="0.35">
      <c r="A2192" s="71">
        <v>2</v>
      </c>
    </row>
    <row r="2193" spans="1:16" x14ac:dyDescent="0.35">
      <c r="A2193" s="71">
        <v>2</v>
      </c>
      <c r="P2193" s="71">
        <v>12</v>
      </c>
    </row>
    <row r="2194" spans="1:16" x14ac:dyDescent="0.35">
      <c r="A2194" s="71">
        <v>2</v>
      </c>
      <c r="P2194" s="71">
        <v>13</v>
      </c>
    </row>
    <row r="2195" spans="1:16" x14ac:dyDescent="0.35">
      <c r="A2195" s="71">
        <v>2</v>
      </c>
      <c r="P2195" s="71">
        <v>14</v>
      </c>
    </row>
    <row r="2196" spans="1:16" x14ac:dyDescent="0.35">
      <c r="A2196" s="71">
        <v>2</v>
      </c>
    </row>
    <row r="2197" spans="1:16" x14ac:dyDescent="0.35">
      <c r="A2197" s="71">
        <v>2</v>
      </c>
      <c r="P2197" s="71">
        <v>15</v>
      </c>
    </row>
    <row r="2198" spans="1:16" x14ac:dyDescent="0.35">
      <c r="A2198" s="71">
        <v>2</v>
      </c>
    </row>
    <row r="2199" spans="1:16" x14ac:dyDescent="0.35">
      <c r="A2199" s="71">
        <v>2</v>
      </c>
      <c r="P2199" s="71">
        <v>16</v>
      </c>
    </row>
    <row r="2200" spans="1:16" x14ac:dyDescent="0.35">
      <c r="A2200" s="71">
        <v>2</v>
      </c>
    </row>
    <row r="2201" spans="1:16" x14ac:dyDescent="0.35">
      <c r="A2201" s="71">
        <v>2</v>
      </c>
      <c r="P2201" s="71">
        <v>17</v>
      </c>
    </row>
    <row r="2202" spans="1:16" ht="46.5" x14ac:dyDescent="0.35">
      <c r="A2202" s="71">
        <v>2</v>
      </c>
      <c r="M2202" s="71" t="s">
        <v>89</v>
      </c>
      <c r="O2202" s="64" t="s">
        <v>90</v>
      </c>
      <c r="P2202" s="71">
        <v>7</v>
      </c>
    </row>
    <row r="2203" spans="1:16" x14ac:dyDescent="0.35">
      <c r="A2203" s="71">
        <v>2</v>
      </c>
      <c r="O2203" s="96"/>
      <c r="P2203" s="71">
        <v>8</v>
      </c>
    </row>
    <row r="2204" spans="1:16" x14ac:dyDescent="0.35">
      <c r="A2204" s="71">
        <v>2</v>
      </c>
    </row>
    <row r="2205" spans="1:16" x14ac:dyDescent="0.35">
      <c r="A2205" s="71">
        <v>2</v>
      </c>
      <c r="P2205" s="71">
        <v>20</v>
      </c>
    </row>
    <row r="2206" spans="1:16" x14ac:dyDescent="0.35">
      <c r="A2206" s="71">
        <v>2</v>
      </c>
      <c r="M2206" s="97"/>
    </row>
    <row r="2207" spans="1:16" x14ac:dyDescent="0.35">
      <c r="A2207" s="71">
        <v>2</v>
      </c>
      <c r="P2207" s="71">
        <v>24</v>
      </c>
    </row>
    <row r="2208" spans="1:16" x14ac:dyDescent="0.35">
      <c r="A2208" s="71">
        <v>2</v>
      </c>
    </row>
    <row r="2209" spans="1:16" x14ac:dyDescent="0.35">
      <c r="A2209" s="71">
        <v>2</v>
      </c>
    </row>
    <row r="2210" spans="1:16" x14ac:dyDescent="0.35">
      <c r="A2210" s="71">
        <v>2</v>
      </c>
    </row>
    <row r="2211" spans="1:16" x14ac:dyDescent="0.35">
      <c r="A2211" s="71">
        <v>1</v>
      </c>
    </row>
    <row r="2212" spans="1:16" x14ac:dyDescent="0.35">
      <c r="A2212" s="71">
        <v>2</v>
      </c>
    </row>
    <row r="2213" spans="1:16" x14ac:dyDescent="0.35">
      <c r="A2213" s="71">
        <v>2</v>
      </c>
    </row>
    <row r="2214" spans="1:16" x14ac:dyDescent="0.35">
      <c r="A2214" s="71">
        <v>2</v>
      </c>
    </row>
    <row r="2215" spans="1:16" x14ac:dyDescent="0.35">
      <c r="A2215" s="71">
        <v>2</v>
      </c>
    </row>
    <row r="2216" spans="1:16" x14ac:dyDescent="0.35">
      <c r="A2216" s="71">
        <v>2</v>
      </c>
      <c r="P2216" s="71">
        <v>1</v>
      </c>
    </row>
    <row r="2217" spans="1:16" x14ac:dyDescent="0.35">
      <c r="A2217" s="71">
        <v>2</v>
      </c>
      <c r="P2217" s="71">
        <v>7</v>
      </c>
    </row>
    <row r="2218" spans="1:16" x14ac:dyDescent="0.35">
      <c r="A2218" s="71">
        <v>2</v>
      </c>
      <c r="P2218" s="71">
        <v>8</v>
      </c>
    </row>
    <row r="2219" spans="1:16" x14ac:dyDescent="0.35">
      <c r="A2219" s="71">
        <v>2</v>
      </c>
    </row>
    <row r="2220" spans="1:16" x14ac:dyDescent="0.35">
      <c r="A2220" s="71">
        <v>2</v>
      </c>
      <c r="P2220" s="71">
        <v>9</v>
      </c>
    </row>
    <row r="2221" spans="1:16" x14ac:dyDescent="0.35">
      <c r="A2221" s="71">
        <v>2</v>
      </c>
      <c r="P2221" s="71">
        <v>10</v>
      </c>
    </row>
    <row r="2222" spans="1:16" x14ac:dyDescent="0.35">
      <c r="A2222" s="71">
        <v>2</v>
      </c>
      <c r="M2222" s="71" t="s">
        <v>73</v>
      </c>
    </row>
    <row r="2223" spans="1:16" x14ac:dyDescent="0.35">
      <c r="A2223" s="71">
        <v>2</v>
      </c>
      <c r="P2223" s="71">
        <v>11</v>
      </c>
    </row>
    <row r="2224" spans="1:16" x14ac:dyDescent="0.35">
      <c r="A2224" s="71">
        <v>2</v>
      </c>
    </row>
    <row r="2225" spans="1:16" x14ac:dyDescent="0.35">
      <c r="A2225" s="71">
        <v>2</v>
      </c>
      <c r="P2225" s="71">
        <v>12</v>
      </c>
    </row>
    <row r="2226" spans="1:16" x14ac:dyDescent="0.35">
      <c r="A2226" s="71">
        <v>2</v>
      </c>
      <c r="P2226" s="71">
        <v>13</v>
      </c>
    </row>
    <row r="2227" spans="1:16" x14ac:dyDescent="0.35">
      <c r="A2227" s="71">
        <v>2</v>
      </c>
      <c r="P2227" s="71">
        <v>14</v>
      </c>
    </row>
    <row r="2228" spans="1:16" x14ac:dyDescent="0.35">
      <c r="A2228" s="71">
        <v>2</v>
      </c>
    </row>
    <row r="2229" spans="1:16" x14ac:dyDescent="0.35">
      <c r="A2229" s="71">
        <v>2</v>
      </c>
      <c r="P2229" s="71">
        <v>15</v>
      </c>
    </row>
    <row r="2230" spans="1:16" x14ac:dyDescent="0.35">
      <c r="A2230" s="71">
        <v>2</v>
      </c>
    </row>
    <row r="2231" spans="1:16" x14ac:dyDescent="0.35">
      <c r="A2231" s="71">
        <v>2</v>
      </c>
      <c r="P2231" s="71">
        <v>16</v>
      </c>
    </row>
    <row r="2232" spans="1:16" x14ac:dyDescent="0.35">
      <c r="A2232" s="71">
        <v>2</v>
      </c>
    </row>
    <row r="2233" spans="1:16" x14ac:dyDescent="0.35">
      <c r="A2233" s="71">
        <v>2</v>
      </c>
      <c r="P2233" s="71">
        <v>17</v>
      </c>
    </row>
    <row r="2234" spans="1:16" ht="46.5" x14ac:dyDescent="0.35">
      <c r="A2234" s="71">
        <v>2</v>
      </c>
      <c r="M2234" s="71" t="s">
        <v>89</v>
      </c>
      <c r="O2234" s="64" t="s">
        <v>90</v>
      </c>
      <c r="P2234" s="71">
        <v>7</v>
      </c>
    </row>
    <row r="2235" spans="1:16" x14ac:dyDescent="0.35">
      <c r="A2235" s="71">
        <v>2</v>
      </c>
      <c r="O2235" s="96"/>
      <c r="P2235" s="71">
        <v>8</v>
      </c>
    </row>
    <row r="2236" spans="1:16" x14ac:dyDescent="0.35">
      <c r="A2236" s="71">
        <v>2</v>
      </c>
    </row>
    <row r="2237" spans="1:16" x14ac:dyDescent="0.35">
      <c r="A2237" s="71">
        <v>2</v>
      </c>
      <c r="P2237" s="71">
        <v>20</v>
      </c>
    </row>
    <row r="2238" spans="1:16" x14ac:dyDescent="0.35">
      <c r="A2238" s="71">
        <v>2</v>
      </c>
      <c r="M2238" s="97"/>
    </row>
    <row r="2239" spans="1:16" x14ac:dyDescent="0.35">
      <c r="A2239" s="71">
        <v>2</v>
      </c>
      <c r="P2239" s="71">
        <v>24</v>
      </c>
    </row>
    <row r="2240" spans="1:16" x14ac:dyDescent="0.35">
      <c r="A2240" s="71">
        <v>2</v>
      </c>
    </row>
    <row r="2241" spans="1:16" x14ac:dyDescent="0.35">
      <c r="A2241" s="71">
        <v>2</v>
      </c>
    </row>
    <row r="2242" spans="1:16" x14ac:dyDescent="0.35">
      <c r="A2242" s="71">
        <v>2</v>
      </c>
      <c r="P2242" s="71">
        <v>25</v>
      </c>
    </row>
    <row r="2243" spans="1:16" x14ac:dyDescent="0.35">
      <c r="A2243" s="71">
        <v>2</v>
      </c>
      <c r="P2243" s="71">
        <v>26</v>
      </c>
    </row>
    <row r="2244" spans="1:16" x14ac:dyDescent="0.35">
      <c r="A2244" s="71">
        <v>2</v>
      </c>
      <c r="P2244" s="71">
        <v>6</v>
      </c>
    </row>
    <row r="2245" spans="1:16" x14ac:dyDescent="0.35">
      <c r="A2245" s="71">
        <v>2</v>
      </c>
    </row>
    <row r="2246" spans="1:16" x14ac:dyDescent="0.35">
      <c r="A2246" s="71">
        <v>2</v>
      </c>
    </row>
    <row r="2247" spans="1:16" x14ac:dyDescent="0.35">
      <c r="A2247" s="71">
        <v>1</v>
      </c>
    </row>
    <row r="2248" spans="1:16" x14ac:dyDescent="0.35">
      <c r="A2248" s="71">
        <v>2</v>
      </c>
    </row>
    <row r="2249" spans="1:16" x14ac:dyDescent="0.35">
      <c r="A2249" s="71">
        <v>2</v>
      </c>
    </row>
    <row r="2250" spans="1:16" x14ac:dyDescent="0.35">
      <c r="A2250" s="71">
        <v>2</v>
      </c>
    </row>
    <row r="2251" spans="1:16" x14ac:dyDescent="0.35">
      <c r="A2251" s="71">
        <v>2</v>
      </c>
    </row>
    <row r="2252" spans="1:16" x14ac:dyDescent="0.35">
      <c r="A2252" s="71">
        <v>2</v>
      </c>
      <c r="P2252" s="71">
        <v>1</v>
      </c>
    </row>
    <row r="2253" spans="1:16" x14ac:dyDescent="0.35">
      <c r="A2253" s="71">
        <v>2</v>
      </c>
      <c r="P2253" s="71">
        <v>7</v>
      </c>
    </row>
    <row r="2254" spans="1:16" x14ac:dyDescent="0.35">
      <c r="A2254" s="71">
        <v>2</v>
      </c>
      <c r="P2254" s="71">
        <v>8</v>
      </c>
    </row>
    <row r="2255" spans="1:16" x14ac:dyDescent="0.35">
      <c r="A2255" s="71">
        <v>2</v>
      </c>
    </row>
    <row r="2256" spans="1:16" x14ac:dyDescent="0.35">
      <c r="A2256" s="71">
        <v>2</v>
      </c>
      <c r="P2256" s="71">
        <v>27</v>
      </c>
    </row>
    <row r="2257" spans="1:16" x14ac:dyDescent="0.35">
      <c r="A2257" s="71">
        <v>2</v>
      </c>
      <c r="P2257" s="71">
        <v>10</v>
      </c>
    </row>
    <row r="2258" spans="1:16" x14ac:dyDescent="0.35">
      <c r="A2258" s="71">
        <v>2</v>
      </c>
      <c r="M2258" s="71" t="s">
        <v>73</v>
      </c>
    </row>
    <row r="2259" spans="1:16" x14ac:dyDescent="0.35">
      <c r="A2259" s="71">
        <v>2</v>
      </c>
      <c r="P2259" s="71">
        <v>11</v>
      </c>
    </row>
    <row r="2260" spans="1:16" x14ac:dyDescent="0.35">
      <c r="A2260" s="71">
        <v>2</v>
      </c>
    </row>
    <row r="2261" spans="1:16" x14ac:dyDescent="0.35">
      <c r="A2261" s="71">
        <v>2</v>
      </c>
      <c r="P2261" s="71">
        <v>28</v>
      </c>
    </row>
    <row r="2262" spans="1:16" x14ac:dyDescent="0.35">
      <c r="A2262" s="71">
        <v>2</v>
      </c>
      <c r="P2262" s="71">
        <v>29</v>
      </c>
    </row>
    <row r="2263" spans="1:16" x14ac:dyDescent="0.35">
      <c r="A2263" s="71">
        <v>2</v>
      </c>
    </row>
    <row r="2264" spans="1:16" x14ac:dyDescent="0.35">
      <c r="A2264" s="71">
        <v>2</v>
      </c>
      <c r="P2264" s="71">
        <v>30</v>
      </c>
    </row>
    <row r="2265" spans="1:16" x14ac:dyDescent="0.35">
      <c r="A2265" s="71">
        <v>2</v>
      </c>
    </row>
    <row r="2266" spans="1:16" x14ac:dyDescent="0.35">
      <c r="A2266" s="71">
        <v>2</v>
      </c>
      <c r="P2266" s="71">
        <v>31</v>
      </c>
    </row>
    <row r="2267" spans="1:16" ht="46.5" x14ac:dyDescent="0.35">
      <c r="A2267" s="71">
        <v>2</v>
      </c>
      <c r="M2267" s="71" t="s">
        <v>89</v>
      </c>
      <c r="O2267" s="64" t="s">
        <v>90</v>
      </c>
      <c r="P2267" s="71">
        <v>7</v>
      </c>
    </row>
    <row r="2268" spans="1:16" x14ac:dyDescent="0.35">
      <c r="A2268" s="71">
        <v>2</v>
      </c>
      <c r="O2268" s="96"/>
      <c r="P2268" s="71">
        <v>8</v>
      </c>
    </row>
    <row r="2269" spans="1:16" x14ac:dyDescent="0.35">
      <c r="A2269" s="71">
        <v>2</v>
      </c>
    </row>
    <row r="2270" spans="1:16" x14ac:dyDescent="0.35">
      <c r="A2270" s="71">
        <v>2</v>
      </c>
      <c r="P2270" s="71">
        <v>21</v>
      </c>
    </row>
    <row r="2271" spans="1:16" x14ac:dyDescent="0.35">
      <c r="A2271" s="71">
        <v>2</v>
      </c>
    </row>
    <row r="2272" spans="1:16" x14ac:dyDescent="0.35">
      <c r="A2272" s="71">
        <v>2</v>
      </c>
      <c r="P2272" s="71">
        <v>32</v>
      </c>
    </row>
    <row r="2273" spans="1:16" x14ac:dyDescent="0.35">
      <c r="A2273" s="71">
        <v>2</v>
      </c>
      <c r="P2273" s="71">
        <v>33</v>
      </c>
    </row>
    <row r="2274" spans="1:16" x14ac:dyDescent="0.35">
      <c r="A2274" s="71">
        <v>2</v>
      </c>
      <c r="P2274" s="71">
        <v>4</v>
      </c>
    </row>
    <row r="2275" spans="1:16" x14ac:dyDescent="0.35">
      <c r="A2275" s="71">
        <v>2</v>
      </c>
    </row>
    <row r="2276" spans="1:16" x14ac:dyDescent="0.35">
      <c r="A2276" s="71">
        <v>2</v>
      </c>
    </row>
    <row r="2277" spans="1:16" x14ac:dyDescent="0.35">
      <c r="A2277" s="71">
        <v>2</v>
      </c>
    </row>
    <row r="2278" spans="1:16" x14ac:dyDescent="0.35">
      <c r="A2278" s="71">
        <v>1</v>
      </c>
    </row>
    <row r="2279" spans="1:16" x14ac:dyDescent="0.35">
      <c r="A2279" s="71">
        <v>2</v>
      </c>
      <c r="M2279" s="95" t="s">
        <v>149</v>
      </c>
    </row>
    <row r="2280" spans="1:16" x14ac:dyDescent="0.35">
      <c r="A2280" s="71">
        <v>2</v>
      </c>
    </row>
    <row r="2281" spans="1:16" x14ac:dyDescent="0.35">
      <c r="A2281" s="71">
        <v>2</v>
      </c>
    </row>
    <row r="2282" spans="1:16" x14ac:dyDescent="0.35">
      <c r="A2282" s="71">
        <v>2</v>
      </c>
    </row>
    <row r="2283" spans="1:16" x14ac:dyDescent="0.35">
      <c r="A2283" s="71">
        <v>2</v>
      </c>
    </row>
    <row r="2284" spans="1:16" x14ac:dyDescent="0.35">
      <c r="A2284" s="71">
        <v>2</v>
      </c>
      <c r="P2284" s="71">
        <v>1</v>
      </c>
    </row>
    <row r="2285" spans="1:16" x14ac:dyDescent="0.35">
      <c r="A2285" s="71">
        <v>2</v>
      </c>
    </row>
    <row r="2286" spans="1:16" x14ac:dyDescent="0.35">
      <c r="A2286" s="71">
        <v>2</v>
      </c>
      <c r="P2286" s="71">
        <v>2</v>
      </c>
    </row>
    <row r="2287" spans="1:16" x14ac:dyDescent="0.35">
      <c r="A2287" s="71">
        <v>2</v>
      </c>
      <c r="P2287" s="71">
        <v>3</v>
      </c>
    </row>
    <row r="2288" spans="1:16" x14ac:dyDescent="0.35">
      <c r="A2288" s="71">
        <v>2</v>
      </c>
    </row>
    <row r="2289" spans="1:16" x14ac:dyDescent="0.35">
      <c r="A2289" s="71">
        <v>2</v>
      </c>
      <c r="P2289" s="71">
        <v>6</v>
      </c>
    </row>
    <row r="2290" spans="1:16" x14ac:dyDescent="0.35">
      <c r="A2290" s="71">
        <v>2</v>
      </c>
    </row>
    <row r="2291" spans="1:16" x14ac:dyDescent="0.35">
      <c r="A2291" s="71">
        <v>2</v>
      </c>
      <c r="P2291" s="71">
        <v>34</v>
      </c>
    </row>
    <row r="2292" spans="1:16" x14ac:dyDescent="0.35">
      <c r="A2292" s="71">
        <v>2</v>
      </c>
    </row>
    <row r="2293" spans="1:16" x14ac:dyDescent="0.35">
      <c r="A2293" s="71">
        <v>2</v>
      </c>
    </row>
    <row r="2294" spans="1:16" x14ac:dyDescent="0.35">
      <c r="A2294" s="71">
        <v>1</v>
      </c>
    </row>
    <row r="2295" spans="1:16" x14ac:dyDescent="0.35">
      <c r="A2295" s="71">
        <v>2</v>
      </c>
    </row>
    <row r="2296" spans="1:16" x14ac:dyDescent="0.35">
      <c r="A2296" s="71">
        <v>2</v>
      </c>
    </row>
    <row r="2297" spans="1:16" x14ac:dyDescent="0.35">
      <c r="A2297" s="71">
        <v>2</v>
      </c>
    </row>
    <row r="2298" spans="1:16" x14ac:dyDescent="0.35">
      <c r="A2298" s="71">
        <v>2</v>
      </c>
    </row>
    <row r="2299" spans="1:16" x14ac:dyDescent="0.35">
      <c r="A2299" s="71">
        <v>2</v>
      </c>
    </row>
    <row r="2300" spans="1:16" x14ac:dyDescent="0.35">
      <c r="A2300" s="71">
        <v>2</v>
      </c>
      <c r="P2300" s="71">
        <v>1</v>
      </c>
    </row>
    <row r="2301" spans="1:16" x14ac:dyDescent="0.35">
      <c r="A2301" s="71">
        <v>2</v>
      </c>
    </row>
    <row r="2302" spans="1:16" x14ac:dyDescent="0.35">
      <c r="A2302" s="71">
        <v>2</v>
      </c>
      <c r="P2302" s="71">
        <v>2</v>
      </c>
    </row>
    <row r="2303" spans="1:16" x14ac:dyDescent="0.35">
      <c r="A2303" s="71">
        <v>2</v>
      </c>
      <c r="P2303" s="71">
        <v>3</v>
      </c>
    </row>
    <row r="2304" spans="1:16" x14ac:dyDescent="0.35">
      <c r="A2304" s="71">
        <v>2</v>
      </c>
    </row>
    <row r="2305" spans="1:16" x14ac:dyDescent="0.35">
      <c r="A2305" s="71">
        <v>2</v>
      </c>
      <c r="P2305" s="71">
        <v>6</v>
      </c>
    </row>
    <row r="2306" spans="1:16" x14ac:dyDescent="0.35">
      <c r="A2306" s="71">
        <v>2</v>
      </c>
    </row>
    <row r="2307" spans="1:16" x14ac:dyDescent="0.35">
      <c r="A2307" s="71">
        <v>2</v>
      </c>
    </row>
    <row r="2308" spans="1:16" x14ac:dyDescent="0.35">
      <c r="A2308" s="71">
        <v>1</v>
      </c>
    </row>
    <row r="2309" spans="1:16" x14ac:dyDescent="0.35">
      <c r="A2309" s="71">
        <v>2</v>
      </c>
    </row>
    <row r="2310" spans="1:16" x14ac:dyDescent="0.35">
      <c r="A2310" s="71">
        <v>2</v>
      </c>
    </row>
    <row r="2311" spans="1:16" x14ac:dyDescent="0.35">
      <c r="A2311" s="71">
        <v>2</v>
      </c>
    </row>
    <row r="2312" spans="1:16" x14ac:dyDescent="0.35">
      <c r="A2312" s="71">
        <v>2</v>
      </c>
    </row>
    <row r="2313" spans="1:16" x14ac:dyDescent="0.35">
      <c r="A2313" s="71">
        <v>2</v>
      </c>
      <c r="P2313" s="71">
        <v>1</v>
      </c>
    </row>
    <row r="2314" spans="1:16" x14ac:dyDescent="0.35">
      <c r="A2314" s="71">
        <v>2</v>
      </c>
      <c r="P2314" s="71">
        <v>7</v>
      </c>
    </row>
    <row r="2315" spans="1:16" x14ac:dyDescent="0.35">
      <c r="A2315" s="71">
        <v>2</v>
      </c>
      <c r="P2315" s="71">
        <v>8</v>
      </c>
    </row>
    <row r="2316" spans="1:16" x14ac:dyDescent="0.35">
      <c r="A2316" s="71">
        <v>2</v>
      </c>
    </row>
    <row r="2317" spans="1:16" x14ac:dyDescent="0.35">
      <c r="A2317" s="71">
        <v>2</v>
      </c>
      <c r="P2317" s="71">
        <v>35</v>
      </c>
    </row>
    <row r="2318" spans="1:16" x14ac:dyDescent="0.35">
      <c r="A2318" s="71">
        <v>2</v>
      </c>
      <c r="P2318" s="71">
        <v>10</v>
      </c>
    </row>
    <row r="2319" spans="1:16" x14ac:dyDescent="0.35">
      <c r="A2319" s="71">
        <v>2</v>
      </c>
    </row>
    <row r="2320" spans="1:16" x14ac:dyDescent="0.35">
      <c r="A2320" s="71">
        <v>2</v>
      </c>
      <c r="P2320" s="71">
        <v>2</v>
      </c>
    </row>
    <row r="2321" spans="1:16" x14ac:dyDescent="0.35">
      <c r="A2321" s="71">
        <v>2</v>
      </c>
    </row>
    <row r="2322" spans="1:16" x14ac:dyDescent="0.35">
      <c r="A2322" s="71">
        <v>2</v>
      </c>
      <c r="P2322" s="71">
        <v>14</v>
      </c>
    </row>
    <row r="2323" spans="1:16" x14ac:dyDescent="0.35">
      <c r="A2323" s="71">
        <v>2</v>
      </c>
    </row>
    <row r="2324" spans="1:16" x14ac:dyDescent="0.35">
      <c r="A2324" s="71">
        <v>2</v>
      </c>
      <c r="P2324" s="71">
        <v>36</v>
      </c>
    </row>
    <row r="2325" spans="1:16" x14ac:dyDescent="0.35">
      <c r="A2325" s="71">
        <v>2</v>
      </c>
    </row>
    <row r="2326" spans="1:16" x14ac:dyDescent="0.35">
      <c r="A2326" s="71">
        <v>2</v>
      </c>
      <c r="P2326" s="71">
        <v>37</v>
      </c>
    </row>
    <row r="2327" spans="1:16" ht="46.5" x14ac:dyDescent="0.35">
      <c r="A2327" s="71">
        <v>2</v>
      </c>
      <c r="O2327" s="64" t="s">
        <v>90</v>
      </c>
      <c r="P2327" s="71">
        <v>7</v>
      </c>
    </row>
    <row r="2328" spans="1:16" x14ac:dyDescent="0.35">
      <c r="A2328" s="71">
        <v>2</v>
      </c>
      <c r="O2328" s="96"/>
      <c r="P2328" s="71">
        <v>8</v>
      </c>
    </row>
    <row r="2329" spans="1:16" x14ac:dyDescent="0.35">
      <c r="A2329" s="71">
        <v>2</v>
      </c>
    </row>
    <row r="2330" spans="1:16" x14ac:dyDescent="0.35">
      <c r="A2330" s="71">
        <v>2</v>
      </c>
    </row>
    <row r="2331" spans="1:16" x14ac:dyDescent="0.35">
      <c r="A2331" s="71">
        <v>2</v>
      </c>
    </row>
    <row r="2332" spans="1:16" x14ac:dyDescent="0.35">
      <c r="A2332" s="71">
        <v>1</v>
      </c>
    </row>
    <row r="2333" spans="1:16" x14ac:dyDescent="0.35">
      <c r="A2333" s="71">
        <v>2</v>
      </c>
    </row>
    <row r="2334" spans="1:16" x14ac:dyDescent="0.35">
      <c r="A2334" s="71">
        <v>2</v>
      </c>
    </row>
    <row r="2335" spans="1:16" x14ac:dyDescent="0.35">
      <c r="A2335" s="71">
        <v>2</v>
      </c>
    </row>
    <row r="2336" spans="1:16" x14ac:dyDescent="0.35">
      <c r="A2336" s="71">
        <v>2</v>
      </c>
    </row>
    <row r="2337" spans="1:16" x14ac:dyDescent="0.35">
      <c r="A2337" s="71">
        <v>2</v>
      </c>
      <c r="P2337" s="71">
        <v>1</v>
      </c>
    </row>
    <row r="2338" spans="1:16" x14ac:dyDescent="0.35">
      <c r="A2338" s="71">
        <v>2</v>
      </c>
      <c r="P2338" s="71">
        <v>7</v>
      </c>
    </row>
    <row r="2339" spans="1:16" x14ac:dyDescent="0.35">
      <c r="A2339" s="71">
        <v>2</v>
      </c>
      <c r="P2339" s="71">
        <v>8</v>
      </c>
    </row>
    <row r="2340" spans="1:16" x14ac:dyDescent="0.35">
      <c r="A2340" s="71">
        <v>2</v>
      </c>
    </row>
    <row r="2341" spans="1:16" x14ac:dyDescent="0.35">
      <c r="A2341" s="71">
        <v>2</v>
      </c>
      <c r="P2341" s="71">
        <v>35</v>
      </c>
    </row>
    <row r="2342" spans="1:16" x14ac:dyDescent="0.35">
      <c r="A2342" s="71">
        <v>2</v>
      </c>
      <c r="P2342" s="71">
        <v>10</v>
      </c>
    </row>
    <row r="2343" spans="1:16" x14ac:dyDescent="0.35">
      <c r="A2343" s="71">
        <v>2</v>
      </c>
    </row>
    <row r="2344" spans="1:16" x14ac:dyDescent="0.35">
      <c r="A2344" s="71">
        <v>2</v>
      </c>
      <c r="P2344" s="71">
        <v>2</v>
      </c>
    </row>
    <row r="2345" spans="1:16" x14ac:dyDescent="0.35">
      <c r="A2345" s="71">
        <v>2</v>
      </c>
    </row>
    <row r="2346" spans="1:16" x14ac:dyDescent="0.35">
      <c r="A2346" s="71">
        <v>2</v>
      </c>
      <c r="P2346" s="71">
        <v>40</v>
      </c>
    </row>
    <row r="2347" spans="1:16" x14ac:dyDescent="0.35">
      <c r="A2347" s="71">
        <v>2</v>
      </c>
      <c r="P2347" s="71">
        <v>41</v>
      </c>
    </row>
    <row r="2348" spans="1:16" x14ac:dyDescent="0.35">
      <c r="A2348" s="71">
        <v>2</v>
      </c>
    </row>
    <row r="2349" spans="1:16" x14ac:dyDescent="0.35">
      <c r="A2349" s="71">
        <v>2</v>
      </c>
      <c r="P2349" s="71">
        <v>36</v>
      </c>
    </row>
    <row r="2350" spans="1:16" x14ac:dyDescent="0.35">
      <c r="A2350" s="71">
        <v>2</v>
      </c>
    </row>
    <row r="2351" spans="1:16" x14ac:dyDescent="0.35">
      <c r="A2351" s="71">
        <v>2</v>
      </c>
      <c r="P2351" s="71">
        <v>37</v>
      </c>
    </row>
    <row r="2352" spans="1:16" ht="46.5" x14ac:dyDescent="0.35">
      <c r="A2352" s="71">
        <v>2</v>
      </c>
      <c r="M2352" s="71" t="s">
        <v>89</v>
      </c>
      <c r="O2352" s="64" t="s">
        <v>90</v>
      </c>
      <c r="P2352" s="71">
        <v>7</v>
      </c>
    </row>
    <row r="2353" spans="1:16" x14ac:dyDescent="0.35">
      <c r="A2353" s="71">
        <v>2</v>
      </c>
      <c r="O2353" s="96"/>
      <c r="P2353" s="71">
        <v>8</v>
      </c>
    </row>
    <row r="2354" spans="1:16" x14ac:dyDescent="0.35">
      <c r="A2354" s="71">
        <v>2</v>
      </c>
    </row>
    <row r="2355" spans="1:16" x14ac:dyDescent="0.35">
      <c r="A2355" s="71">
        <v>2</v>
      </c>
      <c r="P2355" s="71">
        <v>24</v>
      </c>
    </row>
    <row r="2356" spans="1:16" x14ac:dyDescent="0.35">
      <c r="A2356" s="71">
        <v>2</v>
      </c>
    </row>
    <row r="2357" spans="1:16" x14ac:dyDescent="0.35">
      <c r="A2357" s="71">
        <v>2</v>
      </c>
    </row>
    <row r="2358" spans="1:16" x14ac:dyDescent="0.35">
      <c r="A2358" s="71">
        <v>2</v>
      </c>
    </row>
    <row r="2359" spans="1:16" x14ac:dyDescent="0.35">
      <c r="A2359" s="71">
        <v>1</v>
      </c>
    </row>
    <row r="2360" spans="1:16" x14ac:dyDescent="0.35">
      <c r="A2360" s="71">
        <v>2</v>
      </c>
    </row>
    <row r="2361" spans="1:16" x14ac:dyDescent="0.35">
      <c r="A2361" s="71">
        <v>2</v>
      </c>
    </row>
    <row r="2362" spans="1:16" x14ac:dyDescent="0.35">
      <c r="A2362" s="71">
        <v>2</v>
      </c>
    </row>
    <row r="2363" spans="1:16" x14ac:dyDescent="0.35">
      <c r="A2363" s="71">
        <v>2</v>
      </c>
    </row>
    <row r="2364" spans="1:16" x14ac:dyDescent="0.35">
      <c r="A2364" s="71">
        <v>2</v>
      </c>
      <c r="P2364" s="71">
        <v>1</v>
      </c>
    </row>
    <row r="2365" spans="1:16" x14ac:dyDescent="0.35">
      <c r="A2365" s="71">
        <v>2</v>
      </c>
      <c r="P2365" s="71">
        <v>7</v>
      </c>
    </row>
    <row r="2366" spans="1:16" x14ac:dyDescent="0.35">
      <c r="A2366" s="71">
        <v>2</v>
      </c>
      <c r="P2366" s="71">
        <v>8</v>
      </c>
    </row>
    <row r="2367" spans="1:16" x14ac:dyDescent="0.35">
      <c r="A2367" s="71">
        <v>2</v>
      </c>
    </row>
    <row r="2368" spans="1:16" x14ac:dyDescent="0.35">
      <c r="A2368" s="71">
        <v>2</v>
      </c>
      <c r="P2368" s="71">
        <v>35</v>
      </c>
    </row>
    <row r="2369" spans="1:16" x14ac:dyDescent="0.35">
      <c r="A2369" s="71">
        <v>2</v>
      </c>
      <c r="P2369" s="71">
        <v>10</v>
      </c>
    </row>
    <row r="2370" spans="1:16" x14ac:dyDescent="0.35">
      <c r="A2370" s="71">
        <v>2</v>
      </c>
    </row>
    <row r="2371" spans="1:16" x14ac:dyDescent="0.35">
      <c r="A2371" s="71">
        <v>2</v>
      </c>
      <c r="P2371" s="71">
        <v>2</v>
      </c>
    </row>
    <row r="2372" spans="1:16" x14ac:dyDescent="0.35">
      <c r="A2372" s="71">
        <v>2</v>
      </c>
    </row>
    <row r="2373" spans="1:16" x14ac:dyDescent="0.35">
      <c r="A2373" s="71">
        <v>2</v>
      </c>
      <c r="P2373" s="71">
        <v>14</v>
      </c>
    </row>
    <row r="2374" spans="1:16" x14ac:dyDescent="0.35">
      <c r="A2374" s="71">
        <v>2</v>
      </c>
    </row>
    <row r="2375" spans="1:16" x14ac:dyDescent="0.35">
      <c r="A2375" s="71">
        <v>2</v>
      </c>
      <c r="P2375" s="71">
        <v>36</v>
      </c>
    </row>
    <row r="2376" spans="1:16" x14ac:dyDescent="0.35">
      <c r="A2376" s="71">
        <v>2</v>
      </c>
    </row>
    <row r="2377" spans="1:16" x14ac:dyDescent="0.35">
      <c r="A2377" s="71">
        <v>2</v>
      </c>
      <c r="P2377" s="71">
        <v>37</v>
      </c>
    </row>
    <row r="2378" spans="1:16" ht="46.5" x14ac:dyDescent="0.35">
      <c r="A2378" s="71">
        <v>2</v>
      </c>
      <c r="M2378" s="71" t="s">
        <v>89</v>
      </c>
      <c r="O2378" s="64" t="s">
        <v>90</v>
      </c>
      <c r="P2378" s="71">
        <v>7</v>
      </c>
    </row>
    <row r="2379" spans="1:16" x14ac:dyDescent="0.35">
      <c r="A2379" s="71">
        <v>2</v>
      </c>
      <c r="O2379" s="96"/>
      <c r="P2379" s="71">
        <v>8</v>
      </c>
    </row>
    <row r="2380" spans="1:16" x14ac:dyDescent="0.35">
      <c r="A2380" s="71">
        <v>2</v>
      </c>
    </row>
    <row r="2381" spans="1:16" x14ac:dyDescent="0.35">
      <c r="A2381" s="71">
        <v>2</v>
      </c>
    </row>
    <row r="2382" spans="1:16" x14ac:dyDescent="0.35">
      <c r="A2382" s="71">
        <v>2</v>
      </c>
    </row>
    <row r="2383" spans="1:16" x14ac:dyDescent="0.35">
      <c r="A2383" s="71">
        <v>1</v>
      </c>
    </row>
    <row r="2384" spans="1:16" x14ac:dyDescent="0.35">
      <c r="A2384" s="71">
        <v>2</v>
      </c>
    </row>
    <row r="2385" spans="1:16" x14ac:dyDescent="0.35">
      <c r="A2385" s="71">
        <v>2</v>
      </c>
    </row>
    <row r="2386" spans="1:16" x14ac:dyDescent="0.35">
      <c r="A2386" s="71">
        <v>2</v>
      </c>
    </row>
    <row r="2387" spans="1:16" x14ac:dyDescent="0.35">
      <c r="A2387" s="71">
        <v>2</v>
      </c>
    </row>
    <row r="2388" spans="1:16" x14ac:dyDescent="0.35">
      <c r="A2388" s="71">
        <v>2</v>
      </c>
      <c r="P2388" s="71">
        <v>1</v>
      </c>
    </row>
    <row r="2389" spans="1:16" x14ac:dyDescent="0.35">
      <c r="A2389" s="71">
        <v>2</v>
      </c>
      <c r="P2389" s="71">
        <v>7</v>
      </c>
    </row>
    <row r="2390" spans="1:16" x14ac:dyDescent="0.35">
      <c r="A2390" s="71">
        <v>2</v>
      </c>
      <c r="P2390" s="71">
        <v>8</v>
      </c>
    </row>
    <row r="2391" spans="1:16" x14ac:dyDescent="0.35">
      <c r="A2391" s="71">
        <v>2</v>
      </c>
    </row>
    <row r="2392" spans="1:16" x14ac:dyDescent="0.35">
      <c r="A2392" s="71">
        <v>2</v>
      </c>
      <c r="P2392" s="71">
        <v>9</v>
      </c>
    </row>
    <row r="2393" spans="1:16" x14ac:dyDescent="0.35">
      <c r="A2393" s="71">
        <v>2</v>
      </c>
      <c r="P2393" s="71">
        <v>10</v>
      </c>
    </row>
    <row r="2394" spans="1:16" x14ac:dyDescent="0.35">
      <c r="A2394" s="71">
        <v>2</v>
      </c>
      <c r="M2394" s="71" t="s">
        <v>73</v>
      </c>
    </row>
    <row r="2395" spans="1:16" x14ac:dyDescent="0.35">
      <c r="A2395" s="71">
        <v>2</v>
      </c>
      <c r="P2395" s="71">
        <v>11</v>
      </c>
    </row>
    <row r="2396" spans="1:16" x14ac:dyDescent="0.35">
      <c r="A2396" s="71">
        <v>2</v>
      </c>
    </row>
    <row r="2397" spans="1:16" x14ac:dyDescent="0.35">
      <c r="A2397" s="71">
        <v>2</v>
      </c>
      <c r="P2397" s="71">
        <v>12</v>
      </c>
    </row>
    <row r="2398" spans="1:16" x14ac:dyDescent="0.35">
      <c r="A2398" s="71">
        <v>2</v>
      </c>
      <c r="P2398" s="71">
        <v>13</v>
      </c>
    </row>
    <row r="2399" spans="1:16" x14ac:dyDescent="0.35">
      <c r="A2399" s="71">
        <v>2</v>
      </c>
      <c r="P2399" s="71">
        <v>14</v>
      </c>
    </row>
    <row r="2400" spans="1:16" x14ac:dyDescent="0.35">
      <c r="A2400" s="71">
        <v>2</v>
      </c>
    </row>
    <row r="2401" spans="1:16" x14ac:dyDescent="0.35">
      <c r="A2401" s="71">
        <v>2</v>
      </c>
      <c r="P2401" s="71">
        <v>38</v>
      </c>
    </row>
    <row r="2402" spans="1:16" x14ac:dyDescent="0.35">
      <c r="A2402" s="71">
        <v>2</v>
      </c>
    </row>
    <row r="2403" spans="1:16" x14ac:dyDescent="0.35">
      <c r="A2403" s="71">
        <v>2</v>
      </c>
      <c r="P2403" s="71">
        <v>31</v>
      </c>
    </row>
    <row r="2404" spans="1:16" ht="46.5" x14ac:dyDescent="0.35">
      <c r="A2404" s="71">
        <v>2</v>
      </c>
      <c r="M2404" s="71" t="s">
        <v>89</v>
      </c>
      <c r="O2404" s="64" t="s">
        <v>90</v>
      </c>
      <c r="P2404" s="71">
        <v>7</v>
      </c>
    </row>
    <row r="2405" spans="1:16" x14ac:dyDescent="0.35">
      <c r="A2405" s="71">
        <v>2</v>
      </c>
      <c r="O2405" s="96"/>
      <c r="P2405" s="71">
        <v>8</v>
      </c>
    </row>
    <row r="2406" spans="1:16" x14ac:dyDescent="0.35">
      <c r="A2406" s="71">
        <v>2</v>
      </c>
    </row>
    <row r="2407" spans="1:16" x14ac:dyDescent="0.35">
      <c r="A2407" s="71">
        <v>2</v>
      </c>
      <c r="P2407" s="71">
        <v>22</v>
      </c>
    </row>
    <row r="2408" spans="1:16" x14ac:dyDescent="0.35">
      <c r="A2408" s="71">
        <v>2</v>
      </c>
      <c r="M2408" s="97"/>
    </row>
    <row r="2409" spans="1:16" x14ac:dyDescent="0.35">
      <c r="A2409" s="71">
        <v>2</v>
      </c>
      <c r="P2409" s="71">
        <v>24</v>
      </c>
    </row>
    <row r="2410" spans="1:16" x14ac:dyDescent="0.35">
      <c r="A2410" s="71">
        <v>2</v>
      </c>
    </row>
    <row r="2411" spans="1:16" x14ac:dyDescent="0.35">
      <c r="A2411" s="71">
        <v>2</v>
      </c>
      <c r="P2411" s="71">
        <v>25</v>
      </c>
    </row>
    <row r="2412" spans="1:16" x14ac:dyDescent="0.35">
      <c r="A2412" s="71">
        <v>2</v>
      </c>
      <c r="P2412" s="71">
        <v>26</v>
      </c>
    </row>
    <row r="2413" spans="1:16" x14ac:dyDescent="0.35">
      <c r="A2413" s="71">
        <v>2</v>
      </c>
      <c r="P2413" s="71">
        <v>6</v>
      </c>
    </row>
    <row r="2414" spans="1:16" x14ac:dyDescent="0.35">
      <c r="A2414" s="71">
        <v>2</v>
      </c>
    </row>
    <row r="2415" spans="1:16" x14ac:dyDescent="0.35">
      <c r="A2415" s="71">
        <v>2</v>
      </c>
    </row>
    <row r="2416" spans="1:16" x14ac:dyDescent="0.35">
      <c r="A2416" s="71">
        <v>1</v>
      </c>
    </row>
    <row r="2417" spans="1:16" x14ac:dyDescent="0.35">
      <c r="A2417" s="71">
        <v>2</v>
      </c>
    </row>
    <row r="2418" spans="1:16" x14ac:dyDescent="0.35">
      <c r="A2418" s="71">
        <v>2</v>
      </c>
    </row>
    <row r="2419" spans="1:16" x14ac:dyDescent="0.35">
      <c r="A2419" s="71">
        <v>2</v>
      </c>
    </row>
    <row r="2420" spans="1:16" x14ac:dyDescent="0.35">
      <c r="A2420" s="71">
        <v>2</v>
      </c>
    </row>
    <row r="2421" spans="1:16" x14ac:dyDescent="0.35">
      <c r="A2421" s="71">
        <v>2</v>
      </c>
      <c r="P2421" s="71">
        <v>1</v>
      </c>
    </row>
    <row r="2422" spans="1:16" x14ac:dyDescent="0.35">
      <c r="A2422" s="71">
        <v>2</v>
      </c>
      <c r="P2422" s="71">
        <v>7</v>
      </c>
    </row>
    <row r="2423" spans="1:16" x14ac:dyDescent="0.35">
      <c r="A2423" s="71">
        <v>2</v>
      </c>
      <c r="P2423" s="71">
        <v>8</v>
      </c>
    </row>
    <row r="2424" spans="1:16" x14ac:dyDescent="0.35">
      <c r="A2424" s="71">
        <v>2</v>
      </c>
    </row>
    <row r="2425" spans="1:16" x14ac:dyDescent="0.35">
      <c r="A2425" s="71">
        <v>2</v>
      </c>
      <c r="P2425" s="71">
        <v>9</v>
      </c>
    </row>
    <row r="2426" spans="1:16" x14ac:dyDescent="0.35">
      <c r="A2426" s="71">
        <v>2</v>
      </c>
      <c r="P2426" s="71">
        <v>10</v>
      </c>
    </row>
    <row r="2427" spans="1:16" x14ac:dyDescent="0.35">
      <c r="A2427" s="71">
        <v>2</v>
      </c>
      <c r="M2427" s="71" t="s">
        <v>73</v>
      </c>
    </row>
    <row r="2428" spans="1:16" x14ac:dyDescent="0.35">
      <c r="A2428" s="71">
        <v>2</v>
      </c>
      <c r="P2428" s="71">
        <v>11</v>
      </c>
    </row>
    <row r="2429" spans="1:16" x14ac:dyDescent="0.35">
      <c r="A2429" s="71">
        <v>2</v>
      </c>
    </row>
    <row r="2430" spans="1:16" x14ac:dyDescent="0.35">
      <c r="A2430" s="71">
        <v>2</v>
      </c>
      <c r="P2430" s="71">
        <v>12</v>
      </c>
    </row>
    <row r="2431" spans="1:16" x14ac:dyDescent="0.35">
      <c r="A2431" s="71">
        <v>2</v>
      </c>
      <c r="P2431" s="71">
        <v>14</v>
      </c>
    </row>
    <row r="2432" spans="1:16" x14ac:dyDescent="0.35">
      <c r="A2432" s="71">
        <v>2</v>
      </c>
    </row>
    <row r="2433" spans="1:16" x14ac:dyDescent="0.35">
      <c r="A2433" s="71">
        <v>2</v>
      </c>
      <c r="P2433" s="71">
        <v>38</v>
      </c>
    </row>
    <row r="2434" spans="1:16" x14ac:dyDescent="0.35">
      <c r="A2434" s="71">
        <v>2</v>
      </c>
    </row>
    <row r="2435" spans="1:16" x14ac:dyDescent="0.35">
      <c r="A2435" s="71">
        <v>2</v>
      </c>
      <c r="P2435" s="71">
        <v>31</v>
      </c>
    </row>
    <row r="2436" spans="1:16" ht="46.5" x14ac:dyDescent="0.35">
      <c r="A2436" s="71">
        <v>2</v>
      </c>
      <c r="M2436" s="71" t="s">
        <v>89</v>
      </c>
      <c r="O2436" s="64" t="s">
        <v>90</v>
      </c>
      <c r="P2436" s="71">
        <v>7</v>
      </c>
    </row>
    <row r="2437" spans="1:16" x14ac:dyDescent="0.35">
      <c r="A2437" s="71">
        <v>2</v>
      </c>
      <c r="O2437" s="96"/>
      <c r="P2437" s="71">
        <v>8</v>
      </c>
    </row>
    <row r="2438" spans="1:16" x14ac:dyDescent="0.35">
      <c r="A2438" s="71">
        <v>2</v>
      </c>
    </row>
    <row r="2439" spans="1:16" x14ac:dyDescent="0.35">
      <c r="A2439" s="71">
        <v>2</v>
      </c>
      <c r="P2439" s="71">
        <v>23</v>
      </c>
    </row>
    <row r="2440" spans="1:16" x14ac:dyDescent="0.35">
      <c r="A2440" s="71">
        <v>2</v>
      </c>
      <c r="M2440" s="97"/>
    </row>
    <row r="2441" spans="1:16" x14ac:dyDescent="0.35">
      <c r="A2441" s="71">
        <v>2</v>
      </c>
      <c r="P2441" s="71">
        <v>24</v>
      </c>
    </row>
    <row r="2442" spans="1:16" x14ac:dyDescent="0.35">
      <c r="A2442" s="71">
        <v>2</v>
      </c>
    </row>
    <row r="2443" spans="1:16" x14ac:dyDescent="0.35">
      <c r="A2443" s="71">
        <v>2</v>
      </c>
      <c r="P2443" s="71">
        <v>25</v>
      </c>
    </row>
    <row r="2444" spans="1:16" x14ac:dyDescent="0.35">
      <c r="A2444" s="71">
        <v>2</v>
      </c>
      <c r="P2444" s="71">
        <v>26</v>
      </c>
    </row>
    <row r="2445" spans="1:16" x14ac:dyDescent="0.35">
      <c r="A2445" s="71">
        <v>2</v>
      </c>
      <c r="P2445" s="71">
        <v>6</v>
      </c>
    </row>
    <row r="2446" spans="1:16" x14ac:dyDescent="0.35">
      <c r="A2446" s="71">
        <v>2</v>
      </c>
    </row>
    <row r="2447" spans="1:16" x14ac:dyDescent="0.35">
      <c r="A2447" s="71">
        <v>2</v>
      </c>
    </row>
    <row r="2448" spans="1:16" x14ac:dyDescent="0.35">
      <c r="A2448" s="71">
        <v>1</v>
      </c>
    </row>
    <row r="2449" spans="1:16" x14ac:dyDescent="0.35">
      <c r="A2449" s="71">
        <v>2</v>
      </c>
    </row>
    <row r="2450" spans="1:16" x14ac:dyDescent="0.35">
      <c r="A2450" s="71">
        <v>2</v>
      </c>
    </row>
    <row r="2451" spans="1:16" x14ac:dyDescent="0.35">
      <c r="A2451" s="71">
        <v>2</v>
      </c>
    </row>
    <row r="2452" spans="1:16" x14ac:dyDescent="0.35">
      <c r="A2452" s="71">
        <v>2</v>
      </c>
    </row>
    <row r="2453" spans="1:16" x14ac:dyDescent="0.35">
      <c r="A2453" s="71">
        <v>2</v>
      </c>
      <c r="P2453" s="71">
        <v>1</v>
      </c>
    </row>
    <row r="2454" spans="1:16" x14ac:dyDescent="0.35">
      <c r="A2454" s="71">
        <v>2</v>
      </c>
      <c r="P2454" s="71">
        <v>7</v>
      </c>
    </row>
    <row r="2455" spans="1:16" x14ac:dyDescent="0.35">
      <c r="A2455" s="71">
        <v>2</v>
      </c>
      <c r="P2455" s="71">
        <v>8</v>
      </c>
    </row>
    <row r="2456" spans="1:16" x14ac:dyDescent="0.35">
      <c r="A2456" s="71">
        <v>2</v>
      </c>
    </row>
    <row r="2457" spans="1:16" x14ac:dyDescent="0.35">
      <c r="A2457" s="71">
        <v>2</v>
      </c>
      <c r="P2457" s="71">
        <v>27</v>
      </c>
    </row>
    <row r="2458" spans="1:16" x14ac:dyDescent="0.35">
      <c r="A2458" s="71">
        <v>2</v>
      </c>
      <c r="P2458" s="71">
        <v>10</v>
      </c>
    </row>
    <row r="2459" spans="1:16" x14ac:dyDescent="0.35">
      <c r="A2459" s="71">
        <v>2</v>
      </c>
      <c r="M2459" s="71" t="s">
        <v>73</v>
      </c>
    </row>
    <row r="2460" spans="1:16" x14ac:dyDescent="0.35">
      <c r="A2460" s="71">
        <v>2</v>
      </c>
      <c r="P2460" s="71">
        <v>11</v>
      </c>
    </row>
    <row r="2461" spans="1:16" x14ac:dyDescent="0.35">
      <c r="A2461" s="71">
        <v>2</v>
      </c>
    </row>
    <row r="2462" spans="1:16" x14ac:dyDescent="0.35">
      <c r="A2462" s="71">
        <v>2</v>
      </c>
      <c r="P2462" s="71">
        <v>28</v>
      </c>
    </row>
    <row r="2463" spans="1:16" x14ac:dyDescent="0.35">
      <c r="A2463" s="71">
        <v>2</v>
      </c>
      <c r="P2463" s="71">
        <v>14</v>
      </c>
    </row>
    <row r="2464" spans="1:16" x14ac:dyDescent="0.35">
      <c r="A2464" s="71">
        <v>2</v>
      </c>
    </row>
    <row r="2465" spans="1:16" x14ac:dyDescent="0.35">
      <c r="A2465" s="71">
        <v>2</v>
      </c>
      <c r="P2465" s="71">
        <v>30</v>
      </c>
    </row>
    <row r="2466" spans="1:16" x14ac:dyDescent="0.35">
      <c r="A2466" s="71">
        <v>2</v>
      </c>
    </row>
    <row r="2467" spans="1:16" x14ac:dyDescent="0.35">
      <c r="A2467" s="71">
        <v>2</v>
      </c>
      <c r="P2467" s="71">
        <v>31</v>
      </c>
    </row>
    <row r="2468" spans="1:16" ht="46.5" x14ac:dyDescent="0.35">
      <c r="A2468" s="71">
        <v>2</v>
      </c>
      <c r="M2468" s="71" t="s">
        <v>89</v>
      </c>
      <c r="O2468" s="64" t="s">
        <v>90</v>
      </c>
      <c r="P2468" s="71">
        <v>7</v>
      </c>
    </row>
    <row r="2469" spans="1:16" x14ac:dyDescent="0.35">
      <c r="A2469" s="71">
        <v>2</v>
      </c>
      <c r="O2469" s="96"/>
      <c r="P2469" s="71">
        <v>8</v>
      </c>
    </row>
    <row r="2470" spans="1:16" x14ac:dyDescent="0.35">
      <c r="A2470" s="71">
        <v>2</v>
      </c>
    </row>
    <row r="2471" spans="1:16" x14ac:dyDescent="0.35">
      <c r="A2471" s="71">
        <v>2</v>
      </c>
      <c r="P2471" s="71">
        <v>23</v>
      </c>
    </row>
    <row r="2472" spans="1:16" x14ac:dyDescent="0.35">
      <c r="A2472" s="71">
        <v>2</v>
      </c>
    </row>
    <row r="2473" spans="1:16" x14ac:dyDescent="0.35">
      <c r="A2473" s="71">
        <v>2</v>
      </c>
    </row>
    <row r="2474" spans="1:16" x14ac:dyDescent="0.35">
      <c r="A2474" s="71">
        <v>2</v>
      </c>
    </row>
    <row r="2475" spans="1:16" x14ac:dyDescent="0.35">
      <c r="A2475" s="71">
        <v>1</v>
      </c>
      <c r="M2475" s="95" t="s">
        <v>155</v>
      </c>
    </row>
    <row r="2476" spans="1:16" x14ac:dyDescent="0.35">
      <c r="A2476" s="71">
        <v>2</v>
      </c>
    </row>
    <row r="2477" spans="1:16" x14ac:dyDescent="0.35">
      <c r="A2477" s="71">
        <v>2</v>
      </c>
    </row>
    <row r="2478" spans="1:16" x14ac:dyDescent="0.35">
      <c r="A2478" s="71">
        <v>2</v>
      </c>
    </row>
    <row r="2479" spans="1:16" x14ac:dyDescent="0.35">
      <c r="A2479" s="71">
        <v>2</v>
      </c>
    </row>
    <row r="2480" spans="1:16" x14ac:dyDescent="0.35">
      <c r="A2480" s="71">
        <v>2</v>
      </c>
      <c r="P2480" s="71">
        <v>1</v>
      </c>
    </row>
    <row r="2481" spans="1:16" x14ac:dyDescent="0.35">
      <c r="A2481" s="71">
        <v>2</v>
      </c>
      <c r="P2481" s="71">
        <v>7</v>
      </c>
    </row>
    <row r="2482" spans="1:16" x14ac:dyDescent="0.35">
      <c r="A2482" s="71">
        <v>2</v>
      </c>
      <c r="P2482" s="71">
        <v>8</v>
      </c>
    </row>
    <row r="2483" spans="1:16" x14ac:dyDescent="0.35">
      <c r="A2483" s="71">
        <v>2</v>
      </c>
    </row>
    <row r="2484" spans="1:16" x14ac:dyDescent="0.35">
      <c r="A2484" s="71">
        <v>2</v>
      </c>
      <c r="P2484" s="71">
        <v>27</v>
      </c>
    </row>
    <row r="2485" spans="1:16" x14ac:dyDescent="0.35">
      <c r="A2485" s="71">
        <v>2</v>
      </c>
      <c r="P2485" s="71">
        <v>10</v>
      </c>
    </row>
    <row r="2486" spans="1:16" x14ac:dyDescent="0.35">
      <c r="A2486" s="71">
        <v>2</v>
      </c>
    </row>
    <row r="2487" spans="1:16" x14ac:dyDescent="0.35">
      <c r="A2487" s="71">
        <v>2</v>
      </c>
      <c r="P2487" s="71">
        <v>11</v>
      </c>
    </row>
    <row r="2488" spans="1:16" x14ac:dyDescent="0.35">
      <c r="A2488" s="71">
        <v>2</v>
      </c>
    </row>
    <row r="2489" spans="1:16" x14ac:dyDescent="0.35">
      <c r="A2489" s="71">
        <v>2</v>
      </c>
      <c r="P2489" s="71">
        <v>28</v>
      </c>
    </row>
    <row r="2490" spans="1:16" x14ac:dyDescent="0.35">
      <c r="A2490" s="71">
        <v>2</v>
      </c>
    </row>
    <row r="2491" spans="1:16" x14ac:dyDescent="0.35">
      <c r="A2491" s="71">
        <v>2</v>
      </c>
    </row>
    <row r="2492" spans="1:16" x14ac:dyDescent="0.35">
      <c r="A2492" s="71">
        <v>2</v>
      </c>
      <c r="P2492" s="71">
        <v>39</v>
      </c>
    </row>
    <row r="2493" spans="1:16" x14ac:dyDescent="0.35">
      <c r="A2493" s="71">
        <v>2</v>
      </c>
    </row>
    <row r="2494" spans="1:16" x14ac:dyDescent="0.35">
      <c r="A2494" s="71">
        <v>2</v>
      </c>
      <c r="P2494" s="71">
        <v>16</v>
      </c>
    </row>
    <row r="2495" spans="1:16" x14ac:dyDescent="0.35">
      <c r="A2495" s="71">
        <v>2</v>
      </c>
    </row>
    <row r="2496" spans="1:16" x14ac:dyDescent="0.35">
      <c r="A2496" s="71">
        <v>2</v>
      </c>
      <c r="P2496" s="71">
        <v>17</v>
      </c>
    </row>
    <row r="2497" spans="1:16" ht="46.5" x14ac:dyDescent="0.35">
      <c r="A2497" s="71">
        <v>2</v>
      </c>
      <c r="O2497" s="64" t="s">
        <v>90</v>
      </c>
      <c r="P2497" s="71">
        <v>7</v>
      </c>
    </row>
    <row r="2498" spans="1:16" x14ac:dyDescent="0.35">
      <c r="A2498" s="71">
        <v>2</v>
      </c>
      <c r="O2498" s="96"/>
      <c r="P2498" s="71">
        <v>8</v>
      </c>
    </row>
    <row r="2499" spans="1:16" x14ac:dyDescent="0.35">
      <c r="A2499" s="71">
        <v>2</v>
      </c>
    </row>
    <row r="2500" spans="1:16" x14ac:dyDescent="0.35">
      <c r="A2500" s="71">
        <v>2</v>
      </c>
      <c r="P2500" s="71">
        <v>25</v>
      </c>
    </row>
    <row r="2501" spans="1:16" x14ac:dyDescent="0.35">
      <c r="A2501" s="71">
        <v>2</v>
      </c>
      <c r="P2501" s="71">
        <v>26</v>
      </c>
    </row>
    <row r="2502" spans="1:16" x14ac:dyDescent="0.35">
      <c r="A2502" s="71">
        <v>2</v>
      </c>
      <c r="P2502" s="71">
        <v>6</v>
      </c>
    </row>
    <row r="2503" spans="1:16" x14ac:dyDescent="0.35">
      <c r="A2503" s="71">
        <v>2</v>
      </c>
    </row>
    <row r="2504" spans="1:16" x14ac:dyDescent="0.35">
      <c r="A2504" s="71">
        <v>2</v>
      </c>
    </row>
    <row r="2505" spans="1:16" x14ac:dyDescent="0.35">
      <c r="A2505" s="71">
        <v>1</v>
      </c>
    </row>
    <row r="2506" spans="1:16" x14ac:dyDescent="0.35">
      <c r="A2506" s="71">
        <v>2</v>
      </c>
    </row>
    <row r="2507" spans="1:16" x14ac:dyDescent="0.35">
      <c r="A2507" s="71">
        <v>2</v>
      </c>
    </row>
    <row r="2508" spans="1:16" x14ac:dyDescent="0.35">
      <c r="A2508" s="71">
        <v>2</v>
      </c>
    </row>
    <row r="2509" spans="1:16" x14ac:dyDescent="0.35">
      <c r="A2509" s="71">
        <v>2</v>
      </c>
    </row>
    <row r="2510" spans="1:16" x14ac:dyDescent="0.35">
      <c r="A2510" s="71">
        <v>2</v>
      </c>
      <c r="P2510" s="71">
        <v>1</v>
      </c>
    </row>
    <row r="2511" spans="1:16" x14ac:dyDescent="0.35">
      <c r="A2511" s="71">
        <v>2</v>
      </c>
      <c r="P2511" s="71">
        <v>7</v>
      </c>
    </row>
    <row r="2512" spans="1:16" x14ac:dyDescent="0.35">
      <c r="A2512" s="71">
        <v>2</v>
      </c>
      <c r="P2512" s="71">
        <v>8</v>
      </c>
    </row>
    <row r="2513" spans="1:16" x14ac:dyDescent="0.35">
      <c r="A2513" s="71">
        <v>2</v>
      </c>
    </row>
    <row r="2514" spans="1:16" x14ac:dyDescent="0.35">
      <c r="A2514" s="71">
        <v>2</v>
      </c>
      <c r="P2514" s="71">
        <v>27</v>
      </c>
    </row>
    <row r="2515" spans="1:16" x14ac:dyDescent="0.35">
      <c r="A2515" s="71">
        <v>2</v>
      </c>
      <c r="P2515" s="71">
        <v>10</v>
      </c>
    </row>
    <row r="2516" spans="1:16" x14ac:dyDescent="0.35">
      <c r="A2516" s="71">
        <v>2</v>
      </c>
    </row>
    <row r="2517" spans="1:16" x14ac:dyDescent="0.35">
      <c r="A2517" s="71">
        <v>2</v>
      </c>
      <c r="P2517" s="71">
        <v>11</v>
      </c>
    </row>
    <row r="2518" spans="1:16" x14ac:dyDescent="0.35">
      <c r="A2518" s="71">
        <v>2</v>
      </c>
    </row>
    <row r="2519" spans="1:16" x14ac:dyDescent="0.35">
      <c r="A2519" s="71">
        <v>2</v>
      </c>
      <c r="P2519" s="71">
        <v>28</v>
      </c>
    </row>
    <row r="2520" spans="1:16" x14ac:dyDescent="0.35">
      <c r="A2520" s="71">
        <v>2</v>
      </c>
    </row>
    <row r="2521" spans="1:16" x14ac:dyDescent="0.35">
      <c r="A2521" s="71">
        <v>2</v>
      </c>
      <c r="P2521" s="71">
        <v>39</v>
      </c>
    </row>
    <row r="2522" spans="1:16" x14ac:dyDescent="0.35">
      <c r="A2522" s="71">
        <v>2</v>
      </c>
    </row>
    <row r="2523" spans="1:16" x14ac:dyDescent="0.35">
      <c r="A2523" s="71">
        <v>2</v>
      </c>
      <c r="P2523" s="71">
        <v>16</v>
      </c>
    </row>
    <row r="2524" spans="1:16" x14ac:dyDescent="0.35">
      <c r="A2524" s="71">
        <v>2</v>
      </c>
    </row>
    <row r="2525" spans="1:16" x14ac:dyDescent="0.35">
      <c r="A2525" s="71">
        <v>2</v>
      </c>
      <c r="P2525" s="71">
        <v>17</v>
      </c>
    </row>
    <row r="2526" spans="1:16" ht="46.5" x14ac:dyDescent="0.35">
      <c r="A2526" s="71">
        <v>2</v>
      </c>
      <c r="O2526" s="64" t="s">
        <v>90</v>
      </c>
      <c r="P2526" s="71">
        <v>7</v>
      </c>
    </row>
    <row r="2527" spans="1:16" x14ac:dyDescent="0.35">
      <c r="A2527" s="71">
        <v>2</v>
      </c>
      <c r="O2527" s="96"/>
      <c r="P2527" s="71">
        <v>8</v>
      </c>
    </row>
    <row r="2528" spans="1:16" x14ac:dyDescent="0.35">
      <c r="A2528" s="71">
        <v>2</v>
      </c>
    </row>
    <row r="2529" spans="1:16" x14ac:dyDescent="0.35">
      <c r="A2529" s="71">
        <v>2</v>
      </c>
      <c r="P2529" s="71">
        <v>21</v>
      </c>
    </row>
    <row r="2530" spans="1:16" x14ac:dyDescent="0.35">
      <c r="A2530" s="71">
        <v>2</v>
      </c>
    </row>
    <row r="2531" spans="1:16" x14ac:dyDescent="0.35">
      <c r="A2531" s="71">
        <v>2</v>
      </c>
    </row>
    <row r="2532" spans="1:16" x14ac:dyDescent="0.35">
      <c r="A2532" s="71">
        <v>2</v>
      </c>
    </row>
  </sheetData>
  <autoFilter ref="B10:P2532" xr:uid="{00000000-0001-0000-0000-000000000000}"/>
  <mergeCells count="13">
    <mergeCell ref="K2:L2"/>
    <mergeCell ref="K3:L3"/>
    <mergeCell ref="B5:L5"/>
    <mergeCell ref="B6:K6"/>
    <mergeCell ref="B7:B9"/>
    <mergeCell ref="C7:C9"/>
    <mergeCell ref="D7:D9"/>
    <mergeCell ref="E7:E9"/>
    <mergeCell ref="F7:H7"/>
    <mergeCell ref="I7:K7"/>
    <mergeCell ref="L7:L9"/>
    <mergeCell ref="F8:H8"/>
    <mergeCell ref="I8:K8"/>
  </mergeCells>
  <pageMargins left="0.25" right="0.25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2B7D-3A66-46E2-85ED-97ACF87DA0D4}">
  <dimension ref="A3:G51"/>
  <sheetViews>
    <sheetView topLeftCell="A4" workbookViewId="0">
      <selection activeCell="C26" sqref="C26"/>
    </sheetView>
  </sheetViews>
  <sheetFormatPr defaultRowHeight="14.5" x14ac:dyDescent="0.35"/>
  <cols>
    <col min="3" max="3" width="41.08984375" customWidth="1"/>
  </cols>
  <sheetData>
    <row r="3" spans="1:7" ht="32.25" customHeight="1" x14ac:dyDescent="0.35">
      <c r="B3" s="135" t="s">
        <v>165</v>
      </c>
      <c r="C3" s="135"/>
      <c r="D3" s="135"/>
      <c r="E3" s="135"/>
    </row>
    <row r="4" spans="1:7" ht="40.5" customHeight="1" x14ac:dyDescent="0.35">
      <c r="A4" s="56" t="s">
        <v>164</v>
      </c>
      <c r="B4" s="60" t="s">
        <v>160</v>
      </c>
      <c r="C4" s="60" t="s">
        <v>161</v>
      </c>
      <c r="D4" s="60" t="s">
        <v>162</v>
      </c>
      <c r="E4" s="60" t="s">
        <v>163</v>
      </c>
    </row>
    <row r="5" spans="1:7" x14ac:dyDescent="0.35">
      <c r="A5" s="56">
        <v>1</v>
      </c>
      <c r="B5" s="59">
        <v>1</v>
      </c>
      <c r="C5" s="58" t="s">
        <v>159</v>
      </c>
      <c r="D5" s="57" t="s">
        <v>26</v>
      </c>
      <c r="E5" s="57">
        <v>13.79</v>
      </c>
    </row>
    <row r="6" spans="1:7" x14ac:dyDescent="0.35">
      <c r="A6" s="56">
        <v>2</v>
      </c>
      <c r="B6" s="59">
        <v>2</v>
      </c>
      <c r="C6" s="58" t="s">
        <v>29</v>
      </c>
      <c r="D6" s="57" t="s">
        <v>26</v>
      </c>
      <c r="E6" s="59">
        <v>24.61</v>
      </c>
    </row>
    <row r="7" spans="1:7" x14ac:dyDescent="0.35">
      <c r="A7" s="56">
        <v>3</v>
      </c>
      <c r="B7" s="59">
        <v>3</v>
      </c>
      <c r="C7" s="58" t="s">
        <v>30</v>
      </c>
      <c r="D7" s="57" t="s">
        <v>31</v>
      </c>
      <c r="E7" s="59">
        <v>631.46</v>
      </c>
    </row>
    <row r="8" spans="1:7" x14ac:dyDescent="0.35">
      <c r="A8" s="56"/>
      <c r="B8" s="59"/>
      <c r="C8" s="62" t="s">
        <v>177</v>
      </c>
      <c r="D8" s="57" t="s">
        <v>31</v>
      </c>
      <c r="E8" s="59">
        <f>(4.41+6.0135+31.19+18.93+33.58+22.48)*1.04</f>
        <v>121.26764000000001</v>
      </c>
    </row>
    <row r="9" spans="1:7" x14ac:dyDescent="0.35">
      <c r="A9" s="56"/>
      <c r="B9" s="59"/>
      <c r="C9" s="62" t="s">
        <v>178</v>
      </c>
      <c r="D9" s="57" t="s">
        <v>31</v>
      </c>
      <c r="E9" s="59">
        <f>(17.62+33.73+124.94+75.82+149.1+89.51)*1.04</f>
        <v>510.34879999999998</v>
      </c>
    </row>
    <row r="10" spans="1:7" x14ac:dyDescent="0.35">
      <c r="A10" s="56">
        <v>4</v>
      </c>
      <c r="B10" s="59">
        <v>4</v>
      </c>
      <c r="C10" s="58" t="s">
        <v>166</v>
      </c>
      <c r="D10" s="57" t="s">
        <v>27</v>
      </c>
      <c r="E10" s="59">
        <v>17.940000000000001</v>
      </c>
    </row>
    <row r="11" spans="1:7" ht="29" x14ac:dyDescent="0.35">
      <c r="A11" s="56">
        <v>5</v>
      </c>
      <c r="B11" s="59">
        <v>5</v>
      </c>
      <c r="C11" s="61" t="s">
        <v>63</v>
      </c>
      <c r="D11" s="57" t="s">
        <v>27</v>
      </c>
      <c r="E11" s="59">
        <v>18.48</v>
      </c>
    </row>
    <row r="12" spans="1:7" ht="29" x14ac:dyDescent="0.35">
      <c r="A12" s="56">
        <v>6</v>
      </c>
      <c r="B12" s="59">
        <v>6</v>
      </c>
      <c r="C12" s="61" t="s">
        <v>65</v>
      </c>
      <c r="D12" s="57" t="s">
        <v>27</v>
      </c>
      <c r="E12" s="59">
        <v>141.96</v>
      </c>
    </row>
    <row r="13" spans="1:7" x14ac:dyDescent="0.35">
      <c r="A13" s="56">
        <v>7</v>
      </c>
      <c r="B13" s="59">
        <v>7</v>
      </c>
      <c r="C13" s="58" t="s">
        <v>167</v>
      </c>
      <c r="D13" s="57" t="s">
        <v>168</v>
      </c>
      <c r="E13" s="59">
        <f>326.9*F13</f>
        <v>98.07</v>
      </c>
      <c r="F13">
        <v>0.3</v>
      </c>
      <c r="G13" t="s">
        <v>169</v>
      </c>
    </row>
    <row r="14" spans="1:7" x14ac:dyDescent="0.35">
      <c r="A14" s="56">
        <v>8</v>
      </c>
      <c r="B14" s="59">
        <v>8</v>
      </c>
      <c r="C14" s="58" t="s">
        <v>170</v>
      </c>
      <c r="D14" s="57" t="s">
        <v>31</v>
      </c>
      <c r="E14" s="59">
        <f>326.9*F14</f>
        <v>980.69999999999993</v>
      </c>
      <c r="F14">
        <v>3</v>
      </c>
      <c r="G14" t="s">
        <v>171</v>
      </c>
    </row>
    <row r="15" spans="1:7" x14ac:dyDescent="0.35">
      <c r="A15" s="56">
        <v>9</v>
      </c>
      <c r="B15" s="59">
        <v>9</v>
      </c>
      <c r="C15" s="58" t="s">
        <v>71</v>
      </c>
      <c r="D15" s="57" t="s">
        <v>32</v>
      </c>
      <c r="E15" s="59">
        <v>6</v>
      </c>
    </row>
    <row r="16" spans="1:7" x14ac:dyDescent="0.35">
      <c r="A16" s="56">
        <v>10</v>
      </c>
      <c r="B16" s="59">
        <v>10</v>
      </c>
      <c r="C16" s="58" t="s">
        <v>101</v>
      </c>
      <c r="D16" s="57" t="s">
        <v>26</v>
      </c>
      <c r="E16" s="59">
        <v>0.88</v>
      </c>
    </row>
    <row r="17" spans="1:5" x14ac:dyDescent="0.35">
      <c r="A17" s="56">
        <v>11</v>
      </c>
      <c r="B17" s="59">
        <v>11</v>
      </c>
      <c r="C17" s="58" t="s">
        <v>172</v>
      </c>
      <c r="D17" s="57" t="s">
        <v>26</v>
      </c>
      <c r="E17" s="59">
        <v>21.22</v>
      </c>
    </row>
    <row r="18" spans="1:5" x14ac:dyDescent="0.35">
      <c r="A18" s="56">
        <v>12</v>
      </c>
      <c r="B18" s="59">
        <v>12</v>
      </c>
      <c r="C18" s="58" t="s">
        <v>76</v>
      </c>
      <c r="D18" s="57" t="s">
        <v>32</v>
      </c>
      <c r="E18" s="59">
        <v>17</v>
      </c>
    </row>
    <row r="19" spans="1:5" x14ac:dyDescent="0.35">
      <c r="A19" s="56">
        <v>13</v>
      </c>
      <c r="B19" s="59">
        <v>13</v>
      </c>
      <c r="C19" s="58" t="s">
        <v>77</v>
      </c>
      <c r="D19" s="57" t="s">
        <v>32</v>
      </c>
      <c r="E19" s="59">
        <v>7</v>
      </c>
    </row>
    <row r="20" spans="1:5" x14ac:dyDescent="0.35">
      <c r="A20" s="56">
        <v>14</v>
      </c>
      <c r="B20" s="59">
        <v>14</v>
      </c>
      <c r="C20" s="58" t="s">
        <v>80</v>
      </c>
      <c r="D20" s="57" t="s">
        <v>32</v>
      </c>
      <c r="E20" s="59">
        <v>15</v>
      </c>
    </row>
    <row r="21" spans="1:5" x14ac:dyDescent="0.35">
      <c r="A21" s="56">
        <v>15</v>
      </c>
      <c r="B21" s="59">
        <v>15</v>
      </c>
      <c r="C21" s="58" t="s">
        <v>79</v>
      </c>
      <c r="D21" s="57" t="s">
        <v>32</v>
      </c>
      <c r="E21" s="59">
        <v>4</v>
      </c>
    </row>
    <row r="22" spans="1:5" x14ac:dyDescent="0.35">
      <c r="A22" s="56">
        <v>16</v>
      </c>
      <c r="B22" s="59">
        <v>16</v>
      </c>
      <c r="C22" s="58" t="s">
        <v>84</v>
      </c>
      <c r="D22" s="57" t="s">
        <v>32</v>
      </c>
      <c r="E22" s="59">
        <v>7</v>
      </c>
    </row>
    <row r="23" spans="1:5" x14ac:dyDescent="0.35">
      <c r="A23" s="56">
        <v>17</v>
      </c>
      <c r="B23" s="59">
        <v>17</v>
      </c>
      <c r="C23" s="58" t="s">
        <v>88</v>
      </c>
      <c r="D23" s="57" t="s">
        <v>32</v>
      </c>
      <c r="E23" s="59">
        <v>6</v>
      </c>
    </row>
    <row r="24" spans="1:5" ht="29" x14ac:dyDescent="0.35">
      <c r="A24" s="56">
        <v>18</v>
      </c>
      <c r="B24" s="59">
        <v>18</v>
      </c>
      <c r="C24" s="61" t="s">
        <v>103</v>
      </c>
      <c r="D24" s="57" t="s">
        <v>32</v>
      </c>
      <c r="E24" s="59">
        <v>1</v>
      </c>
    </row>
    <row r="25" spans="1:5" ht="29" x14ac:dyDescent="0.35">
      <c r="A25" s="56">
        <v>19</v>
      </c>
      <c r="B25" s="59">
        <v>19</v>
      </c>
      <c r="C25" s="61" t="s">
        <v>92</v>
      </c>
      <c r="D25" s="57" t="s">
        <v>32</v>
      </c>
      <c r="E25" s="59">
        <v>1</v>
      </c>
    </row>
    <row r="26" spans="1:5" ht="29" x14ac:dyDescent="0.35">
      <c r="A26" s="56">
        <v>20</v>
      </c>
      <c r="B26" s="59">
        <v>20</v>
      </c>
      <c r="C26" s="61" t="s">
        <v>104</v>
      </c>
      <c r="D26" s="57" t="s">
        <v>32</v>
      </c>
      <c r="E26" s="59">
        <v>2</v>
      </c>
    </row>
    <row r="27" spans="1:5" ht="29" x14ac:dyDescent="0.35">
      <c r="A27" s="56">
        <v>21</v>
      </c>
      <c r="B27" s="59">
        <v>21</v>
      </c>
      <c r="C27" s="61" t="s">
        <v>114</v>
      </c>
      <c r="D27" s="57" t="s">
        <v>32</v>
      </c>
      <c r="E27" s="59">
        <v>3</v>
      </c>
    </row>
    <row r="28" spans="1:5" ht="29" x14ac:dyDescent="0.35">
      <c r="A28" s="56">
        <v>22</v>
      </c>
      <c r="B28" s="59">
        <v>22</v>
      </c>
      <c r="C28" s="61" t="s">
        <v>139</v>
      </c>
      <c r="D28" s="57" t="s">
        <v>32</v>
      </c>
      <c r="E28" s="59">
        <v>1</v>
      </c>
    </row>
    <row r="29" spans="1:5" ht="29" x14ac:dyDescent="0.35">
      <c r="A29" s="56">
        <v>23</v>
      </c>
      <c r="B29" s="59">
        <v>23</v>
      </c>
      <c r="C29" s="61" t="s">
        <v>144</v>
      </c>
      <c r="D29" s="57" t="s">
        <v>32</v>
      </c>
      <c r="E29" s="59">
        <v>2</v>
      </c>
    </row>
    <row r="30" spans="1:5" x14ac:dyDescent="0.35">
      <c r="A30" s="56">
        <v>24</v>
      </c>
      <c r="B30" s="59">
        <v>24</v>
      </c>
      <c r="C30" s="58" t="s">
        <v>94</v>
      </c>
      <c r="D30" s="57" t="s">
        <v>31</v>
      </c>
      <c r="E30" s="59">
        <v>12.45</v>
      </c>
    </row>
    <row r="31" spans="1:5" ht="43.5" x14ac:dyDescent="0.35">
      <c r="A31" s="56">
        <v>25</v>
      </c>
      <c r="B31" s="59">
        <v>25</v>
      </c>
      <c r="C31" s="61" t="s">
        <v>173</v>
      </c>
      <c r="D31" s="57" t="s">
        <v>32</v>
      </c>
      <c r="E31" s="59">
        <v>4</v>
      </c>
    </row>
    <row r="32" spans="1:5" ht="43.5" x14ac:dyDescent="0.35">
      <c r="A32" s="56">
        <v>26</v>
      </c>
      <c r="B32" s="59">
        <v>26</v>
      </c>
      <c r="C32" s="61" t="s">
        <v>174</v>
      </c>
      <c r="D32" s="57" t="s">
        <v>32</v>
      </c>
      <c r="E32" s="59">
        <v>4</v>
      </c>
    </row>
    <row r="33" spans="1:5" x14ac:dyDescent="0.35">
      <c r="A33" s="56">
        <v>27</v>
      </c>
      <c r="B33" s="59">
        <v>27</v>
      </c>
      <c r="C33" s="61" t="s">
        <v>108</v>
      </c>
      <c r="D33" s="57" t="s">
        <v>32</v>
      </c>
      <c r="E33" s="59">
        <v>4</v>
      </c>
    </row>
    <row r="34" spans="1:5" x14ac:dyDescent="0.35">
      <c r="A34" s="56">
        <v>28</v>
      </c>
      <c r="B34" s="59">
        <v>28</v>
      </c>
      <c r="C34" s="61" t="s">
        <v>109</v>
      </c>
      <c r="D34" s="57" t="s">
        <v>32</v>
      </c>
      <c r="E34" s="59">
        <v>7</v>
      </c>
    </row>
    <row r="35" spans="1:5" x14ac:dyDescent="0.35">
      <c r="A35" s="56">
        <v>29</v>
      </c>
      <c r="B35" s="59">
        <v>29</v>
      </c>
      <c r="C35" s="61" t="s">
        <v>110</v>
      </c>
      <c r="D35" s="57" t="s">
        <v>32</v>
      </c>
      <c r="E35" s="59">
        <v>1</v>
      </c>
    </row>
    <row r="36" spans="1:5" x14ac:dyDescent="0.35">
      <c r="A36" s="56">
        <v>30</v>
      </c>
      <c r="B36" s="59">
        <v>30</v>
      </c>
      <c r="C36" s="61" t="s">
        <v>111</v>
      </c>
      <c r="D36" s="57" t="s">
        <v>32</v>
      </c>
      <c r="E36" s="59">
        <v>2</v>
      </c>
    </row>
    <row r="37" spans="1:5" x14ac:dyDescent="0.35">
      <c r="A37" s="56">
        <v>31</v>
      </c>
      <c r="B37" s="59">
        <v>31</v>
      </c>
      <c r="C37" s="61" t="s">
        <v>141</v>
      </c>
      <c r="D37" s="57" t="s">
        <v>32</v>
      </c>
      <c r="E37" s="59">
        <v>4</v>
      </c>
    </row>
    <row r="38" spans="1:5" x14ac:dyDescent="0.35">
      <c r="A38" s="56">
        <v>32</v>
      </c>
      <c r="B38" s="59">
        <v>32</v>
      </c>
      <c r="C38" s="61" t="s">
        <v>175</v>
      </c>
      <c r="D38" s="57" t="s">
        <v>32</v>
      </c>
      <c r="E38" s="59">
        <v>2</v>
      </c>
    </row>
    <row r="39" spans="1:5" x14ac:dyDescent="0.35">
      <c r="A39" s="56">
        <v>33</v>
      </c>
      <c r="B39" s="59">
        <v>33</v>
      </c>
      <c r="C39" s="61" t="s">
        <v>176</v>
      </c>
      <c r="D39" s="57" t="s">
        <v>32</v>
      </c>
      <c r="E39" s="59">
        <v>2</v>
      </c>
    </row>
    <row r="40" spans="1:5" ht="29" x14ac:dyDescent="0.35">
      <c r="A40" s="56">
        <v>34</v>
      </c>
      <c r="B40" s="59">
        <v>34</v>
      </c>
      <c r="C40" s="61" t="s">
        <v>122</v>
      </c>
      <c r="D40" s="57" t="s">
        <v>27</v>
      </c>
      <c r="E40" s="59">
        <v>43.34</v>
      </c>
    </row>
    <row r="41" spans="1:5" x14ac:dyDescent="0.35">
      <c r="A41" s="56">
        <v>35</v>
      </c>
      <c r="B41" s="59">
        <v>35</v>
      </c>
      <c r="C41" s="61" t="s">
        <v>127</v>
      </c>
      <c r="D41" s="57" t="s">
        <v>32</v>
      </c>
      <c r="E41" s="59">
        <v>3</v>
      </c>
    </row>
    <row r="42" spans="1:5" x14ac:dyDescent="0.35">
      <c r="A42" s="56">
        <v>36</v>
      </c>
      <c r="B42" s="59">
        <v>36</v>
      </c>
      <c r="C42" s="61" t="s">
        <v>130</v>
      </c>
      <c r="D42" s="57" t="s">
        <v>32</v>
      </c>
      <c r="E42" s="59">
        <v>3</v>
      </c>
    </row>
    <row r="43" spans="1:5" x14ac:dyDescent="0.35">
      <c r="A43" s="56">
        <v>37</v>
      </c>
      <c r="B43" s="59">
        <v>37</v>
      </c>
      <c r="C43" s="61" t="s">
        <v>133</v>
      </c>
      <c r="D43" s="57" t="s">
        <v>32</v>
      </c>
      <c r="E43" s="59">
        <v>3</v>
      </c>
    </row>
    <row r="44" spans="1:5" x14ac:dyDescent="0.35">
      <c r="A44" s="56">
        <v>38</v>
      </c>
      <c r="B44" s="59">
        <v>38</v>
      </c>
      <c r="C44" s="61" t="s">
        <v>137</v>
      </c>
      <c r="D44" s="57" t="s">
        <v>32</v>
      </c>
      <c r="E44" s="59">
        <v>2</v>
      </c>
    </row>
    <row r="45" spans="1:5" x14ac:dyDescent="0.35">
      <c r="A45" s="56">
        <v>39</v>
      </c>
      <c r="B45" s="59">
        <v>39</v>
      </c>
      <c r="C45" s="61" t="s">
        <v>154</v>
      </c>
      <c r="D45" s="57" t="s">
        <v>32</v>
      </c>
      <c r="E45" s="59">
        <v>1</v>
      </c>
    </row>
    <row r="46" spans="1:5" x14ac:dyDescent="0.35">
      <c r="A46" s="56">
        <v>40</v>
      </c>
      <c r="B46" s="59">
        <v>40</v>
      </c>
      <c r="C46" s="61" t="s">
        <v>129</v>
      </c>
      <c r="D46" s="57" t="s">
        <v>32</v>
      </c>
      <c r="E46" s="59">
        <v>1</v>
      </c>
    </row>
    <row r="47" spans="1:5" x14ac:dyDescent="0.35">
      <c r="A47" s="56">
        <v>41</v>
      </c>
      <c r="B47" s="59">
        <v>41</v>
      </c>
      <c r="C47" s="61" t="s">
        <v>128</v>
      </c>
      <c r="D47" s="57" t="s">
        <v>32</v>
      </c>
      <c r="E47" s="59">
        <v>2</v>
      </c>
    </row>
    <row r="48" spans="1:5" x14ac:dyDescent="0.35">
      <c r="A48" s="56"/>
    </row>
    <row r="49" spans="1:1" x14ac:dyDescent="0.35">
      <c r="A49" s="56"/>
    </row>
    <row r="50" spans="1:1" x14ac:dyDescent="0.35">
      <c r="A50" s="56"/>
    </row>
    <row r="51" spans="1:1" x14ac:dyDescent="0.35">
      <c r="A51" s="56"/>
    </row>
  </sheetData>
  <mergeCells count="1">
    <mergeCell ref="B3:E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3"/>
  <sheetViews>
    <sheetView zoomScale="85" zoomScaleNormal="85" zoomScaleSheetLayoutView="85" workbookViewId="0">
      <selection activeCell="P296" sqref="P296"/>
    </sheetView>
  </sheetViews>
  <sheetFormatPr defaultColWidth="8.90625" defaultRowHeight="15.5" x14ac:dyDescent="0.35"/>
  <cols>
    <col min="1" max="1" width="7.54296875" style="6" customWidth="1"/>
    <col min="2" max="2" width="64.6328125" style="13" customWidth="1"/>
    <col min="3" max="3" width="9.36328125" style="7" customWidth="1"/>
    <col min="4" max="4" width="12" style="28" customWidth="1"/>
    <col min="5" max="7" width="12" style="7" hidden="1" customWidth="1"/>
    <col min="8" max="8" width="14.36328125" style="8" hidden="1" customWidth="1"/>
    <col min="9" max="9" width="13.90625" style="7" hidden="1" customWidth="1"/>
    <col min="10" max="10" width="13" style="7" hidden="1" customWidth="1"/>
    <col min="11" max="11" width="15.453125" style="7" hidden="1" customWidth="1"/>
    <col min="12" max="12" width="13.36328125" style="7" customWidth="1"/>
    <col min="13" max="13" width="12.453125" style="7" customWidth="1"/>
    <col min="14" max="14" width="22" style="7" customWidth="1"/>
    <col min="15" max="15" width="11.90625" style="7" bestFit="1" customWidth="1"/>
    <col min="16" max="16384" width="8.90625" style="7"/>
  </cols>
  <sheetData>
    <row r="1" spans="1:14" x14ac:dyDescent="0.35">
      <c r="N1" s="16" t="s">
        <v>12</v>
      </c>
    </row>
    <row r="2" spans="1:14" x14ac:dyDescent="0.35">
      <c r="N2" s="16" t="s">
        <v>14</v>
      </c>
    </row>
    <row r="3" spans="1:14" x14ac:dyDescent="0.35">
      <c r="N3" s="16" t="s">
        <v>13</v>
      </c>
    </row>
    <row r="4" spans="1:14" x14ac:dyDescent="0.35">
      <c r="N4" s="9"/>
    </row>
    <row r="5" spans="1:14" x14ac:dyDescent="0.35">
      <c r="A5" s="137" t="s">
        <v>3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4" ht="61.5" customHeight="1" x14ac:dyDescent="0.35">
      <c r="A6" s="136" t="s">
        <v>16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ht="19.25" customHeight="1" x14ac:dyDescent="0.35">
      <c r="A7" s="140" t="s">
        <v>11</v>
      </c>
      <c r="B7" s="141" t="s">
        <v>0</v>
      </c>
      <c r="C7" s="138" t="s">
        <v>1</v>
      </c>
      <c r="D7" s="142" t="s">
        <v>2</v>
      </c>
      <c r="E7" s="138" t="s">
        <v>4</v>
      </c>
      <c r="F7" s="138"/>
      <c r="G7" s="138"/>
      <c r="H7" s="138" t="s">
        <v>5</v>
      </c>
      <c r="I7" s="138"/>
      <c r="J7" s="138"/>
      <c r="K7" s="139" t="s">
        <v>6</v>
      </c>
    </row>
    <row r="8" spans="1:14" ht="19.25" customHeight="1" x14ac:dyDescent="0.35">
      <c r="A8" s="140"/>
      <c r="B8" s="141"/>
      <c r="C8" s="138"/>
      <c r="D8" s="142"/>
      <c r="E8" s="138" t="s">
        <v>7</v>
      </c>
      <c r="F8" s="138"/>
      <c r="G8" s="138"/>
      <c r="H8" s="138" t="s">
        <v>7</v>
      </c>
      <c r="I8" s="138"/>
      <c r="J8" s="138"/>
      <c r="K8" s="139"/>
    </row>
    <row r="9" spans="1:14" ht="27" customHeight="1" x14ac:dyDescent="0.35">
      <c r="A9" s="140"/>
      <c r="B9" s="141"/>
      <c r="C9" s="138"/>
      <c r="D9" s="142"/>
      <c r="E9" s="1" t="s">
        <v>8</v>
      </c>
      <c r="F9" s="1" t="s">
        <v>9</v>
      </c>
      <c r="G9" s="1" t="s">
        <v>10</v>
      </c>
      <c r="H9" s="1" t="s">
        <v>8</v>
      </c>
      <c r="I9" s="1" t="s">
        <v>9</v>
      </c>
      <c r="J9" s="1" t="s">
        <v>10</v>
      </c>
      <c r="K9" s="139"/>
    </row>
    <row r="10" spans="1:14" ht="15.65" customHeight="1" x14ac:dyDescent="0.35">
      <c r="A10" s="19">
        <v>1</v>
      </c>
      <c r="B10" s="18">
        <v>2</v>
      </c>
      <c r="C10" s="18">
        <v>3</v>
      </c>
      <c r="D10" s="22">
        <v>4</v>
      </c>
      <c r="E10" s="19">
        <v>8</v>
      </c>
      <c r="F10" s="19">
        <v>9</v>
      </c>
      <c r="G10" s="18">
        <v>10</v>
      </c>
      <c r="H10" s="18">
        <v>11</v>
      </c>
      <c r="I10" s="19">
        <v>12</v>
      </c>
      <c r="J10" s="19">
        <v>13</v>
      </c>
      <c r="K10" s="18">
        <v>14</v>
      </c>
    </row>
    <row r="11" spans="1:14" x14ac:dyDescent="0.35">
      <c r="A11" s="21"/>
      <c r="B11" s="23" t="s">
        <v>115</v>
      </c>
      <c r="C11" s="20"/>
      <c r="D11" s="29"/>
      <c r="E11" s="21"/>
      <c r="F11" s="21"/>
      <c r="G11" s="20"/>
      <c r="H11" s="20"/>
      <c r="I11" s="21"/>
      <c r="J11" s="21"/>
      <c r="K11" s="20"/>
    </row>
    <row r="12" spans="1:14" ht="30" x14ac:dyDescent="0.35">
      <c r="A12" s="21"/>
      <c r="B12" s="24" t="s">
        <v>17</v>
      </c>
      <c r="C12" s="31" t="s">
        <v>27</v>
      </c>
      <c r="D12" s="30">
        <v>11.9</v>
      </c>
      <c r="E12" s="21"/>
      <c r="F12" s="21"/>
      <c r="G12" s="20"/>
      <c r="H12" s="20"/>
      <c r="I12" s="21"/>
      <c r="J12" s="21"/>
      <c r="K12" s="20"/>
    </row>
    <row r="13" spans="1:14" ht="15.65" customHeight="1" x14ac:dyDescent="0.35">
      <c r="A13" s="21"/>
      <c r="B13" s="25" t="s">
        <v>18</v>
      </c>
      <c r="C13" s="31" t="s">
        <v>26</v>
      </c>
      <c r="D13" s="29">
        <f>D12*0.6704*0.9</f>
        <v>7.1799840000000001</v>
      </c>
      <c r="E13" s="21"/>
      <c r="F13" s="21"/>
      <c r="G13" s="20"/>
      <c r="H13" s="20"/>
      <c r="I13" s="21"/>
      <c r="J13" s="21"/>
      <c r="K13" s="20"/>
    </row>
    <row r="14" spans="1:14" ht="15.65" customHeight="1" x14ac:dyDescent="0.35">
      <c r="A14" s="21"/>
      <c r="B14" s="25" t="s">
        <v>19</v>
      </c>
      <c r="C14" s="31" t="s">
        <v>26</v>
      </c>
      <c r="D14" s="29">
        <f>0.6704*D12*0.1</f>
        <v>0.79777600000000004</v>
      </c>
      <c r="E14" s="21"/>
      <c r="F14" s="21"/>
      <c r="G14" s="20"/>
      <c r="H14" s="20"/>
      <c r="I14" s="21"/>
      <c r="J14" s="21"/>
      <c r="K14" s="20"/>
    </row>
    <row r="15" spans="1:14" ht="31" x14ac:dyDescent="0.35">
      <c r="A15" s="21"/>
      <c r="B15" s="25" t="s">
        <v>24</v>
      </c>
      <c r="C15" s="31" t="s">
        <v>25</v>
      </c>
      <c r="D15" s="29">
        <f>D12*0.45</f>
        <v>5.3550000000000004</v>
      </c>
      <c r="E15" s="21"/>
      <c r="F15" s="21"/>
      <c r="G15" s="20"/>
      <c r="H15" s="20"/>
      <c r="I15" s="21"/>
      <c r="J15" s="21"/>
      <c r="K15" s="20"/>
    </row>
    <row r="16" spans="1:14" ht="15.65" customHeight="1" x14ac:dyDescent="0.35">
      <c r="A16" s="21"/>
      <c r="B16" s="25" t="s">
        <v>20</v>
      </c>
      <c r="C16" s="31" t="s">
        <v>26</v>
      </c>
      <c r="D16" s="29">
        <f>0.32/10*D12</f>
        <v>0.38080000000000003</v>
      </c>
      <c r="E16" s="21"/>
      <c r="F16" s="21"/>
      <c r="G16" s="20"/>
      <c r="H16" s="20"/>
      <c r="I16" s="21"/>
      <c r="J16" s="21"/>
      <c r="K16" s="20"/>
    </row>
    <row r="17" spans="1:11" ht="15.65" customHeight="1" x14ac:dyDescent="0.35">
      <c r="A17" s="21"/>
      <c r="B17" s="25" t="s">
        <v>28</v>
      </c>
      <c r="C17" s="31" t="s">
        <v>26</v>
      </c>
      <c r="D17" s="29">
        <f>0.73/10*D12</f>
        <v>0.86869999999999992</v>
      </c>
      <c r="E17" s="21"/>
      <c r="F17" s="21"/>
      <c r="G17" s="20"/>
      <c r="H17" s="20"/>
      <c r="I17" s="21"/>
      <c r="J17" s="21"/>
      <c r="K17" s="20"/>
    </row>
    <row r="18" spans="1:11" ht="15.65" customHeight="1" x14ac:dyDescent="0.35">
      <c r="A18" s="21"/>
      <c r="B18" s="32" t="s">
        <v>29</v>
      </c>
      <c r="C18" s="31" t="s">
        <v>26</v>
      </c>
      <c r="D18" s="29">
        <f>D17*1.02</f>
        <v>0.88607399999999992</v>
      </c>
      <c r="E18" s="21"/>
      <c r="F18" s="21"/>
      <c r="G18" s="20"/>
      <c r="H18" s="20"/>
      <c r="I18" s="21"/>
      <c r="J18" s="21"/>
      <c r="K18" s="20"/>
    </row>
    <row r="19" spans="1:11" ht="15.65" customHeight="1" x14ac:dyDescent="0.35">
      <c r="A19" s="21"/>
      <c r="B19" s="32" t="s">
        <v>30</v>
      </c>
      <c r="C19" s="31" t="s">
        <v>31</v>
      </c>
      <c r="D19" s="29">
        <f>22.21/10*D12*1.04</f>
        <v>27.487096000000005</v>
      </c>
      <c r="E19" s="21"/>
      <c r="F19" s="21"/>
      <c r="G19" s="20"/>
      <c r="H19" s="20"/>
      <c r="I19" s="21"/>
      <c r="J19" s="21"/>
      <c r="K19" s="20"/>
    </row>
    <row r="20" spans="1:11" ht="15.65" customHeight="1" x14ac:dyDescent="0.35">
      <c r="A20" s="27"/>
      <c r="B20" s="25" t="s">
        <v>37</v>
      </c>
      <c r="C20" s="31" t="s">
        <v>27</v>
      </c>
      <c r="D20" s="30">
        <v>11.9</v>
      </c>
      <c r="E20" s="27"/>
      <c r="F20" s="27"/>
      <c r="G20" s="26"/>
      <c r="H20" s="26"/>
      <c r="I20" s="27"/>
      <c r="J20" s="27"/>
      <c r="K20" s="26"/>
    </row>
    <row r="21" spans="1:11" ht="31" x14ac:dyDescent="0.35">
      <c r="A21" s="27"/>
      <c r="B21" s="32" t="s">
        <v>38</v>
      </c>
      <c r="C21" s="31" t="s">
        <v>27</v>
      </c>
      <c r="D21" s="29">
        <f>D20*1.1</f>
        <v>13.090000000000002</v>
      </c>
      <c r="E21" s="27"/>
      <c r="F21" s="27"/>
      <c r="G21" s="26"/>
      <c r="H21" s="26"/>
      <c r="I21" s="27"/>
      <c r="J21" s="27"/>
      <c r="K21" s="26"/>
    </row>
    <row r="22" spans="1:11" x14ac:dyDescent="0.35">
      <c r="A22" s="27"/>
      <c r="B22" s="32" t="s">
        <v>41</v>
      </c>
      <c r="C22" s="31" t="s">
        <v>32</v>
      </c>
      <c r="D22" s="29">
        <v>1</v>
      </c>
      <c r="E22" s="27"/>
      <c r="F22" s="27"/>
      <c r="G22" s="26"/>
      <c r="H22" s="26"/>
      <c r="I22" s="27"/>
      <c r="J22" s="27"/>
      <c r="K22" s="26"/>
    </row>
    <row r="23" spans="1:11" ht="33" x14ac:dyDescent="0.35">
      <c r="A23" s="27"/>
      <c r="B23" s="25" t="s">
        <v>39</v>
      </c>
      <c r="C23" s="31" t="s">
        <v>26</v>
      </c>
      <c r="D23" s="29">
        <v>6.8</v>
      </c>
      <c r="E23" s="27"/>
      <c r="F23" s="27"/>
      <c r="G23" s="26"/>
      <c r="H23" s="26"/>
      <c r="I23" s="27"/>
      <c r="J23" s="27"/>
      <c r="K23" s="26"/>
    </row>
    <row r="24" spans="1:11" ht="15.65" customHeight="1" x14ac:dyDescent="0.35">
      <c r="A24" s="21"/>
      <c r="B24" s="43" t="s">
        <v>146</v>
      </c>
      <c r="C24" s="31" t="s">
        <v>32</v>
      </c>
      <c r="D24" s="29">
        <v>1</v>
      </c>
      <c r="E24" s="21"/>
      <c r="F24" s="21"/>
      <c r="G24" s="20"/>
      <c r="H24" s="20"/>
      <c r="I24" s="21"/>
      <c r="J24" s="21"/>
      <c r="K24" s="20"/>
    </row>
    <row r="25" spans="1:11" ht="15.65" customHeight="1" x14ac:dyDescent="0.35">
      <c r="A25" s="21"/>
      <c r="B25" s="25" t="s">
        <v>33</v>
      </c>
      <c r="C25" s="31" t="s">
        <v>26</v>
      </c>
      <c r="D25" s="29">
        <f>29.2*0.9</f>
        <v>26.28</v>
      </c>
      <c r="E25" s="21"/>
      <c r="F25" s="21"/>
      <c r="G25" s="20"/>
      <c r="H25" s="20"/>
      <c r="I25" s="21"/>
      <c r="J25" s="21"/>
      <c r="K25" s="20"/>
    </row>
    <row r="26" spans="1:11" ht="15.65" customHeight="1" x14ac:dyDescent="0.35">
      <c r="A26" s="21"/>
      <c r="B26" s="25" t="s">
        <v>19</v>
      </c>
      <c r="C26" s="31" t="s">
        <v>26</v>
      </c>
      <c r="D26" s="29">
        <f>29.2*0.1</f>
        <v>2.92</v>
      </c>
      <c r="E26" s="21"/>
      <c r="F26" s="21"/>
      <c r="G26" s="20"/>
      <c r="H26" s="20"/>
      <c r="I26" s="21"/>
      <c r="J26" s="21"/>
      <c r="K26" s="20"/>
    </row>
    <row r="27" spans="1:11" ht="31" x14ac:dyDescent="0.35">
      <c r="A27" s="21"/>
      <c r="B27" s="25" t="s">
        <v>34</v>
      </c>
      <c r="C27" s="31" t="s">
        <v>32</v>
      </c>
      <c r="D27" s="29">
        <v>1</v>
      </c>
      <c r="E27" s="21"/>
      <c r="F27" s="21"/>
      <c r="G27" s="20"/>
      <c r="H27" s="20"/>
      <c r="I27" s="21"/>
      <c r="J27" s="21"/>
      <c r="K27" s="20"/>
    </row>
    <row r="28" spans="1:11" x14ac:dyDescent="0.35">
      <c r="A28" s="21"/>
      <c r="B28" s="32" t="s">
        <v>35</v>
      </c>
      <c r="C28" s="31" t="s">
        <v>32</v>
      </c>
      <c r="D28" s="29">
        <v>1</v>
      </c>
      <c r="E28" s="21"/>
      <c r="F28" s="21"/>
      <c r="G28" s="20"/>
      <c r="H28" s="20"/>
      <c r="I28" s="21"/>
      <c r="J28" s="21"/>
      <c r="K28" s="20"/>
    </row>
    <row r="29" spans="1:11" x14ac:dyDescent="0.35">
      <c r="A29" s="34"/>
      <c r="B29" s="25" t="s">
        <v>53</v>
      </c>
      <c r="C29" s="31"/>
      <c r="D29" s="29"/>
      <c r="E29" s="34"/>
      <c r="F29" s="34"/>
      <c r="G29" s="33"/>
      <c r="H29" s="33"/>
      <c r="I29" s="34"/>
      <c r="J29" s="34"/>
      <c r="K29" s="33"/>
    </row>
    <row r="30" spans="1:11" ht="31" x14ac:dyDescent="0.35">
      <c r="A30" s="27"/>
      <c r="B30" s="32" t="s">
        <v>43</v>
      </c>
      <c r="C30" s="31" t="s">
        <v>32</v>
      </c>
      <c r="D30" s="29">
        <v>1</v>
      </c>
      <c r="E30" s="27"/>
      <c r="F30" s="27"/>
      <c r="G30" s="26"/>
      <c r="H30" s="26"/>
      <c r="I30" s="27"/>
      <c r="J30" s="27"/>
      <c r="K30" s="26"/>
    </row>
    <row r="31" spans="1:11" ht="31" x14ac:dyDescent="0.35">
      <c r="A31" s="27"/>
      <c r="B31" s="32" t="s">
        <v>42</v>
      </c>
      <c r="C31" s="31" t="s">
        <v>32</v>
      </c>
      <c r="D31" s="29">
        <v>1</v>
      </c>
      <c r="E31" s="27"/>
      <c r="F31" s="27"/>
      <c r="G31" s="26"/>
      <c r="H31" s="26"/>
      <c r="I31" s="27"/>
      <c r="J31" s="27"/>
      <c r="K31" s="26"/>
    </row>
    <row r="32" spans="1:11" ht="31" x14ac:dyDescent="0.35">
      <c r="A32" s="27"/>
      <c r="B32" s="32" t="s">
        <v>45</v>
      </c>
      <c r="C32" s="31" t="s">
        <v>32</v>
      </c>
      <c r="D32" s="29">
        <v>2</v>
      </c>
      <c r="E32" s="27"/>
      <c r="F32" s="27"/>
      <c r="G32" s="26"/>
      <c r="H32" s="26"/>
      <c r="I32" s="27"/>
      <c r="J32" s="27"/>
      <c r="K32" s="26"/>
    </row>
    <row r="33" spans="1:11" ht="31" x14ac:dyDescent="0.35">
      <c r="A33" s="27"/>
      <c r="B33" s="32" t="s">
        <v>44</v>
      </c>
      <c r="C33" s="31" t="s">
        <v>32</v>
      </c>
      <c r="D33" s="29">
        <v>1</v>
      </c>
      <c r="E33" s="27"/>
      <c r="F33" s="27"/>
      <c r="G33" s="26"/>
      <c r="H33" s="26"/>
      <c r="I33" s="27"/>
      <c r="J33" s="27"/>
      <c r="K33" s="26"/>
    </row>
    <row r="34" spans="1:11" x14ac:dyDescent="0.35">
      <c r="A34" s="27"/>
      <c r="B34" s="32" t="s">
        <v>46</v>
      </c>
      <c r="C34" s="31" t="s">
        <v>32</v>
      </c>
      <c r="D34" s="29">
        <v>2</v>
      </c>
      <c r="E34" s="27"/>
      <c r="F34" s="27"/>
      <c r="G34" s="26"/>
      <c r="H34" s="26"/>
      <c r="I34" s="27"/>
      <c r="J34" s="27"/>
      <c r="K34" s="26"/>
    </row>
    <row r="35" spans="1:11" x14ac:dyDescent="0.35">
      <c r="A35" s="27"/>
      <c r="B35" s="32" t="s">
        <v>47</v>
      </c>
      <c r="C35" s="31" t="s">
        <v>32</v>
      </c>
      <c r="D35" s="29">
        <v>1.5</v>
      </c>
      <c r="E35" s="27"/>
      <c r="F35" s="27"/>
      <c r="G35" s="26"/>
      <c r="H35" s="26"/>
      <c r="I35" s="27"/>
      <c r="J35" s="27"/>
      <c r="K35" s="26"/>
    </row>
    <row r="36" spans="1:11" ht="15.65" customHeight="1" x14ac:dyDescent="0.35">
      <c r="A36" s="21"/>
      <c r="B36" s="25" t="s">
        <v>40</v>
      </c>
      <c r="C36" s="31" t="s">
        <v>32</v>
      </c>
      <c r="D36" s="29">
        <v>2</v>
      </c>
      <c r="E36" s="21"/>
      <c r="F36" s="21"/>
      <c r="G36" s="20"/>
      <c r="H36" s="20"/>
      <c r="I36" s="21"/>
      <c r="J36" s="21"/>
      <c r="K36" s="20"/>
    </row>
    <row r="37" spans="1:11" ht="15.65" customHeight="1" x14ac:dyDescent="0.35">
      <c r="A37" s="21"/>
      <c r="B37" s="32" t="s">
        <v>36</v>
      </c>
      <c r="C37" s="31" t="s">
        <v>32</v>
      </c>
      <c r="D37" s="29">
        <v>2</v>
      </c>
      <c r="E37" s="21"/>
      <c r="F37" s="21"/>
      <c r="G37" s="20"/>
      <c r="H37" s="20"/>
      <c r="I37" s="21"/>
      <c r="J37" s="21"/>
      <c r="K37" s="20"/>
    </row>
    <row r="38" spans="1:11" ht="33" x14ac:dyDescent="0.35">
      <c r="A38" s="21"/>
      <c r="B38" s="25" t="s">
        <v>48</v>
      </c>
      <c r="C38" s="31" t="s">
        <v>26</v>
      </c>
      <c r="D38" s="29">
        <v>21.9</v>
      </c>
      <c r="E38" s="21"/>
      <c r="F38" s="21"/>
      <c r="G38" s="20"/>
      <c r="H38" s="20"/>
      <c r="I38" s="21"/>
      <c r="J38" s="21"/>
      <c r="K38" s="20"/>
    </row>
    <row r="39" spans="1:11" x14ac:dyDescent="0.35">
      <c r="A39" s="21"/>
      <c r="B39" s="23" t="s">
        <v>116</v>
      </c>
      <c r="C39" s="31"/>
      <c r="D39" s="29"/>
      <c r="E39" s="21"/>
      <c r="F39" s="21"/>
      <c r="G39" s="20"/>
      <c r="H39" s="20"/>
      <c r="I39" s="21"/>
      <c r="J39" s="21"/>
      <c r="K39" s="20"/>
    </row>
    <row r="40" spans="1:11" ht="30" x14ac:dyDescent="0.35">
      <c r="A40" s="21"/>
      <c r="B40" s="24" t="s">
        <v>49</v>
      </c>
      <c r="C40" s="31" t="s">
        <v>27</v>
      </c>
      <c r="D40" s="29">
        <v>14.3</v>
      </c>
      <c r="E40" s="21"/>
      <c r="F40" s="21"/>
      <c r="G40" s="20"/>
      <c r="H40" s="20"/>
      <c r="I40" s="21"/>
      <c r="J40" s="21"/>
      <c r="K40" s="20"/>
    </row>
    <row r="41" spans="1:11" ht="15.65" customHeight="1" x14ac:dyDescent="0.35">
      <c r="A41" s="21"/>
      <c r="B41" s="25" t="s">
        <v>18</v>
      </c>
      <c r="C41" s="31" t="s">
        <v>26</v>
      </c>
      <c r="D41" s="29">
        <f>1.194*D40*0.9</f>
        <v>15.366780000000002</v>
      </c>
      <c r="E41" s="21"/>
      <c r="F41" s="21"/>
      <c r="G41" s="20"/>
      <c r="H41" s="20"/>
      <c r="I41" s="21"/>
      <c r="J41" s="21"/>
      <c r="K41" s="20"/>
    </row>
    <row r="42" spans="1:11" ht="15.65" customHeight="1" x14ac:dyDescent="0.35">
      <c r="A42" s="21"/>
      <c r="B42" s="25" t="s">
        <v>19</v>
      </c>
      <c r="C42" s="31" t="s">
        <v>26</v>
      </c>
      <c r="D42" s="54">
        <f>1.194*D40*0.1</f>
        <v>1.7074200000000002</v>
      </c>
      <c r="E42" s="21"/>
      <c r="F42" s="21"/>
      <c r="G42" s="20"/>
      <c r="H42" s="20"/>
      <c r="I42" s="21"/>
      <c r="J42" s="21"/>
      <c r="K42" s="20"/>
    </row>
    <row r="43" spans="1:11" ht="15.65" customHeight="1" x14ac:dyDescent="0.35">
      <c r="A43" s="21"/>
      <c r="B43" s="25" t="s">
        <v>24</v>
      </c>
      <c r="C43" s="31" t="s">
        <v>25</v>
      </c>
      <c r="D43" s="29">
        <f>0.9*D40</f>
        <v>12.870000000000001</v>
      </c>
      <c r="E43" s="21"/>
      <c r="F43" s="21"/>
      <c r="G43" s="20"/>
      <c r="H43" s="20"/>
      <c r="I43" s="21"/>
      <c r="J43" s="21"/>
      <c r="K43" s="20"/>
    </row>
    <row r="44" spans="1:11" ht="15.65" customHeight="1" x14ac:dyDescent="0.35">
      <c r="A44" s="21"/>
      <c r="B44" s="25" t="s">
        <v>20</v>
      </c>
      <c r="C44" s="31" t="s">
        <v>26</v>
      </c>
      <c r="D44" s="29">
        <f>0.32*2/10*D40</f>
        <v>0.91520000000000001</v>
      </c>
      <c r="E44" s="21"/>
      <c r="F44" s="21"/>
      <c r="G44" s="20"/>
      <c r="H44" s="20"/>
      <c r="I44" s="21"/>
      <c r="J44" s="21"/>
      <c r="K44" s="20"/>
    </row>
    <row r="45" spans="1:11" ht="15.65" customHeight="1" x14ac:dyDescent="0.35">
      <c r="A45" s="21"/>
      <c r="B45" s="25" t="s">
        <v>28</v>
      </c>
      <c r="C45" s="31" t="s">
        <v>26</v>
      </c>
      <c r="D45" s="29">
        <f>0.73*2/10*D40</f>
        <v>2.0878000000000001</v>
      </c>
      <c r="E45" s="21"/>
      <c r="F45" s="21"/>
      <c r="G45" s="20"/>
      <c r="H45" s="20"/>
      <c r="I45" s="21"/>
      <c r="J45" s="21"/>
      <c r="K45" s="20"/>
    </row>
    <row r="46" spans="1:11" ht="15.65" customHeight="1" x14ac:dyDescent="0.35">
      <c r="A46" s="21"/>
      <c r="B46" s="32" t="s">
        <v>29</v>
      </c>
      <c r="C46" s="31" t="s">
        <v>26</v>
      </c>
      <c r="D46" s="29">
        <f>D45*1.02</f>
        <v>2.129556</v>
      </c>
      <c r="E46" s="21"/>
      <c r="F46" s="21"/>
      <c r="G46" s="20"/>
      <c r="H46" s="20"/>
      <c r="I46" s="21"/>
      <c r="J46" s="21"/>
      <c r="K46" s="20"/>
    </row>
    <row r="47" spans="1:11" ht="15.65" customHeight="1" x14ac:dyDescent="0.35">
      <c r="A47" s="21"/>
      <c r="B47" s="32" t="s">
        <v>30</v>
      </c>
      <c r="C47" s="31" t="s">
        <v>31</v>
      </c>
      <c r="D47" s="29">
        <f>22.21*2/10*D40</f>
        <v>63.520600000000009</v>
      </c>
      <c r="E47" s="21"/>
      <c r="F47" s="21"/>
      <c r="G47" s="20"/>
      <c r="H47" s="20"/>
      <c r="I47" s="21"/>
      <c r="J47" s="21"/>
      <c r="K47" s="20"/>
    </row>
    <row r="48" spans="1:11" ht="15.65" customHeight="1" x14ac:dyDescent="0.35">
      <c r="A48" s="21"/>
      <c r="B48" s="25" t="s">
        <v>50</v>
      </c>
      <c r="C48" s="31" t="s">
        <v>27</v>
      </c>
      <c r="D48" s="29">
        <v>14.3</v>
      </c>
      <c r="E48" s="21"/>
      <c r="F48" s="21"/>
      <c r="G48" s="20"/>
      <c r="H48" s="20"/>
      <c r="I48" s="21"/>
      <c r="J48" s="21"/>
      <c r="K48" s="20"/>
    </row>
    <row r="49" spans="1:11" ht="31" x14ac:dyDescent="0.35">
      <c r="A49" s="21"/>
      <c r="B49" s="32" t="s">
        <v>38</v>
      </c>
      <c r="C49" s="31" t="s">
        <v>27</v>
      </c>
      <c r="D49" s="29">
        <f>14.3*2*1.1</f>
        <v>31.460000000000004</v>
      </c>
      <c r="E49" s="21"/>
      <c r="F49" s="21"/>
      <c r="G49" s="20"/>
      <c r="H49" s="20"/>
      <c r="I49" s="21"/>
      <c r="J49" s="21"/>
      <c r="K49" s="20"/>
    </row>
    <row r="50" spans="1:11" x14ac:dyDescent="0.35">
      <c r="A50" s="34"/>
      <c r="B50" s="32" t="s">
        <v>57</v>
      </c>
      <c r="C50" s="31" t="s">
        <v>32</v>
      </c>
      <c r="D50" s="29">
        <v>2</v>
      </c>
      <c r="E50" s="34"/>
      <c r="F50" s="34"/>
      <c r="G50" s="33"/>
      <c r="H50" s="33"/>
      <c r="I50" s="34"/>
      <c r="J50" s="34"/>
      <c r="K50" s="33"/>
    </row>
    <row r="51" spans="1:11" ht="15.65" customHeight="1" x14ac:dyDescent="0.35">
      <c r="A51" s="21"/>
      <c r="B51" s="32" t="s">
        <v>41</v>
      </c>
      <c r="C51" s="31" t="s">
        <v>32</v>
      </c>
      <c r="D51" s="29">
        <v>2</v>
      </c>
      <c r="E51" s="21"/>
      <c r="F51" s="21"/>
      <c r="G51" s="20"/>
      <c r="H51" s="20"/>
      <c r="I51" s="21"/>
      <c r="J51" s="21"/>
      <c r="K51" s="20"/>
    </row>
    <row r="52" spans="1:11" ht="33" x14ac:dyDescent="0.35">
      <c r="A52" s="21"/>
      <c r="B52" s="25" t="s">
        <v>39</v>
      </c>
      <c r="C52" s="31" t="s">
        <v>26</v>
      </c>
      <c r="D52" s="29">
        <v>8.8000000000000007</v>
      </c>
      <c r="E52" s="21"/>
      <c r="F52" s="21"/>
      <c r="G52" s="20"/>
      <c r="H52" s="20"/>
      <c r="I52" s="21"/>
      <c r="J52" s="21"/>
      <c r="K52" s="20"/>
    </row>
    <row r="53" spans="1:11" ht="15.65" customHeight="1" x14ac:dyDescent="0.35">
      <c r="A53" s="21"/>
      <c r="B53" s="43" t="s">
        <v>51</v>
      </c>
      <c r="C53" s="31" t="s">
        <v>32</v>
      </c>
      <c r="D53" s="29">
        <v>1</v>
      </c>
      <c r="E53" s="21"/>
      <c r="F53" s="21"/>
      <c r="G53" s="20"/>
      <c r="H53" s="20"/>
      <c r="I53" s="21"/>
      <c r="J53" s="21"/>
      <c r="K53" s="20"/>
    </row>
    <row r="54" spans="1:11" ht="15.65" customHeight="1" x14ac:dyDescent="0.35">
      <c r="A54" s="21"/>
      <c r="B54" s="25" t="s">
        <v>33</v>
      </c>
      <c r="C54" s="31" t="s">
        <v>26</v>
      </c>
      <c r="D54" s="29">
        <f>176.8*0.9</f>
        <v>159.12</v>
      </c>
      <c r="E54" s="21"/>
      <c r="F54" s="21"/>
      <c r="G54" s="20"/>
      <c r="H54" s="20"/>
      <c r="I54" s="21"/>
      <c r="J54" s="21"/>
      <c r="K54" s="20"/>
    </row>
    <row r="55" spans="1:11" ht="15.65" customHeight="1" x14ac:dyDescent="0.35">
      <c r="A55" s="21"/>
      <c r="B55" s="25" t="s">
        <v>19</v>
      </c>
      <c r="C55" s="31" t="s">
        <v>26</v>
      </c>
      <c r="D55" s="29">
        <f>176.8*0.1</f>
        <v>17.680000000000003</v>
      </c>
      <c r="E55" s="21"/>
      <c r="F55" s="21"/>
      <c r="G55" s="20"/>
      <c r="H55" s="20"/>
      <c r="I55" s="21"/>
      <c r="J55" s="21"/>
      <c r="K55" s="20"/>
    </row>
    <row r="56" spans="1:11" ht="31" x14ac:dyDescent="0.35">
      <c r="A56" s="21"/>
      <c r="B56" s="25" t="s">
        <v>52</v>
      </c>
      <c r="C56" s="31" t="s">
        <v>32</v>
      </c>
      <c r="D56" s="29">
        <v>1</v>
      </c>
      <c r="E56" s="21"/>
      <c r="F56" s="21"/>
      <c r="G56" s="20"/>
      <c r="H56" s="20"/>
      <c r="I56" s="21"/>
      <c r="J56" s="21"/>
      <c r="K56" s="20"/>
    </row>
    <row r="57" spans="1:11" ht="31" x14ac:dyDescent="0.35">
      <c r="A57" s="34"/>
      <c r="B57" s="25" t="s">
        <v>56</v>
      </c>
      <c r="C57" s="31" t="s">
        <v>32</v>
      </c>
      <c r="D57" s="29">
        <v>2</v>
      </c>
      <c r="E57" s="34"/>
      <c r="F57" s="34"/>
      <c r="G57" s="33"/>
      <c r="H57" s="33"/>
      <c r="I57" s="34"/>
      <c r="J57" s="34"/>
      <c r="K57" s="33"/>
    </row>
    <row r="58" spans="1:11" x14ac:dyDescent="0.35">
      <c r="A58" s="34"/>
      <c r="B58" s="32" t="s">
        <v>29</v>
      </c>
      <c r="C58" s="31" t="s">
        <v>26</v>
      </c>
      <c r="D58" s="29">
        <v>0.02</v>
      </c>
      <c r="E58" s="34"/>
      <c r="F58" s="34"/>
      <c r="G58" s="33"/>
      <c r="H58" s="33"/>
      <c r="I58" s="34"/>
      <c r="J58" s="34"/>
      <c r="K58" s="33"/>
    </row>
    <row r="59" spans="1:11" x14ac:dyDescent="0.35">
      <c r="A59" s="34"/>
      <c r="B59" s="25" t="s">
        <v>53</v>
      </c>
      <c r="C59" s="31"/>
      <c r="D59" s="29"/>
      <c r="E59" s="34"/>
      <c r="F59" s="34"/>
      <c r="G59" s="33"/>
      <c r="H59" s="33"/>
      <c r="I59" s="34"/>
      <c r="J59" s="34"/>
      <c r="K59" s="33"/>
    </row>
    <row r="60" spans="1:11" ht="15.65" customHeight="1" x14ac:dyDescent="0.35">
      <c r="A60" s="21"/>
      <c r="B60" s="32" t="s">
        <v>54</v>
      </c>
      <c r="C60" s="31" t="s">
        <v>32</v>
      </c>
      <c r="D60" s="29">
        <v>2</v>
      </c>
      <c r="E60" s="21"/>
      <c r="F60" s="21"/>
      <c r="G60" s="20"/>
      <c r="H60" s="20"/>
      <c r="I60" s="21"/>
      <c r="J60" s="21"/>
      <c r="K60" s="20"/>
    </row>
    <row r="61" spans="1:11" ht="31" x14ac:dyDescent="0.35">
      <c r="A61" s="21"/>
      <c r="B61" s="32" t="s">
        <v>55</v>
      </c>
      <c r="C61" s="31" t="s">
        <v>32</v>
      </c>
      <c r="D61" s="29">
        <v>5</v>
      </c>
      <c r="E61" s="21"/>
      <c r="F61" s="21"/>
      <c r="G61" s="20"/>
      <c r="H61" s="20"/>
      <c r="I61" s="21"/>
      <c r="J61" s="21"/>
      <c r="K61" s="20"/>
    </row>
    <row r="62" spans="1:11" ht="15.65" customHeight="1" x14ac:dyDescent="0.35">
      <c r="A62" s="21"/>
      <c r="B62" s="32" t="s">
        <v>45</v>
      </c>
      <c r="C62" s="31" t="s">
        <v>32</v>
      </c>
      <c r="D62" s="29">
        <v>4</v>
      </c>
      <c r="E62" s="21"/>
      <c r="F62" s="21"/>
      <c r="G62" s="20"/>
      <c r="H62" s="20"/>
      <c r="I62" s="21"/>
      <c r="J62" s="21"/>
      <c r="K62" s="20"/>
    </row>
    <row r="63" spans="1:11" ht="15.65" customHeight="1" x14ac:dyDescent="0.35">
      <c r="A63" s="21"/>
      <c r="B63" s="32" t="s">
        <v>46</v>
      </c>
      <c r="C63" s="31" t="s">
        <v>32</v>
      </c>
      <c r="D63" s="29">
        <v>2</v>
      </c>
      <c r="E63" s="21"/>
      <c r="F63" s="21"/>
      <c r="G63" s="20"/>
      <c r="H63" s="20"/>
      <c r="I63" s="21"/>
      <c r="J63" s="21"/>
      <c r="K63" s="20"/>
    </row>
    <row r="64" spans="1:11" ht="15.65" customHeight="1" x14ac:dyDescent="0.35">
      <c r="A64" s="21"/>
      <c r="B64" s="25" t="s">
        <v>40</v>
      </c>
      <c r="C64" s="31" t="s">
        <v>32</v>
      </c>
      <c r="D64" s="29">
        <v>4</v>
      </c>
      <c r="E64" s="21"/>
      <c r="F64" s="21"/>
      <c r="G64" s="20"/>
      <c r="H64" s="20"/>
      <c r="I64" s="21"/>
      <c r="J64" s="21"/>
      <c r="K64" s="20"/>
    </row>
    <row r="65" spans="1:12" ht="15.65" customHeight="1" x14ac:dyDescent="0.35">
      <c r="A65" s="21"/>
      <c r="B65" s="32" t="s">
        <v>36</v>
      </c>
      <c r="C65" s="31" t="s">
        <v>32</v>
      </c>
      <c r="D65" s="29">
        <v>4</v>
      </c>
      <c r="E65" s="21"/>
      <c r="F65" s="21"/>
      <c r="G65" s="20"/>
      <c r="H65" s="20"/>
      <c r="I65" s="21"/>
      <c r="J65" s="21"/>
      <c r="K65" s="20"/>
    </row>
    <row r="66" spans="1:12" ht="33" x14ac:dyDescent="0.35">
      <c r="A66" s="21"/>
      <c r="B66" s="25" t="s">
        <v>48</v>
      </c>
      <c r="C66" s="31" t="s">
        <v>26</v>
      </c>
      <c r="D66" s="29">
        <f>D54-68.07</f>
        <v>91.050000000000011</v>
      </c>
      <c r="E66" s="21"/>
      <c r="F66" s="21"/>
      <c r="G66" s="20"/>
      <c r="H66" s="20"/>
      <c r="I66" s="21"/>
      <c r="J66" s="21"/>
      <c r="K66" s="20"/>
    </row>
    <row r="67" spans="1:12" ht="30" x14ac:dyDescent="0.35">
      <c r="A67" s="21"/>
      <c r="B67" s="23" t="s">
        <v>117</v>
      </c>
      <c r="C67" s="31"/>
      <c r="D67" s="29"/>
      <c r="E67" s="21"/>
      <c r="F67" s="21"/>
      <c r="G67" s="20"/>
      <c r="H67" s="20"/>
      <c r="I67" s="21"/>
      <c r="J67" s="21"/>
      <c r="K67" s="20"/>
    </row>
    <row r="68" spans="1:12" ht="75" x14ac:dyDescent="0.35">
      <c r="A68" s="21"/>
      <c r="B68" s="24" t="s">
        <v>58</v>
      </c>
      <c r="C68" s="31" t="s">
        <v>27</v>
      </c>
      <c r="D68" s="29">
        <f>3.5+7.3+14.2+12.8+26.8+3.4+9.5</f>
        <v>77.5</v>
      </c>
      <c r="E68" s="21"/>
      <c r="F68" s="21"/>
      <c r="G68" s="20"/>
      <c r="H68" s="20"/>
      <c r="I68" s="21"/>
      <c r="J68" s="21"/>
      <c r="K68" s="20"/>
    </row>
    <row r="69" spans="1:12" ht="15.65" customHeight="1" x14ac:dyDescent="0.35">
      <c r="A69" s="21"/>
      <c r="B69" s="25" t="s">
        <v>18</v>
      </c>
      <c r="C69" s="31" t="s">
        <v>26</v>
      </c>
      <c r="D69" s="29">
        <f>(4+1.5)/2*5*77.5</f>
        <v>1065.625</v>
      </c>
      <c r="E69" s="21"/>
      <c r="F69" s="21"/>
      <c r="G69" s="20"/>
      <c r="H69" s="20"/>
      <c r="I69" s="21"/>
      <c r="J69" s="21"/>
      <c r="K69" s="20"/>
      <c r="L69" s="14" t="s">
        <v>147</v>
      </c>
    </row>
    <row r="70" spans="1:12" ht="15.65" customHeight="1" x14ac:dyDescent="0.35">
      <c r="A70" s="21"/>
      <c r="B70" s="25" t="s">
        <v>19</v>
      </c>
      <c r="C70" s="31" t="s">
        <v>26</v>
      </c>
      <c r="D70" s="29">
        <f>0.3+0.3+1.1+1+2.5+0.3+0.5</f>
        <v>6</v>
      </c>
      <c r="E70" s="21"/>
      <c r="F70" s="21"/>
      <c r="G70" s="20"/>
      <c r="H70" s="20"/>
      <c r="I70" s="21"/>
      <c r="J70" s="21"/>
      <c r="K70" s="20"/>
    </row>
    <row r="71" spans="1:12" ht="31" x14ac:dyDescent="0.35">
      <c r="A71" s="21"/>
      <c r="B71" s="25" t="s">
        <v>59</v>
      </c>
      <c r="C71" s="31" t="s">
        <v>25</v>
      </c>
      <c r="D71" s="29">
        <f>2.16+2.448+7.8+6.89+15.99+2.304+3.63</f>
        <v>41.222000000000008</v>
      </c>
      <c r="E71" s="21"/>
      <c r="F71" s="21"/>
      <c r="G71" s="20"/>
      <c r="H71" s="20"/>
      <c r="I71" s="21"/>
      <c r="J71" s="21"/>
      <c r="K71" s="20"/>
    </row>
    <row r="72" spans="1:12" ht="15.65" customHeight="1" x14ac:dyDescent="0.35">
      <c r="A72" s="21"/>
      <c r="B72" s="25" t="s">
        <v>20</v>
      </c>
      <c r="C72" s="31" t="s">
        <v>26</v>
      </c>
      <c r="D72" s="29">
        <f>D71*0.07</f>
        <v>2.8855400000000007</v>
      </c>
      <c r="E72" s="21"/>
      <c r="F72" s="21"/>
      <c r="G72" s="20"/>
      <c r="H72" s="20"/>
      <c r="I72" s="21"/>
      <c r="J72" s="21"/>
      <c r="K72" s="20"/>
    </row>
    <row r="73" spans="1:12" ht="15.65" customHeight="1" x14ac:dyDescent="0.35">
      <c r="A73" s="21"/>
      <c r="B73" s="25" t="s">
        <v>28</v>
      </c>
      <c r="C73" s="31" t="s">
        <v>26</v>
      </c>
      <c r="D73" s="29">
        <f>0.73/10*(2.4+2.4+2.56+2.56)+0.8/10*(5.1+7.56)+1.34/10*(12+10.6+24.6)</f>
        <v>8.0617599999999996</v>
      </c>
      <c r="E73" s="21"/>
      <c r="F73" s="21"/>
      <c r="G73" s="20"/>
      <c r="H73" s="20"/>
      <c r="I73" s="21"/>
      <c r="J73" s="21"/>
      <c r="K73" s="20"/>
    </row>
    <row r="74" spans="1:12" ht="15.65" customHeight="1" x14ac:dyDescent="0.35">
      <c r="A74" s="21"/>
      <c r="B74" s="32" t="s">
        <v>29</v>
      </c>
      <c r="C74" s="31" t="s">
        <v>26</v>
      </c>
      <c r="D74" s="29">
        <f>D73*1.02</f>
        <v>8.2229951999999997</v>
      </c>
      <c r="E74" s="21"/>
      <c r="F74" s="21"/>
      <c r="G74" s="20"/>
      <c r="H74" s="20"/>
      <c r="I74" s="21"/>
      <c r="J74" s="21"/>
      <c r="K74" s="20"/>
    </row>
    <row r="75" spans="1:12" ht="15.65" customHeight="1" x14ac:dyDescent="0.35">
      <c r="A75" s="21"/>
      <c r="B75" s="32" t="s">
        <v>30</v>
      </c>
      <c r="C75" s="31" t="s">
        <v>31</v>
      </c>
      <c r="D75" s="29">
        <f>(22.21/10*(2.4+2.4+2.56+2.56)+31.39/10*(5.1+7.56)+33.29/10*(12+10.3+24.6))*1.04</f>
        <v>226.6182464</v>
      </c>
      <c r="E75" s="21"/>
      <c r="F75" s="21"/>
      <c r="G75" s="20"/>
      <c r="H75" s="20"/>
      <c r="I75" s="21"/>
      <c r="J75" s="21"/>
      <c r="K75" s="20"/>
    </row>
    <row r="76" spans="1:12" ht="15.65" customHeight="1" x14ac:dyDescent="0.35">
      <c r="A76" s="21"/>
      <c r="B76" s="25" t="s">
        <v>61</v>
      </c>
      <c r="C76" s="31" t="s">
        <v>27</v>
      </c>
      <c r="D76" s="29">
        <f>3.5+3.4</f>
        <v>6.9</v>
      </c>
      <c r="E76" s="21"/>
      <c r="F76" s="21"/>
      <c r="G76" s="20"/>
      <c r="H76" s="20"/>
      <c r="I76" s="21"/>
      <c r="J76" s="21"/>
      <c r="K76" s="20"/>
    </row>
    <row r="77" spans="1:12" ht="15.65" customHeight="1" x14ac:dyDescent="0.35">
      <c r="A77" s="21"/>
      <c r="B77" s="32" t="s">
        <v>60</v>
      </c>
      <c r="C77" s="31" t="s">
        <v>27</v>
      </c>
      <c r="D77" s="29">
        <f>D76*2*1.1</f>
        <v>15.180000000000001</v>
      </c>
      <c r="E77" s="21"/>
      <c r="F77" s="21"/>
      <c r="G77" s="20"/>
      <c r="H77" s="20"/>
      <c r="I77" s="21"/>
      <c r="J77" s="21"/>
      <c r="K77" s="20"/>
    </row>
    <row r="78" spans="1:12" ht="15.65" customHeight="1" x14ac:dyDescent="0.35">
      <c r="A78" s="21"/>
      <c r="B78" s="25" t="s">
        <v>62</v>
      </c>
      <c r="C78" s="31" t="s">
        <v>27</v>
      </c>
      <c r="D78" s="29">
        <f>7.3+9.5</f>
        <v>16.8</v>
      </c>
      <c r="E78" s="21"/>
      <c r="F78" s="21"/>
      <c r="G78" s="20"/>
      <c r="H78" s="20"/>
      <c r="I78" s="21"/>
      <c r="J78" s="21"/>
      <c r="K78" s="20"/>
    </row>
    <row r="79" spans="1:12" ht="31" x14ac:dyDescent="0.35">
      <c r="A79" s="21"/>
      <c r="B79" s="32" t="s">
        <v>63</v>
      </c>
      <c r="C79" s="31" t="s">
        <v>27</v>
      </c>
      <c r="D79" s="29">
        <f>D78*1.1</f>
        <v>18.480000000000004</v>
      </c>
      <c r="E79" s="21"/>
      <c r="F79" s="21"/>
      <c r="G79" s="20"/>
      <c r="H79" s="20"/>
      <c r="I79" s="21"/>
      <c r="J79" s="21"/>
      <c r="K79" s="20"/>
    </row>
    <row r="80" spans="1:12" ht="15.65" customHeight="1" x14ac:dyDescent="0.35">
      <c r="A80" s="21"/>
      <c r="B80" s="25" t="s">
        <v>64</v>
      </c>
      <c r="C80" s="31" t="s">
        <v>27</v>
      </c>
      <c r="D80" s="29">
        <f>14.2+12.8+26.8</f>
        <v>53.8</v>
      </c>
      <c r="E80" s="21"/>
      <c r="F80" s="21"/>
      <c r="G80" s="20"/>
      <c r="H80" s="20"/>
      <c r="I80" s="21"/>
      <c r="J80" s="21"/>
      <c r="K80" s="20"/>
    </row>
    <row r="81" spans="1:12" ht="31" x14ac:dyDescent="0.35">
      <c r="A81" s="21"/>
      <c r="B81" s="32" t="s">
        <v>65</v>
      </c>
      <c r="C81" s="31" t="s">
        <v>27</v>
      </c>
      <c r="D81" s="29">
        <f>D80*1.1</f>
        <v>59.18</v>
      </c>
      <c r="E81" s="21"/>
      <c r="F81" s="21"/>
      <c r="G81" s="20"/>
      <c r="H81" s="20"/>
      <c r="I81" s="21"/>
      <c r="J81" s="21"/>
      <c r="K81" s="20"/>
    </row>
    <row r="82" spans="1:12" ht="33" x14ac:dyDescent="0.35">
      <c r="A82" s="2"/>
      <c r="B82" s="25" t="s">
        <v>39</v>
      </c>
      <c r="C82" s="3" t="s">
        <v>26</v>
      </c>
      <c r="D82" s="29">
        <f>(D69+D70)-(0.007*(2.4*2+2.56*2)+0.73/10*(2.4*2+2.56*2)+0.027*(5.1+7.56)+0.8/10*(12+10.6+24.6)+0.125*(12+10.6+24.8)+1.34/10*(12+10.6+24.8))</f>
        <v>1054.4369799999999</v>
      </c>
      <c r="E82" s="10"/>
      <c r="F82" s="4"/>
      <c r="G82" s="4"/>
      <c r="H82" s="4"/>
      <c r="I82" s="4"/>
      <c r="J82" s="4"/>
      <c r="K82" s="5"/>
    </row>
    <row r="83" spans="1:12" x14ac:dyDescent="0.35">
      <c r="A83" s="2"/>
      <c r="B83" s="43" t="s">
        <v>66</v>
      </c>
      <c r="C83" s="3" t="s">
        <v>32</v>
      </c>
      <c r="D83" s="29">
        <v>1</v>
      </c>
      <c r="E83" s="10"/>
      <c r="F83" s="4"/>
      <c r="G83" s="4"/>
      <c r="H83" s="4"/>
      <c r="I83" s="4"/>
      <c r="J83" s="4"/>
      <c r="K83" s="5"/>
    </row>
    <row r="84" spans="1:12" x14ac:dyDescent="0.35">
      <c r="A84" s="2"/>
      <c r="B84" s="25" t="s">
        <v>33</v>
      </c>
      <c r="C84" s="3" t="s">
        <v>26</v>
      </c>
      <c r="D84" s="55">
        <f>(4+8)/2*2*2</f>
        <v>24</v>
      </c>
      <c r="E84" s="10"/>
      <c r="F84" s="4"/>
      <c r="G84" s="4"/>
      <c r="H84" s="4"/>
      <c r="I84" s="4"/>
      <c r="J84" s="4"/>
      <c r="K84" s="5"/>
    </row>
    <row r="85" spans="1:12" x14ac:dyDescent="0.35">
      <c r="A85" s="2"/>
      <c r="B85" s="25" t="s">
        <v>19</v>
      </c>
      <c r="C85" s="3" t="s">
        <v>26</v>
      </c>
      <c r="D85" s="29">
        <v>1.1299999999999999</v>
      </c>
      <c r="E85" s="10"/>
      <c r="F85" s="4"/>
      <c r="G85" s="4"/>
      <c r="H85" s="4"/>
      <c r="I85" s="4"/>
      <c r="J85" s="4"/>
      <c r="K85" s="5"/>
    </row>
    <row r="86" spans="1:12" x14ac:dyDescent="0.35">
      <c r="A86" s="2"/>
      <c r="B86" s="25" t="s">
        <v>67</v>
      </c>
      <c r="C86" s="3" t="s">
        <v>25</v>
      </c>
      <c r="D86" s="29">
        <v>5.72</v>
      </c>
      <c r="E86" s="10"/>
      <c r="F86" s="4"/>
      <c r="G86" s="4"/>
      <c r="H86" s="4"/>
      <c r="I86" s="4"/>
      <c r="J86" s="4"/>
      <c r="K86" s="5"/>
    </row>
    <row r="87" spans="1:12" x14ac:dyDescent="0.35">
      <c r="A87" s="2"/>
      <c r="B87" s="25" t="s">
        <v>68</v>
      </c>
      <c r="C87" s="3" t="s">
        <v>26</v>
      </c>
      <c r="D87" s="29">
        <v>0.56999999999999995</v>
      </c>
      <c r="E87" s="10"/>
      <c r="F87" s="4"/>
      <c r="G87" s="4"/>
      <c r="H87" s="4"/>
      <c r="I87" s="4"/>
      <c r="J87" s="4"/>
      <c r="K87" s="5"/>
    </row>
    <row r="88" spans="1:12" ht="46.5" x14ac:dyDescent="0.35">
      <c r="A88" s="2"/>
      <c r="B88" s="25" t="s">
        <v>70</v>
      </c>
      <c r="C88" s="3" t="s">
        <v>25</v>
      </c>
      <c r="D88" s="29">
        <v>4.91</v>
      </c>
      <c r="E88" s="10"/>
      <c r="F88" s="4"/>
      <c r="G88" s="4"/>
      <c r="H88" s="4"/>
      <c r="I88" s="4"/>
      <c r="J88" s="4"/>
      <c r="K88" s="5"/>
    </row>
    <row r="89" spans="1:12" ht="31" x14ac:dyDescent="0.35">
      <c r="A89" s="2"/>
      <c r="B89" s="25" t="s">
        <v>69</v>
      </c>
      <c r="C89" s="3" t="s">
        <v>32</v>
      </c>
      <c r="D89" s="29">
        <v>1</v>
      </c>
      <c r="E89" s="10"/>
      <c r="F89" s="4"/>
      <c r="G89" s="4"/>
      <c r="H89" s="4"/>
      <c r="I89" s="4"/>
      <c r="J89" s="4"/>
      <c r="K89" s="5"/>
    </row>
    <row r="90" spans="1:12" x14ac:dyDescent="0.35">
      <c r="A90" s="2"/>
      <c r="B90" s="17" t="s">
        <v>71</v>
      </c>
      <c r="C90" s="3" t="s">
        <v>32</v>
      </c>
      <c r="D90" s="29">
        <v>1</v>
      </c>
      <c r="E90" s="10"/>
      <c r="F90" s="4"/>
      <c r="G90" s="4"/>
      <c r="H90" s="4"/>
      <c r="I90" s="4"/>
      <c r="J90" s="4"/>
      <c r="K90" s="5"/>
    </row>
    <row r="91" spans="1:12" x14ac:dyDescent="0.35">
      <c r="A91" s="2"/>
      <c r="B91" s="17" t="s">
        <v>72</v>
      </c>
      <c r="C91" s="3" t="s">
        <v>26</v>
      </c>
      <c r="D91" s="29">
        <f>0.05*1.02</f>
        <v>5.1000000000000004E-2</v>
      </c>
      <c r="E91" s="10"/>
      <c r="F91" s="4"/>
      <c r="G91" s="4"/>
      <c r="H91" s="4"/>
      <c r="I91" s="4"/>
      <c r="J91" s="4"/>
      <c r="K91" s="5"/>
    </row>
    <row r="92" spans="1:12" ht="46.5" x14ac:dyDescent="0.35">
      <c r="A92" s="2"/>
      <c r="B92" s="25" t="s">
        <v>74</v>
      </c>
      <c r="C92" s="3" t="s">
        <v>26</v>
      </c>
      <c r="D92" s="37">
        <v>1.2</v>
      </c>
      <c r="E92" s="10"/>
      <c r="F92" s="4"/>
      <c r="G92" s="4"/>
      <c r="H92" s="4"/>
      <c r="I92" s="4"/>
      <c r="J92" s="4"/>
      <c r="K92" s="5"/>
      <c r="L92" s="38" t="s">
        <v>73</v>
      </c>
    </row>
    <row r="93" spans="1:12" x14ac:dyDescent="0.35">
      <c r="A93" s="2"/>
      <c r="B93" s="17" t="s">
        <v>75</v>
      </c>
      <c r="C93" s="3" t="s">
        <v>26</v>
      </c>
      <c r="D93" s="37">
        <f>D92*1.02</f>
        <v>1.224</v>
      </c>
      <c r="E93" s="10"/>
      <c r="F93" s="4"/>
      <c r="G93" s="4"/>
      <c r="H93" s="4"/>
      <c r="I93" s="4"/>
      <c r="J93" s="4"/>
      <c r="K93" s="5"/>
      <c r="L93" s="38"/>
    </row>
    <row r="94" spans="1:12" ht="31" x14ac:dyDescent="0.35">
      <c r="A94" s="2"/>
      <c r="B94" s="25" t="s">
        <v>78</v>
      </c>
      <c r="C94" s="3" t="s">
        <v>32</v>
      </c>
      <c r="D94" s="29">
        <f>SUM(D95:D98)</f>
        <v>7</v>
      </c>
      <c r="E94" s="10"/>
      <c r="F94" s="4"/>
      <c r="G94" s="4"/>
      <c r="H94" s="4"/>
      <c r="I94" s="4"/>
      <c r="J94" s="4"/>
      <c r="K94" s="5"/>
    </row>
    <row r="95" spans="1:12" x14ac:dyDescent="0.35">
      <c r="A95" s="2"/>
      <c r="B95" s="17" t="s">
        <v>76</v>
      </c>
      <c r="C95" s="3" t="s">
        <v>32</v>
      </c>
      <c r="D95" s="29">
        <v>3</v>
      </c>
      <c r="E95" s="10"/>
      <c r="F95" s="4"/>
      <c r="G95" s="4"/>
      <c r="H95" s="4"/>
      <c r="I95" s="4"/>
      <c r="J95" s="4"/>
      <c r="K95" s="5"/>
    </row>
    <row r="96" spans="1:12" x14ac:dyDescent="0.35">
      <c r="A96" s="2"/>
      <c r="B96" s="17" t="s">
        <v>77</v>
      </c>
      <c r="C96" s="3" t="s">
        <v>32</v>
      </c>
      <c r="D96" s="29">
        <v>2</v>
      </c>
      <c r="E96" s="10"/>
      <c r="F96" s="4"/>
      <c r="G96" s="4"/>
      <c r="H96" s="4"/>
      <c r="I96" s="4"/>
      <c r="J96" s="4"/>
      <c r="K96" s="5"/>
    </row>
    <row r="97" spans="1:12" x14ac:dyDescent="0.35">
      <c r="A97" s="2"/>
      <c r="B97" s="17" t="s">
        <v>80</v>
      </c>
      <c r="C97" s="3" t="s">
        <v>32</v>
      </c>
      <c r="D97" s="29">
        <v>1</v>
      </c>
      <c r="E97" s="10"/>
      <c r="F97" s="4"/>
      <c r="G97" s="4"/>
      <c r="H97" s="4"/>
      <c r="I97" s="4"/>
      <c r="J97" s="4"/>
      <c r="K97" s="5"/>
    </row>
    <row r="98" spans="1:12" x14ac:dyDescent="0.35">
      <c r="A98" s="2"/>
      <c r="B98" s="40" t="s">
        <v>81</v>
      </c>
      <c r="C98" s="3" t="s">
        <v>32</v>
      </c>
      <c r="D98" s="37">
        <v>1</v>
      </c>
      <c r="E98" s="10"/>
      <c r="F98" s="4"/>
      <c r="G98" s="4"/>
      <c r="H98" s="4"/>
      <c r="I98" s="4"/>
      <c r="J98" s="4"/>
      <c r="K98" s="5"/>
      <c r="L98" s="38" t="s">
        <v>82</v>
      </c>
    </row>
    <row r="99" spans="1:12" ht="31" x14ac:dyDescent="0.35">
      <c r="A99" s="2"/>
      <c r="B99" s="25" t="s">
        <v>85</v>
      </c>
      <c r="C99" s="3" t="s">
        <v>32</v>
      </c>
      <c r="D99" s="29">
        <v>1</v>
      </c>
      <c r="E99" s="10"/>
      <c r="F99" s="4"/>
      <c r="G99" s="4"/>
      <c r="H99" s="4"/>
      <c r="I99" s="4"/>
      <c r="J99" s="4"/>
      <c r="K99" s="5"/>
    </row>
    <row r="100" spans="1:12" x14ac:dyDescent="0.35">
      <c r="A100" s="2"/>
      <c r="B100" s="17" t="s">
        <v>79</v>
      </c>
      <c r="C100" s="3" t="s">
        <v>32</v>
      </c>
      <c r="D100" s="29">
        <v>1</v>
      </c>
      <c r="E100" s="10"/>
      <c r="F100" s="4"/>
      <c r="G100" s="4"/>
      <c r="H100" s="4"/>
      <c r="I100" s="4"/>
      <c r="J100" s="4"/>
      <c r="K100" s="5"/>
    </row>
    <row r="101" spans="1:12" ht="31" x14ac:dyDescent="0.35">
      <c r="A101" s="2"/>
      <c r="B101" s="25" t="s">
        <v>86</v>
      </c>
      <c r="C101" s="3" t="s">
        <v>32</v>
      </c>
      <c r="D101" s="29">
        <v>1</v>
      </c>
      <c r="E101" s="10"/>
      <c r="F101" s="4"/>
      <c r="G101" s="4"/>
      <c r="H101" s="4"/>
      <c r="I101" s="4"/>
      <c r="J101" s="4"/>
      <c r="K101" s="5"/>
    </row>
    <row r="102" spans="1:12" x14ac:dyDescent="0.35">
      <c r="A102" s="2"/>
      <c r="B102" s="17" t="s">
        <v>84</v>
      </c>
      <c r="C102" s="3" t="s">
        <v>32</v>
      </c>
      <c r="D102" s="29">
        <v>1</v>
      </c>
      <c r="E102" s="10"/>
      <c r="F102" s="4"/>
      <c r="G102" s="4"/>
      <c r="H102" s="4"/>
      <c r="I102" s="4"/>
      <c r="J102" s="4"/>
      <c r="K102" s="5"/>
    </row>
    <row r="103" spans="1:12" x14ac:dyDescent="0.35">
      <c r="A103" s="2"/>
      <c r="B103" s="25" t="s">
        <v>87</v>
      </c>
      <c r="C103" s="3" t="s">
        <v>32</v>
      </c>
      <c r="D103" s="29">
        <v>1</v>
      </c>
      <c r="E103" s="10"/>
      <c r="F103" s="4"/>
      <c r="G103" s="4"/>
      <c r="H103" s="4"/>
      <c r="I103" s="4"/>
      <c r="J103" s="4"/>
      <c r="K103" s="5"/>
    </row>
    <row r="104" spans="1:12" x14ac:dyDescent="0.35">
      <c r="A104" s="2"/>
      <c r="B104" s="17" t="s">
        <v>88</v>
      </c>
      <c r="C104" s="3" t="s">
        <v>32</v>
      </c>
      <c r="D104" s="29">
        <v>1</v>
      </c>
      <c r="E104" s="10"/>
      <c r="F104" s="4"/>
      <c r="G104" s="4"/>
      <c r="H104" s="4"/>
      <c r="I104" s="4"/>
      <c r="J104" s="4"/>
      <c r="K104" s="5"/>
    </row>
    <row r="105" spans="1:12" ht="77.5" x14ac:dyDescent="0.35">
      <c r="A105" s="2"/>
      <c r="B105" s="41" t="s">
        <v>90</v>
      </c>
      <c r="C105" s="3" t="s">
        <v>25</v>
      </c>
      <c r="D105" s="29">
        <f>((0.3+0.03+0.013)*3.14*2.4)+16.77+7.4+0.64+0.32+0.1275+3.4</f>
        <v>31.242348000000003</v>
      </c>
      <c r="E105" s="10"/>
      <c r="F105" s="4"/>
      <c r="G105" s="4"/>
      <c r="H105" s="4"/>
      <c r="I105" s="4"/>
      <c r="J105" s="4"/>
      <c r="K105" s="5"/>
      <c r="L105" s="42" t="s">
        <v>89</v>
      </c>
    </row>
    <row r="106" spans="1:12" x14ac:dyDescent="0.35">
      <c r="A106" s="2"/>
      <c r="B106" s="25" t="s">
        <v>91</v>
      </c>
      <c r="C106" s="3" t="s">
        <v>32</v>
      </c>
      <c r="D106" s="29">
        <v>1</v>
      </c>
      <c r="E106" s="10"/>
      <c r="F106" s="4"/>
      <c r="G106" s="4"/>
      <c r="H106" s="4"/>
      <c r="I106" s="4"/>
      <c r="J106" s="4"/>
      <c r="K106" s="5"/>
    </row>
    <row r="107" spans="1:12" x14ac:dyDescent="0.35">
      <c r="A107" s="2"/>
      <c r="B107" s="17" t="s">
        <v>92</v>
      </c>
      <c r="C107" s="3" t="s">
        <v>31</v>
      </c>
      <c r="D107" s="29">
        <v>38.9</v>
      </c>
      <c r="E107" s="10"/>
      <c r="F107" s="4"/>
      <c r="G107" s="4"/>
      <c r="H107" s="4"/>
      <c r="I107" s="4"/>
      <c r="J107" s="4"/>
      <c r="K107" s="5"/>
    </row>
    <row r="108" spans="1:12" x14ac:dyDescent="0.35">
      <c r="A108" s="2"/>
      <c r="B108" s="25" t="s">
        <v>93</v>
      </c>
      <c r="C108" s="3" t="s">
        <v>32</v>
      </c>
      <c r="D108" s="29">
        <v>1</v>
      </c>
      <c r="E108" s="10"/>
      <c r="F108" s="4"/>
      <c r="G108" s="4"/>
      <c r="H108" s="4"/>
      <c r="I108" s="4"/>
      <c r="J108" s="4"/>
      <c r="K108" s="5"/>
    </row>
    <row r="109" spans="1:12" x14ac:dyDescent="0.35">
      <c r="A109" s="2"/>
      <c r="B109" s="17" t="s">
        <v>94</v>
      </c>
      <c r="C109" s="3" t="s">
        <v>31</v>
      </c>
      <c r="D109" s="29">
        <v>0.8</v>
      </c>
      <c r="E109" s="10"/>
      <c r="F109" s="4"/>
      <c r="G109" s="4"/>
      <c r="H109" s="4"/>
      <c r="I109" s="4"/>
      <c r="J109" s="4"/>
      <c r="K109" s="5"/>
    </row>
    <row r="110" spans="1:12" x14ac:dyDescent="0.35">
      <c r="A110" s="2"/>
      <c r="B110" s="25" t="s">
        <v>95</v>
      </c>
      <c r="C110" s="3" t="s">
        <v>32</v>
      </c>
      <c r="D110" s="29">
        <v>3</v>
      </c>
      <c r="E110" s="10"/>
      <c r="F110" s="4"/>
      <c r="G110" s="4"/>
      <c r="H110" s="4"/>
      <c r="I110" s="4"/>
      <c r="J110" s="4"/>
      <c r="K110" s="5"/>
    </row>
    <row r="111" spans="1:12" ht="33" x14ac:dyDescent="0.35">
      <c r="A111" s="2"/>
      <c r="B111" s="25" t="s">
        <v>96</v>
      </c>
      <c r="C111" s="3" t="s">
        <v>26</v>
      </c>
      <c r="D111" s="29">
        <f>D84+D85-(0.57+0.59+15.4+0.32)</f>
        <v>8.25</v>
      </c>
      <c r="E111" s="10"/>
      <c r="F111" s="4"/>
      <c r="G111" s="4"/>
      <c r="H111" s="4"/>
      <c r="I111" s="4"/>
      <c r="J111" s="4"/>
      <c r="K111" s="5"/>
    </row>
    <row r="112" spans="1:12" x14ac:dyDescent="0.35">
      <c r="A112" s="2"/>
      <c r="B112" s="43" t="s">
        <v>97</v>
      </c>
      <c r="C112" s="3" t="s">
        <v>32</v>
      </c>
      <c r="D112" s="46">
        <v>1</v>
      </c>
      <c r="E112" s="10"/>
      <c r="F112" s="4"/>
      <c r="G112" s="4"/>
      <c r="H112" s="4"/>
      <c r="I112" s="4"/>
      <c r="J112" s="4"/>
      <c r="K112" s="5"/>
    </row>
    <row r="113" spans="1:12" x14ac:dyDescent="0.35">
      <c r="A113" s="2"/>
      <c r="B113" s="25" t="s">
        <v>33</v>
      </c>
      <c r="C113" s="3" t="s">
        <v>26</v>
      </c>
      <c r="D113" s="55">
        <f>(4+8)/2*5*2</f>
        <v>60</v>
      </c>
      <c r="E113" s="10"/>
      <c r="F113" s="4"/>
      <c r="G113" s="4"/>
      <c r="H113" s="4"/>
      <c r="I113" s="4"/>
      <c r="J113" s="4"/>
      <c r="K113" s="5"/>
    </row>
    <row r="114" spans="1:12" x14ac:dyDescent="0.35">
      <c r="A114" s="2"/>
      <c r="B114" s="25" t="s">
        <v>19</v>
      </c>
      <c r="C114" s="3" t="s">
        <v>26</v>
      </c>
      <c r="D114" s="46">
        <v>1.1299999999999999</v>
      </c>
      <c r="E114" s="10"/>
      <c r="F114" s="4"/>
      <c r="G114" s="4"/>
      <c r="H114" s="4"/>
      <c r="I114" s="4"/>
      <c r="J114" s="4"/>
      <c r="K114" s="5"/>
    </row>
    <row r="115" spans="1:12" x14ac:dyDescent="0.35">
      <c r="A115" s="2"/>
      <c r="B115" s="25" t="s">
        <v>67</v>
      </c>
      <c r="C115" s="3" t="s">
        <v>25</v>
      </c>
      <c r="D115" s="46">
        <v>5.72</v>
      </c>
      <c r="E115" s="10"/>
      <c r="F115" s="4"/>
      <c r="G115" s="4"/>
      <c r="H115" s="4"/>
      <c r="I115" s="4"/>
      <c r="J115" s="4"/>
      <c r="K115" s="5"/>
    </row>
    <row r="116" spans="1:12" x14ac:dyDescent="0.35">
      <c r="A116" s="2"/>
      <c r="B116" s="25" t="s">
        <v>68</v>
      </c>
      <c r="C116" s="3" t="s">
        <v>26</v>
      </c>
      <c r="D116" s="46">
        <v>0.56999999999999995</v>
      </c>
      <c r="E116" s="10"/>
      <c r="F116" s="4"/>
      <c r="G116" s="4"/>
      <c r="H116" s="4"/>
      <c r="I116" s="4"/>
      <c r="J116" s="4"/>
      <c r="K116" s="5"/>
    </row>
    <row r="117" spans="1:12" ht="46.5" x14ac:dyDescent="0.35">
      <c r="A117" s="2"/>
      <c r="B117" s="25" t="s">
        <v>70</v>
      </c>
      <c r="C117" s="3" t="s">
        <v>25</v>
      </c>
      <c r="D117" s="46">
        <v>4.91</v>
      </c>
      <c r="E117" s="10"/>
      <c r="F117" s="4"/>
      <c r="G117" s="4"/>
      <c r="H117" s="4"/>
      <c r="I117" s="4"/>
      <c r="J117" s="4"/>
      <c r="K117" s="5"/>
    </row>
    <row r="118" spans="1:12" ht="31" x14ac:dyDescent="0.35">
      <c r="A118" s="2"/>
      <c r="B118" s="25" t="s">
        <v>69</v>
      </c>
      <c r="C118" s="3" t="s">
        <v>32</v>
      </c>
      <c r="D118" s="46">
        <v>1</v>
      </c>
      <c r="E118" s="10"/>
      <c r="F118" s="4"/>
      <c r="G118" s="4"/>
      <c r="H118" s="4"/>
      <c r="I118" s="4"/>
      <c r="J118" s="4"/>
      <c r="K118" s="5"/>
    </row>
    <row r="119" spans="1:12" x14ac:dyDescent="0.35">
      <c r="A119" s="2"/>
      <c r="B119" s="17" t="s">
        <v>71</v>
      </c>
      <c r="C119" s="3" t="s">
        <v>32</v>
      </c>
      <c r="D119" s="46">
        <v>1</v>
      </c>
      <c r="E119" s="10"/>
      <c r="F119" s="4"/>
      <c r="G119" s="4"/>
      <c r="H119" s="4"/>
      <c r="I119" s="4"/>
      <c r="J119" s="4"/>
      <c r="K119" s="5"/>
    </row>
    <row r="120" spans="1:12" x14ac:dyDescent="0.35">
      <c r="A120" s="2"/>
      <c r="B120" s="17" t="s">
        <v>72</v>
      </c>
      <c r="C120" s="3" t="s">
        <v>26</v>
      </c>
      <c r="D120" s="46">
        <f>0.05*1.02</f>
        <v>5.1000000000000004E-2</v>
      </c>
      <c r="E120" s="10"/>
      <c r="F120" s="4"/>
      <c r="G120" s="4"/>
      <c r="H120" s="4"/>
      <c r="I120" s="4"/>
      <c r="J120" s="4"/>
      <c r="K120" s="5"/>
    </row>
    <row r="121" spans="1:12" ht="46.5" x14ac:dyDescent="0.35">
      <c r="A121" s="2"/>
      <c r="B121" s="25" t="s">
        <v>74</v>
      </c>
      <c r="C121" s="3" t="s">
        <v>26</v>
      </c>
      <c r="D121" s="37">
        <v>1.2</v>
      </c>
      <c r="E121" s="10"/>
      <c r="F121" s="4"/>
      <c r="G121" s="4"/>
      <c r="H121" s="4"/>
      <c r="I121" s="4"/>
      <c r="J121" s="4"/>
      <c r="K121" s="5"/>
      <c r="L121" s="38" t="s">
        <v>73</v>
      </c>
    </row>
    <row r="122" spans="1:12" x14ac:dyDescent="0.35">
      <c r="A122" s="2"/>
      <c r="B122" s="17" t="s">
        <v>75</v>
      </c>
      <c r="C122" s="3" t="s">
        <v>26</v>
      </c>
      <c r="D122" s="37">
        <f>D121*1.02</f>
        <v>1.224</v>
      </c>
      <c r="E122" s="10"/>
      <c r="F122" s="4"/>
      <c r="G122" s="4"/>
      <c r="H122" s="4"/>
      <c r="I122" s="4"/>
      <c r="J122" s="4"/>
      <c r="K122" s="5"/>
      <c r="L122" s="38"/>
    </row>
    <row r="123" spans="1:12" ht="31" x14ac:dyDescent="0.35">
      <c r="A123" s="2"/>
      <c r="B123" s="25" t="s">
        <v>78</v>
      </c>
      <c r="C123" s="3" t="s">
        <v>32</v>
      </c>
      <c r="D123" s="46">
        <f>SUM(D124:D126)</f>
        <v>7</v>
      </c>
      <c r="E123" s="10"/>
      <c r="F123" s="4"/>
      <c r="G123" s="4"/>
      <c r="H123" s="4"/>
      <c r="I123" s="4"/>
      <c r="J123" s="4"/>
      <c r="K123" s="5"/>
    </row>
    <row r="124" spans="1:12" x14ac:dyDescent="0.35">
      <c r="A124" s="2"/>
      <c r="B124" s="17" t="s">
        <v>76</v>
      </c>
      <c r="C124" s="3" t="s">
        <v>32</v>
      </c>
      <c r="D124" s="46">
        <v>5</v>
      </c>
      <c r="E124" s="10"/>
      <c r="F124" s="4"/>
      <c r="G124" s="4"/>
      <c r="H124" s="4"/>
      <c r="I124" s="4"/>
      <c r="J124" s="4"/>
      <c r="K124" s="5"/>
    </row>
    <row r="125" spans="1:12" x14ac:dyDescent="0.35">
      <c r="A125" s="2"/>
      <c r="B125" s="17" t="s">
        <v>80</v>
      </c>
      <c r="C125" s="3" t="s">
        <v>32</v>
      </c>
      <c r="D125" s="46">
        <v>1</v>
      </c>
      <c r="E125" s="10"/>
      <c r="F125" s="4"/>
      <c r="G125" s="4"/>
      <c r="H125" s="4"/>
      <c r="I125" s="4"/>
      <c r="J125" s="4"/>
      <c r="K125" s="5"/>
    </row>
    <row r="126" spans="1:12" x14ac:dyDescent="0.35">
      <c r="A126" s="2"/>
      <c r="B126" s="40" t="s">
        <v>98</v>
      </c>
      <c r="C126" s="3" t="s">
        <v>32</v>
      </c>
      <c r="D126" s="46">
        <v>1</v>
      </c>
      <c r="E126" s="10"/>
      <c r="F126" s="4"/>
      <c r="G126" s="4"/>
      <c r="H126" s="4"/>
      <c r="I126" s="4"/>
      <c r="J126" s="4"/>
      <c r="K126" s="5"/>
      <c r="L126" s="38" t="s">
        <v>83</v>
      </c>
    </row>
    <row r="127" spans="1:12" ht="31" x14ac:dyDescent="0.35">
      <c r="A127" s="2"/>
      <c r="B127" s="25" t="s">
        <v>85</v>
      </c>
      <c r="C127" s="3" t="s">
        <v>32</v>
      </c>
      <c r="D127" s="46">
        <v>1</v>
      </c>
      <c r="E127" s="10"/>
      <c r="F127" s="4"/>
      <c r="G127" s="4"/>
      <c r="H127" s="4"/>
      <c r="I127" s="4"/>
      <c r="J127" s="4"/>
      <c r="K127" s="5"/>
    </row>
    <row r="128" spans="1:12" x14ac:dyDescent="0.35">
      <c r="A128" s="2"/>
      <c r="B128" s="17" t="s">
        <v>79</v>
      </c>
      <c r="C128" s="3" t="s">
        <v>32</v>
      </c>
      <c r="D128" s="46">
        <v>1</v>
      </c>
      <c r="E128" s="10"/>
      <c r="F128" s="4"/>
      <c r="G128" s="4"/>
      <c r="H128" s="4"/>
      <c r="I128" s="4"/>
      <c r="J128" s="4"/>
      <c r="K128" s="5"/>
    </row>
    <row r="129" spans="1:15" ht="31" x14ac:dyDescent="0.35">
      <c r="A129" s="2"/>
      <c r="B129" s="25" t="s">
        <v>86</v>
      </c>
      <c r="C129" s="3" t="s">
        <v>32</v>
      </c>
      <c r="D129" s="46">
        <v>1</v>
      </c>
      <c r="E129" s="10"/>
      <c r="F129" s="4"/>
      <c r="G129" s="4"/>
      <c r="H129" s="4"/>
      <c r="I129" s="4"/>
      <c r="J129" s="4"/>
      <c r="K129" s="5"/>
    </row>
    <row r="130" spans="1:15" x14ac:dyDescent="0.35">
      <c r="A130" s="2"/>
      <c r="B130" s="17" t="s">
        <v>84</v>
      </c>
      <c r="C130" s="3" t="s">
        <v>32</v>
      </c>
      <c r="D130" s="46">
        <v>1</v>
      </c>
      <c r="E130" s="10"/>
      <c r="F130" s="4"/>
      <c r="G130" s="4"/>
      <c r="H130" s="4"/>
      <c r="I130" s="4"/>
      <c r="J130" s="4"/>
      <c r="K130" s="5"/>
    </row>
    <row r="131" spans="1:15" x14ac:dyDescent="0.35">
      <c r="A131" s="2"/>
      <c r="B131" s="25" t="s">
        <v>87</v>
      </c>
      <c r="C131" s="3" t="s">
        <v>32</v>
      </c>
      <c r="D131" s="46">
        <v>1</v>
      </c>
      <c r="E131" s="10"/>
      <c r="F131" s="4"/>
      <c r="G131" s="4"/>
      <c r="H131" s="4"/>
      <c r="I131" s="4"/>
      <c r="J131" s="4"/>
      <c r="K131" s="5"/>
    </row>
    <row r="132" spans="1:15" x14ac:dyDescent="0.35">
      <c r="A132" s="2"/>
      <c r="B132" s="17" t="s">
        <v>88</v>
      </c>
      <c r="C132" s="3" t="s">
        <v>32</v>
      </c>
      <c r="D132" s="46">
        <v>1</v>
      </c>
      <c r="E132" s="10"/>
      <c r="F132" s="4"/>
      <c r="G132" s="4"/>
      <c r="H132" s="4"/>
      <c r="I132" s="4"/>
      <c r="J132" s="4"/>
      <c r="K132" s="5"/>
    </row>
    <row r="133" spans="1:15" ht="77.5" x14ac:dyDescent="0.35">
      <c r="A133" s="2"/>
      <c r="B133" s="41" t="s">
        <v>90</v>
      </c>
      <c r="C133" s="3" t="s">
        <v>25</v>
      </c>
      <c r="D133" s="46">
        <f>((0.5+0.03+0.044)*3.14*2.4)+27.95+0.64+0.21+0.1257+3.4</f>
        <v>36.651364000000001</v>
      </c>
      <c r="E133" s="10"/>
      <c r="F133" s="4"/>
      <c r="G133" s="4"/>
      <c r="H133" s="4"/>
      <c r="I133" s="4"/>
      <c r="J133" s="4"/>
      <c r="K133" s="5"/>
      <c r="L133" s="42" t="s">
        <v>89</v>
      </c>
    </row>
    <row r="134" spans="1:15" x14ac:dyDescent="0.35">
      <c r="A134" s="15"/>
      <c r="B134" s="48" t="s">
        <v>99</v>
      </c>
      <c r="C134" s="3" t="s">
        <v>32</v>
      </c>
      <c r="D134" s="47">
        <v>1</v>
      </c>
      <c r="E134" s="44"/>
      <c r="F134" s="45"/>
      <c r="G134" s="45"/>
      <c r="H134" s="45"/>
      <c r="I134" s="45"/>
      <c r="J134" s="45"/>
      <c r="K134" s="5"/>
    </row>
    <row r="135" spans="1:15" x14ac:dyDescent="0.35">
      <c r="A135" s="15"/>
      <c r="B135" s="17" t="s">
        <v>103</v>
      </c>
      <c r="C135" s="3" t="s">
        <v>31</v>
      </c>
      <c r="D135" s="47">
        <v>45.4</v>
      </c>
      <c r="E135" s="44"/>
      <c r="F135" s="45"/>
      <c r="G135" s="45"/>
      <c r="H135" s="45"/>
      <c r="I135" s="45"/>
      <c r="J135" s="45"/>
      <c r="K135" s="5"/>
    </row>
    <row r="136" spans="1:15" x14ac:dyDescent="0.35">
      <c r="B136" s="25" t="s">
        <v>93</v>
      </c>
      <c r="C136" s="3" t="s">
        <v>32</v>
      </c>
      <c r="D136" s="47">
        <v>1</v>
      </c>
      <c r="E136" s="44"/>
      <c r="F136" s="45"/>
      <c r="G136" s="45"/>
      <c r="H136" s="45"/>
      <c r="I136" s="45"/>
      <c r="J136" s="45"/>
      <c r="K136" s="5"/>
      <c r="L136" s="11"/>
      <c r="M136" s="11"/>
      <c r="O136" s="12"/>
    </row>
    <row r="137" spans="1:15" ht="18" customHeight="1" x14ac:dyDescent="0.35">
      <c r="B137" s="17" t="s">
        <v>94</v>
      </c>
      <c r="C137" s="3" t="s">
        <v>31</v>
      </c>
      <c r="D137" s="46">
        <v>0.8</v>
      </c>
      <c r="E137" s="44"/>
      <c r="F137" s="45"/>
      <c r="G137" s="45"/>
      <c r="H137" s="45"/>
      <c r="I137" s="45"/>
      <c r="J137" s="45"/>
      <c r="K137" s="5"/>
      <c r="O137" s="12"/>
    </row>
    <row r="138" spans="1:15" x14ac:dyDescent="0.35">
      <c r="B138" s="25" t="s">
        <v>95</v>
      </c>
      <c r="C138" s="3" t="s">
        <v>32</v>
      </c>
      <c r="D138" s="47">
        <v>3</v>
      </c>
      <c r="E138" s="44"/>
      <c r="F138" s="45"/>
      <c r="G138" s="45"/>
      <c r="H138" s="45"/>
      <c r="I138" s="45"/>
      <c r="J138" s="45"/>
      <c r="K138" s="5"/>
      <c r="O138" s="12"/>
    </row>
    <row r="139" spans="1:15" ht="33" x14ac:dyDescent="0.35">
      <c r="B139" s="25" t="s">
        <v>96</v>
      </c>
      <c r="C139" s="3" t="s">
        <v>26</v>
      </c>
      <c r="D139" s="46">
        <f>D113+D114-(0.57+0.59+17.67+0.27)</f>
        <v>42.03</v>
      </c>
      <c r="E139" s="44"/>
      <c r="F139" s="45"/>
      <c r="G139" s="45"/>
      <c r="H139" s="45"/>
      <c r="I139" s="45"/>
      <c r="J139" s="45"/>
      <c r="K139" s="5"/>
    </row>
    <row r="140" spans="1:15" x14ac:dyDescent="0.35">
      <c r="B140" s="43" t="s">
        <v>100</v>
      </c>
      <c r="C140" s="3" t="s">
        <v>32</v>
      </c>
      <c r="D140" s="46">
        <v>1</v>
      </c>
      <c r="E140" s="10"/>
      <c r="F140" s="4"/>
      <c r="G140" s="4"/>
      <c r="H140" s="4"/>
      <c r="I140" s="4"/>
      <c r="J140" s="4"/>
      <c r="K140" s="5"/>
    </row>
    <row r="141" spans="1:15" x14ac:dyDescent="0.35">
      <c r="B141" s="25" t="s">
        <v>33</v>
      </c>
      <c r="C141" s="3" t="s">
        <v>26</v>
      </c>
      <c r="D141" s="55">
        <f>(4+8)/2*5*2</f>
        <v>60</v>
      </c>
      <c r="E141" s="10"/>
      <c r="F141" s="4"/>
      <c r="G141" s="4"/>
      <c r="H141" s="4"/>
      <c r="I141" s="4"/>
      <c r="J141" s="4"/>
      <c r="K141" s="5"/>
    </row>
    <row r="142" spans="1:15" x14ac:dyDescent="0.35">
      <c r="B142" s="25" t="s">
        <v>19</v>
      </c>
      <c r="C142" s="3" t="s">
        <v>26</v>
      </c>
      <c r="D142" s="46">
        <v>1.1299999999999999</v>
      </c>
      <c r="E142" s="10"/>
      <c r="F142" s="4"/>
      <c r="G142" s="4"/>
      <c r="H142" s="4"/>
      <c r="I142" s="4"/>
      <c r="J142" s="4"/>
      <c r="K142" s="5"/>
    </row>
    <row r="143" spans="1:15" x14ac:dyDescent="0.35">
      <c r="B143" s="25" t="s">
        <v>67</v>
      </c>
      <c r="C143" s="3" t="s">
        <v>25</v>
      </c>
      <c r="D143" s="46">
        <v>5.72</v>
      </c>
      <c r="E143" s="10"/>
      <c r="F143" s="4"/>
      <c r="G143" s="4"/>
      <c r="H143" s="4"/>
      <c r="I143" s="4"/>
      <c r="J143" s="4"/>
      <c r="K143" s="5"/>
    </row>
    <row r="144" spans="1:15" x14ac:dyDescent="0.35">
      <c r="B144" s="25" t="s">
        <v>68</v>
      </c>
      <c r="C144" s="3" t="s">
        <v>26</v>
      </c>
      <c r="D144" s="46">
        <v>0.56999999999999995</v>
      </c>
      <c r="E144" s="10"/>
      <c r="F144" s="4"/>
      <c r="G144" s="4"/>
      <c r="H144" s="4"/>
      <c r="I144" s="4"/>
      <c r="J144" s="4"/>
      <c r="K144" s="5"/>
    </row>
    <row r="145" spans="2:12" ht="46.5" x14ac:dyDescent="0.35">
      <c r="B145" s="25" t="s">
        <v>70</v>
      </c>
      <c r="C145" s="3" t="s">
        <v>25</v>
      </c>
      <c r="D145" s="46">
        <v>4.91</v>
      </c>
      <c r="E145" s="10"/>
      <c r="F145" s="4"/>
      <c r="G145" s="4"/>
      <c r="H145" s="4"/>
      <c r="I145" s="4"/>
      <c r="J145" s="4"/>
      <c r="K145" s="5"/>
    </row>
    <row r="146" spans="2:12" ht="31" x14ac:dyDescent="0.35">
      <c r="B146" s="25" t="s">
        <v>69</v>
      </c>
      <c r="C146" s="3" t="s">
        <v>32</v>
      </c>
      <c r="D146" s="46">
        <v>1</v>
      </c>
      <c r="E146" s="10"/>
      <c r="F146" s="4"/>
      <c r="G146" s="4"/>
      <c r="H146" s="4"/>
      <c r="I146" s="4"/>
      <c r="J146" s="4"/>
      <c r="K146" s="5"/>
    </row>
    <row r="147" spans="2:12" x14ac:dyDescent="0.35">
      <c r="B147" s="17" t="s">
        <v>71</v>
      </c>
      <c r="C147" s="3" t="s">
        <v>32</v>
      </c>
      <c r="D147" s="46">
        <v>1</v>
      </c>
      <c r="E147" s="10"/>
      <c r="F147" s="4"/>
      <c r="G147" s="4"/>
      <c r="H147" s="4"/>
      <c r="I147" s="4"/>
      <c r="J147" s="4"/>
      <c r="K147" s="5"/>
    </row>
    <row r="148" spans="2:12" x14ac:dyDescent="0.35">
      <c r="B148" s="17" t="s">
        <v>101</v>
      </c>
      <c r="C148" s="3" t="s">
        <v>26</v>
      </c>
      <c r="D148" s="46">
        <f>0.05*1.02</f>
        <v>5.1000000000000004E-2</v>
      </c>
      <c r="E148" s="10"/>
      <c r="F148" s="4"/>
      <c r="G148" s="4"/>
      <c r="H148" s="4"/>
      <c r="I148" s="4"/>
      <c r="J148" s="4"/>
      <c r="K148" s="5"/>
    </row>
    <row r="149" spans="2:12" ht="46.5" x14ac:dyDescent="0.35">
      <c r="B149" s="25" t="s">
        <v>74</v>
      </c>
      <c r="C149" s="3" t="s">
        <v>26</v>
      </c>
      <c r="D149" s="37">
        <v>1.2</v>
      </c>
      <c r="E149" s="10"/>
      <c r="F149" s="4"/>
      <c r="G149" s="4"/>
      <c r="H149" s="4"/>
      <c r="I149" s="4"/>
      <c r="J149" s="4"/>
      <c r="K149" s="5"/>
      <c r="L149" s="38" t="s">
        <v>73</v>
      </c>
    </row>
    <row r="150" spans="2:12" x14ac:dyDescent="0.35">
      <c r="B150" s="17" t="s">
        <v>75</v>
      </c>
      <c r="C150" s="3" t="s">
        <v>26</v>
      </c>
      <c r="D150" s="37">
        <f>D149*1.02</f>
        <v>1.224</v>
      </c>
      <c r="E150" s="10"/>
      <c r="F150" s="4"/>
      <c r="G150" s="4"/>
      <c r="H150" s="4"/>
      <c r="I150" s="4"/>
      <c r="J150" s="4"/>
      <c r="K150" s="5"/>
      <c r="L150" s="38"/>
    </row>
    <row r="151" spans="2:12" ht="31" x14ac:dyDescent="0.35">
      <c r="B151" s="25" t="s">
        <v>78</v>
      </c>
      <c r="C151" s="3" t="s">
        <v>32</v>
      </c>
      <c r="D151" s="46">
        <f>SUM(D152:D154)</f>
        <v>5</v>
      </c>
      <c r="E151" s="10"/>
      <c r="F151" s="4"/>
      <c r="G151" s="4"/>
      <c r="H151" s="4"/>
      <c r="I151" s="4"/>
      <c r="J151" s="4"/>
      <c r="K151" s="5"/>
    </row>
    <row r="152" spans="2:12" x14ac:dyDescent="0.35">
      <c r="B152" s="17" t="s">
        <v>76</v>
      </c>
      <c r="C152" s="3" t="s">
        <v>32</v>
      </c>
      <c r="D152" s="46">
        <v>2</v>
      </c>
      <c r="E152" s="10"/>
      <c r="F152" s="4"/>
      <c r="G152" s="4"/>
      <c r="H152" s="4"/>
      <c r="I152" s="4"/>
      <c r="J152" s="4"/>
      <c r="K152" s="5"/>
    </row>
    <row r="153" spans="2:12" x14ac:dyDescent="0.35">
      <c r="B153" s="17" t="s">
        <v>77</v>
      </c>
      <c r="C153" s="3"/>
      <c r="D153" s="46">
        <v>2</v>
      </c>
      <c r="E153" s="10"/>
      <c r="F153" s="4"/>
      <c r="G153" s="4"/>
      <c r="H153" s="4"/>
      <c r="I153" s="4"/>
      <c r="J153" s="4"/>
      <c r="K153" s="5"/>
    </row>
    <row r="154" spans="2:12" x14ac:dyDescent="0.35">
      <c r="B154" s="17" t="s">
        <v>80</v>
      </c>
      <c r="C154" s="3" t="s">
        <v>32</v>
      </c>
      <c r="D154" s="46">
        <v>1</v>
      </c>
      <c r="E154" s="10"/>
      <c r="F154" s="4"/>
      <c r="G154" s="4"/>
      <c r="H154" s="4"/>
      <c r="I154" s="4"/>
      <c r="J154" s="4"/>
      <c r="K154" s="5"/>
    </row>
    <row r="155" spans="2:12" ht="31" x14ac:dyDescent="0.35">
      <c r="B155" s="25" t="s">
        <v>85</v>
      </c>
      <c r="C155" s="3" t="s">
        <v>32</v>
      </c>
      <c r="D155" s="46">
        <v>1</v>
      </c>
      <c r="E155" s="10"/>
      <c r="F155" s="4"/>
      <c r="G155" s="4"/>
      <c r="H155" s="4"/>
      <c r="I155" s="4"/>
      <c r="J155" s="4"/>
      <c r="K155" s="5"/>
    </row>
    <row r="156" spans="2:12" x14ac:dyDescent="0.35">
      <c r="B156" s="17" t="s">
        <v>79</v>
      </c>
      <c r="C156" s="3" t="s">
        <v>32</v>
      </c>
      <c r="D156" s="46">
        <v>1</v>
      </c>
      <c r="E156" s="10"/>
      <c r="F156" s="4"/>
      <c r="G156" s="4"/>
      <c r="H156" s="4"/>
      <c r="I156" s="4"/>
      <c r="J156" s="4"/>
      <c r="K156" s="5"/>
    </row>
    <row r="157" spans="2:12" ht="31" x14ac:dyDescent="0.35">
      <c r="B157" s="25" t="s">
        <v>86</v>
      </c>
      <c r="C157" s="3" t="s">
        <v>32</v>
      </c>
      <c r="D157" s="46">
        <v>1</v>
      </c>
      <c r="E157" s="10"/>
      <c r="F157" s="4"/>
      <c r="G157" s="4"/>
      <c r="H157" s="4"/>
      <c r="I157" s="4"/>
      <c r="J157" s="4"/>
      <c r="K157" s="5"/>
    </row>
    <row r="158" spans="2:12" x14ac:dyDescent="0.35">
      <c r="B158" s="17" t="s">
        <v>84</v>
      </c>
      <c r="C158" s="3" t="s">
        <v>32</v>
      </c>
      <c r="D158" s="46">
        <v>1</v>
      </c>
      <c r="E158" s="10"/>
      <c r="F158" s="4"/>
      <c r="G158" s="4"/>
      <c r="H158" s="4"/>
      <c r="I158" s="4"/>
      <c r="J158" s="4"/>
      <c r="K158" s="5"/>
    </row>
    <row r="159" spans="2:12" x14ac:dyDescent="0.35">
      <c r="B159" s="25" t="s">
        <v>87</v>
      </c>
      <c r="C159" s="3" t="s">
        <v>32</v>
      </c>
      <c r="D159" s="46">
        <v>1</v>
      </c>
      <c r="E159" s="10"/>
      <c r="F159" s="4"/>
      <c r="G159" s="4"/>
      <c r="H159" s="4"/>
      <c r="I159" s="4"/>
      <c r="J159" s="4"/>
      <c r="K159" s="5"/>
    </row>
    <row r="160" spans="2:12" x14ac:dyDescent="0.35">
      <c r="B160" s="17" t="s">
        <v>88</v>
      </c>
      <c r="C160" s="3" t="s">
        <v>32</v>
      </c>
      <c r="D160" s="46">
        <v>1</v>
      </c>
      <c r="E160" s="10"/>
      <c r="F160" s="4"/>
      <c r="G160" s="4"/>
      <c r="H160" s="4"/>
      <c r="I160" s="4"/>
      <c r="J160" s="4"/>
      <c r="K160" s="5"/>
    </row>
    <row r="161" spans="2:12" ht="77.5" x14ac:dyDescent="0.35">
      <c r="B161" s="41" t="s">
        <v>90</v>
      </c>
      <c r="C161" s="3" t="s">
        <v>25</v>
      </c>
      <c r="D161" s="46">
        <f>((0.5+0.03+0.044)*3.14*2.4)+11.18+7.4+0.64+0.1257+3.4</f>
        <v>27.071363999999999</v>
      </c>
      <c r="E161" s="10"/>
      <c r="F161" s="4"/>
      <c r="G161" s="4"/>
      <c r="H161" s="4"/>
      <c r="I161" s="4"/>
      <c r="J161" s="4"/>
      <c r="K161" s="5"/>
      <c r="L161" s="42" t="s">
        <v>89</v>
      </c>
    </row>
    <row r="162" spans="2:12" x14ac:dyDescent="0.35">
      <c r="B162" s="48" t="s">
        <v>102</v>
      </c>
      <c r="C162" s="3" t="s">
        <v>32</v>
      </c>
      <c r="D162" s="47">
        <v>1</v>
      </c>
      <c r="E162" s="44"/>
      <c r="F162" s="45"/>
      <c r="G162" s="45"/>
      <c r="H162" s="45"/>
      <c r="I162" s="45"/>
      <c r="J162" s="45"/>
      <c r="K162" s="5"/>
    </row>
    <row r="163" spans="2:12" x14ac:dyDescent="0.35">
      <c r="B163" s="17" t="s">
        <v>104</v>
      </c>
      <c r="C163" s="3" t="s">
        <v>31</v>
      </c>
      <c r="D163" s="47">
        <v>29.2</v>
      </c>
      <c r="E163" s="44"/>
      <c r="F163" s="45"/>
      <c r="G163" s="45"/>
      <c r="H163" s="45"/>
      <c r="I163" s="45"/>
      <c r="J163" s="45"/>
      <c r="K163" s="5"/>
    </row>
    <row r="164" spans="2:12" x14ac:dyDescent="0.35">
      <c r="B164" s="25" t="s">
        <v>93</v>
      </c>
      <c r="C164" s="3" t="s">
        <v>32</v>
      </c>
      <c r="D164" s="47">
        <v>1</v>
      </c>
      <c r="E164" s="44"/>
      <c r="F164" s="45"/>
      <c r="G164" s="45"/>
      <c r="H164" s="45"/>
      <c r="I164" s="45"/>
      <c r="J164" s="45"/>
      <c r="K164" s="5"/>
      <c r="L164" s="11"/>
    </row>
    <row r="165" spans="2:12" x14ac:dyDescent="0.35">
      <c r="B165" s="17" t="s">
        <v>94</v>
      </c>
      <c r="C165" s="3" t="s">
        <v>31</v>
      </c>
      <c r="D165" s="46">
        <v>0.8</v>
      </c>
      <c r="E165" s="44"/>
      <c r="F165" s="45"/>
      <c r="G165" s="45"/>
      <c r="H165" s="45"/>
      <c r="I165" s="45"/>
      <c r="J165" s="45"/>
      <c r="K165" s="5"/>
    </row>
    <row r="166" spans="2:12" x14ac:dyDescent="0.35">
      <c r="B166" s="25" t="s">
        <v>95</v>
      </c>
      <c r="C166" s="3" t="s">
        <v>32</v>
      </c>
      <c r="D166" s="47">
        <v>2</v>
      </c>
      <c r="E166" s="44"/>
      <c r="F166" s="45"/>
      <c r="G166" s="45"/>
      <c r="H166" s="45"/>
      <c r="I166" s="45"/>
      <c r="J166" s="45"/>
      <c r="K166" s="5"/>
    </row>
    <row r="167" spans="2:12" ht="33" x14ac:dyDescent="0.35">
      <c r="B167" s="25" t="s">
        <v>96</v>
      </c>
      <c r="C167" s="3" t="s">
        <v>26</v>
      </c>
      <c r="D167" s="46">
        <f>D141+D142-(0.57+0.59+11.97+0.27)</f>
        <v>47.730000000000004</v>
      </c>
      <c r="E167" s="44"/>
      <c r="F167" s="45"/>
      <c r="G167" s="45"/>
      <c r="H167" s="45"/>
      <c r="I167" s="45"/>
      <c r="J167" s="45"/>
      <c r="K167" s="5"/>
    </row>
    <row r="168" spans="2:12" x14ac:dyDescent="0.35">
      <c r="B168" s="43" t="s">
        <v>105</v>
      </c>
      <c r="C168" s="3" t="s">
        <v>32</v>
      </c>
      <c r="D168" s="46">
        <v>1</v>
      </c>
      <c r="E168" s="10"/>
      <c r="F168" s="4"/>
      <c r="G168" s="4"/>
      <c r="H168" s="4"/>
      <c r="I168" s="4"/>
      <c r="J168" s="4"/>
      <c r="K168" s="5"/>
    </row>
    <row r="169" spans="2:12" x14ac:dyDescent="0.35">
      <c r="B169" s="48" t="s">
        <v>33</v>
      </c>
      <c r="C169" s="3" t="s">
        <v>26</v>
      </c>
      <c r="D169" s="55">
        <f>(4+8)/2*5*2</f>
        <v>60</v>
      </c>
      <c r="E169" s="10"/>
      <c r="F169" s="4"/>
      <c r="G169" s="4"/>
      <c r="H169" s="4"/>
      <c r="I169" s="4"/>
      <c r="J169" s="4"/>
      <c r="K169" s="5"/>
    </row>
    <row r="170" spans="2:12" x14ac:dyDescent="0.35">
      <c r="B170" s="48" t="s">
        <v>19</v>
      </c>
      <c r="C170" s="3" t="s">
        <v>26</v>
      </c>
      <c r="D170" s="46">
        <v>1.1299999999999999</v>
      </c>
      <c r="E170" s="10"/>
      <c r="F170" s="4"/>
      <c r="G170" s="4"/>
      <c r="H170" s="4"/>
      <c r="I170" s="4"/>
      <c r="J170" s="4"/>
      <c r="K170" s="5"/>
    </row>
    <row r="171" spans="2:12" x14ac:dyDescent="0.35">
      <c r="B171" s="48" t="s">
        <v>67</v>
      </c>
      <c r="C171" s="3" t="s">
        <v>25</v>
      </c>
      <c r="D171" s="46">
        <v>5.72</v>
      </c>
      <c r="E171" s="10"/>
      <c r="F171" s="4"/>
      <c r="G171" s="4"/>
      <c r="H171" s="4"/>
      <c r="I171" s="4"/>
      <c r="J171" s="4"/>
      <c r="K171" s="5"/>
    </row>
    <row r="172" spans="2:12" x14ac:dyDescent="0.35">
      <c r="B172" s="48" t="s">
        <v>68</v>
      </c>
      <c r="C172" s="3" t="s">
        <v>26</v>
      </c>
      <c r="D172" s="46">
        <v>0.56999999999999995</v>
      </c>
      <c r="E172" s="10"/>
      <c r="F172" s="4"/>
      <c r="G172" s="4"/>
      <c r="H172" s="4"/>
      <c r="I172" s="4"/>
      <c r="J172" s="4"/>
      <c r="K172" s="5"/>
    </row>
    <row r="173" spans="2:12" ht="46.5" x14ac:dyDescent="0.35">
      <c r="B173" s="48" t="s">
        <v>70</v>
      </c>
      <c r="C173" s="3" t="s">
        <v>25</v>
      </c>
      <c r="D173" s="46">
        <v>4.91</v>
      </c>
      <c r="E173" s="10"/>
      <c r="F173" s="4"/>
      <c r="G173" s="4"/>
      <c r="H173" s="4"/>
      <c r="I173" s="4"/>
      <c r="J173" s="4"/>
      <c r="K173" s="5"/>
    </row>
    <row r="174" spans="2:12" ht="31" x14ac:dyDescent="0.35">
      <c r="B174" s="48" t="s">
        <v>69</v>
      </c>
      <c r="C174" s="3" t="s">
        <v>32</v>
      </c>
      <c r="D174" s="46">
        <v>1</v>
      </c>
      <c r="E174" s="10"/>
      <c r="F174" s="4"/>
      <c r="G174" s="4"/>
      <c r="H174" s="4"/>
      <c r="I174" s="4"/>
      <c r="J174" s="4"/>
      <c r="K174" s="5"/>
    </row>
    <row r="175" spans="2:12" x14ac:dyDescent="0.35">
      <c r="B175" s="17" t="s">
        <v>71</v>
      </c>
      <c r="C175" s="3" t="s">
        <v>32</v>
      </c>
      <c r="D175" s="46">
        <v>1</v>
      </c>
      <c r="E175" s="10"/>
      <c r="F175" s="4"/>
      <c r="G175" s="4"/>
      <c r="H175" s="4"/>
      <c r="I175" s="4"/>
      <c r="J175" s="4"/>
      <c r="K175" s="5"/>
    </row>
    <row r="176" spans="2:12" x14ac:dyDescent="0.35">
      <c r="B176" s="17" t="s">
        <v>101</v>
      </c>
      <c r="C176" s="3" t="s">
        <v>26</v>
      </c>
      <c r="D176" s="46">
        <f>0.05*1.02</f>
        <v>5.1000000000000004E-2</v>
      </c>
      <c r="E176" s="10"/>
      <c r="F176" s="4"/>
      <c r="G176" s="4"/>
      <c r="H176" s="4"/>
      <c r="I176" s="4"/>
      <c r="J176" s="4"/>
      <c r="K176" s="5"/>
    </row>
    <row r="177" spans="2:12" ht="46.5" x14ac:dyDescent="0.35">
      <c r="B177" s="25" t="s">
        <v>74</v>
      </c>
      <c r="C177" s="3" t="s">
        <v>26</v>
      </c>
      <c r="D177" s="37">
        <v>1.2</v>
      </c>
      <c r="E177" s="10"/>
      <c r="F177" s="4"/>
      <c r="G177" s="4"/>
      <c r="H177" s="4"/>
      <c r="I177" s="4"/>
      <c r="J177" s="4"/>
      <c r="K177" s="5"/>
      <c r="L177" s="38" t="s">
        <v>73</v>
      </c>
    </row>
    <row r="178" spans="2:12" x14ac:dyDescent="0.35">
      <c r="B178" s="17" t="s">
        <v>75</v>
      </c>
      <c r="C178" s="3" t="s">
        <v>26</v>
      </c>
      <c r="D178" s="37">
        <f>D177*1.02</f>
        <v>1.224</v>
      </c>
      <c r="E178" s="10"/>
      <c r="F178" s="4"/>
      <c r="G178" s="4"/>
      <c r="H178" s="4"/>
      <c r="I178" s="4"/>
      <c r="J178" s="4"/>
      <c r="K178" s="5"/>
      <c r="L178" s="38"/>
    </row>
    <row r="179" spans="2:12" ht="31" x14ac:dyDescent="0.35">
      <c r="B179" s="25" t="s">
        <v>78</v>
      </c>
      <c r="C179" s="3" t="s">
        <v>32</v>
      </c>
      <c r="D179" s="46">
        <f>SUM(D180:D182)</f>
        <v>5</v>
      </c>
      <c r="E179" s="10"/>
      <c r="F179" s="4"/>
      <c r="G179" s="4"/>
      <c r="H179" s="4"/>
      <c r="I179" s="4"/>
      <c r="J179" s="4"/>
      <c r="K179" s="5"/>
    </row>
    <row r="180" spans="2:12" x14ac:dyDescent="0.35">
      <c r="B180" s="17" t="s">
        <v>76</v>
      </c>
      <c r="C180" s="3" t="s">
        <v>32</v>
      </c>
      <c r="D180" s="46">
        <v>2</v>
      </c>
      <c r="E180" s="10"/>
      <c r="F180" s="4"/>
      <c r="G180" s="4"/>
      <c r="H180" s="4"/>
      <c r="I180" s="4"/>
      <c r="J180" s="4"/>
      <c r="K180" s="5"/>
    </row>
    <row r="181" spans="2:12" x14ac:dyDescent="0.35">
      <c r="B181" s="17" t="s">
        <v>77</v>
      </c>
      <c r="C181" s="3"/>
      <c r="D181" s="46">
        <v>2</v>
      </c>
      <c r="E181" s="10"/>
      <c r="F181" s="4"/>
      <c r="G181" s="4"/>
      <c r="H181" s="4"/>
      <c r="I181" s="4"/>
      <c r="J181" s="4"/>
      <c r="K181" s="5"/>
    </row>
    <row r="182" spans="2:12" x14ac:dyDescent="0.35">
      <c r="B182" s="17" t="s">
        <v>80</v>
      </c>
      <c r="C182" s="3" t="s">
        <v>32</v>
      </c>
      <c r="D182" s="46">
        <v>1</v>
      </c>
      <c r="E182" s="10"/>
      <c r="F182" s="4"/>
      <c r="G182" s="4"/>
      <c r="H182" s="4"/>
      <c r="I182" s="4"/>
      <c r="J182" s="4"/>
      <c r="K182" s="5"/>
    </row>
    <row r="183" spans="2:12" ht="31" x14ac:dyDescent="0.35">
      <c r="B183" s="48" t="s">
        <v>85</v>
      </c>
      <c r="C183" s="3" t="s">
        <v>32</v>
      </c>
      <c r="D183" s="46">
        <v>1</v>
      </c>
      <c r="E183" s="10"/>
      <c r="F183" s="4"/>
      <c r="G183" s="4"/>
      <c r="H183" s="4"/>
      <c r="I183" s="4"/>
      <c r="J183" s="4"/>
      <c r="K183" s="5"/>
    </row>
    <row r="184" spans="2:12" x14ac:dyDescent="0.35">
      <c r="B184" s="17" t="s">
        <v>79</v>
      </c>
      <c r="C184" s="3" t="s">
        <v>32</v>
      </c>
      <c r="D184" s="46">
        <v>1</v>
      </c>
      <c r="E184" s="10"/>
      <c r="F184" s="4"/>
      <c r="G184" s="4"/>
      <c r="H184" s="4"/>
      <c r="I184" s="4"/>
      <c r="J184" s="4"/>
      <c r="K184" s="5"/>
    </row>
    <row r="185" spans="2:12" ht="31" x14ac:dyDescent="0.35">
      <c r="B185" s="25" t="s">
        <v>86</v>
      </c>
      <c r="C185" s="3" t="s">
        <v>32</v>
      </c>
      <c r="D185" s="46">
        <v>2</v>
      </c>
      <c r="E185" s="10"/>
      <c r="F185" s="4"/>
      <c r="G185" s="4"/>
      <c r="H185" s="4"/>
      <c r="I185" s="4"/>
      <c r="J185" s="4"/>
      <c r="K185" s="5"/>
    </row>
    <row r="186" spans="2:12" x14ac:dyDescent="0.35">
      <c r="B186" s="17" t="s">
        <v>84</v>
      </c>
      <c r="C186" s="3" t="s">
        <v>32</v>
      </c>
      <c r="D186" s="46">
        <v>2</v>
      </c>
      <c r="E186" s="10"/>
      <c r="F186" s="4"/>
      <c r="G186" s="4"/>
      <c r="H186" s="4"/>
      <c r="I186" s="4"/>
      <c r="J186" s="4"/>
      <c r="K186" s="5"/>
    </row>
    <row r="187" spans="2:12" x14ac:dyDescent="0.35">
      <c r="B187" s="25" t="s">
        <v>87</v>
      </c>
      <c r="C187" s="3" t="s">
        <v>32</v>
      </c>
      <c r="D187" s="46">
        <v>1</v>
      </c>
      <c r="E187" s="10"/>
      <c r="F187" s="4"/>
      <c r="G187" s="4"/>
      <c r="H187" s="4"/>
      <c r="I187" s="4"/>
      <c r="J187" s="4"/>
      <c r="K187" s="5"/>
    </row>
    <row r="188" spans="2:12" x14ac:dyDescent="0.35">
      <c r="B188" s="17" t="s">
        <v>88</v>
      </c>
      <c r="C188" s="3" t="s">
        <v>32</v>
      </c>
      <c r="D188" s="46">
        <v>1</v>
      </c>
      <c r="E188" s="10"/>
      <c r="F188" s="4"/>
      <c r="G188" s="4"/>
      <c r="H188" s="4"/>
      <c r="I188" s="4"/>
      <c r="J188" s="4"/>
      <c r="K188" s="5"/>
    </row>
    <row r="189" spans="2:12" ht="77.5" x14ac:dyDescent="0.35">
      <c r="B189" s="41" t="s">
        <v>90</v>
      </c>
      <c r="C189" s="3" t="s">
        <v>25</v>
      </c>
      <c r="D189" s="46">
        <f>((0.5+0.03+0.044)*3.14*2.4)+11.18+7.4+0.64+2.55+3.4</f>
        <v>29.495664000000001</v>
      </c>
      <c r="E189" s="10"/>
      <c r="F189" s="4"/>
      <c r="G189" s="4"/>
      <c r="H189" s="4"/>
      <c r="I189" s="4"/>
      <c r="J189" s="4"/>
      <c r="K189" s="5"/>
      <c r="L189" s="42" t="s">
        <v>89</v>
      </c>
    </row>
    <row r="190" spans="2:12" x14ac:dyDescent="0.35">
      <c r="B190" s="48" t="s">
        <v>102</v>
      </c>
      <c r="C190" s="3" t="s">
        <v>32</v>
      </c>
      <c r="D190" s="47">
        <v>1</v>
      </c>
      <c r="E190" s="44"/>
      <c r="F190" s="45"/>
      <c r="G190" s="45"/>
      <c r="H190" s="45"/>
      <c r="I190" s="45"/>
      <c r="J190" s="45"/>
      <c r="K190" s="5"/>
    </row>
    <row r="191" spans="2:12" x14ac:dyDescent="0.35">
      <c r="B191" s="17" t="s">
        <v>104</v>
      </c>
      <c r="C191" s="3" t="s">
        <v>31</v>
      </c>
      <c r="D191" s="47">
        <v>29.2</v>
      </c>
      <c r="E191" s="44"/>
      <c r="F191" s="45"/>
      <c r="G191" s="45"/>
      <c r="H191" s="45"/>
      <c r="I191" s="45"/>
      <c r="J191" s="45"/>
      <c r="K191" s="5"/>
    </row>
    <row r="192" spans="2:12" x14ac:dyDescent="0.35">
      <c r="B192" s="25" t="s">
        <v>93</v>
      </c>
      <c r="C192" s="3" t="s">
        <v>32</v>
      </c>
      <c r="D192" s="47">
        <v>1</v>
      </c>
      <c r="E192" s="44"/>
      <c r="F192" s="45"/>
      <c r="G192" s="45"/>
      <c r="H192" s="45"/>
      <c r="I192" s="45"/>
      <c r="J192" s="45"/>
      <c r="K192" s="5"/>
      <c r="L192" s="11"/>
    </row>
    <row r="193" spans="2:12" x14ac:dyDescent="0.35">
      <c r="B193" s="17" t="s">
        <v>94</v>
      </c>
      <c r="C193" s="3" t="s">
        <v>31</v>
      </c>
      <c r="D193" s="46">
        <v>0.8</v>
      </c>
      <c r="E193" s="44"/>
      <c r="F193" s="45"/>
      <c r="G193" s="45"/>
      <c r="H193" s="45"/>
      <c r="I193" s="45"/>
      <c r="J193" s="45"/>
      <c r="K193" s="5"/>
    </row>
    <row r="194" spans="2:12" x14ac:dyDescent="0.35">
      <c r="B194" s="25" t="s">
        <v>95</v>
      </c>
      <c r="C194" s="3" t="s">
        <v>32</v>
      </c>
      <c r="D194" s="47">
        <v>3</v>
      </c>
      <c r="E194" s="44"/>
      <c r="F194" s="45"/>
      <c r="G194" s="45"/>
      <c r="H194" s="45"/>
      <c r="I194" s="45"/>
      <c r="J194" s="45"/>
      <c r="K194" s="5"/>
    </row>
    <row r="195" spans="2:12" ht="33" x14ac:dyDescent="0.35">
      <c r="B195" s="25" t="s">
        <v>96</v>
      </c>
      <c r="C195" s="3" t="s">
        <v>26</v>
      </c>
      <c r="D195" s="46">
        <f>D169+D170-(0.57+0.59+11.97+0.29)</f>
        <v>47.71</v>
      </c>
      <c r="E195" s="44"/>
      <c r="F195" s="45"/>
      <c r="G195" s="45"/>
      <c r="H195" s="45"/>
      <c r="I195" s="45"/>
      <c r="J195" s="45"/>
      <c r="K195" s="5"/>
    </row>
    <row r="196" spans="2:12" x14ac:dyDescent="0.35">
      <c r="B196" s="43" t="s">
        <v>106</v>
      </c>
      <c r="C196" s="3" t="s">
        <v>32</v>
      </c>
      <c r="D196" s="46">
        <v>1</v>
      </c>
      <c r="E196" s="10"/>
      <c r="F196" s="4"/>
      <c r="G196" s="4"/>
      <c r="H196" s="4"/>
      <c r="I196" s="4"/>
      <c r="J196" s="4"/>
      <c r="K196" s="5"/>
    </row>
    <row r="197" spans="2:12" x14ac:dyDescent="0.35">
      <c r="B197" s="48" t="s">
        <v>33</v>
      </c>
      <c r="C197" s="3" t="s">
        <v>26</v>
      </c>
      <c r="D197" s="55">
        <f>(4+8)/2*3*2</f>
        <v>36</v>
      </c>
      <c r="E197" s="10"/>
      <c r="F197" s="4"/>
      <c r="G197" s="4"/>
      <c r="H197" s="4"/>
      <c r="I197" s="4"/>
      <c r="J197" s="4"/>
      <c r="K197" s="5"/>
    </row>
    <row r="198" spans="2:12" x14ac:dyDescent="0.35">
      <c r="B198" s="48" t="s">
        <v>19</v>
      </c>
      <c r="C198" s="3" t="s">
        <v>26</v>
      </c>
      <c r="D198" s="46">
        <v>0.86</v>
      </c>
      <c r="E198" s="10"/>
      <c r="F198" s="4"/>
      <c r="G198" s="4"/>
      <c r="H198" s="4"/>
      <c r="I198" s="4"/>
      <c r="J198" s="4"/>
      <c r="K198" s="5"/>
    </row>
    <row r="199" spans="2:12" x14ac:dyDescent="0.35">
      <c r="B199" s="48" t="s">
        <v>67</v>
      </c>
      <c r="C199" s="3" t="s">
        <v>25</v>
      </c>
      <c r="D199" s="46">
        <v>3.8</v>
      </c>
      <c r="E199" s="10"/>
      <c r="F199" s="4"/>
      <c r="G199" s="4"/>
      <c r="H199" s="4"/>
      <c r="I199" s="4"/>
      <c r="J199" s="4"/>
      <c r="K199" s="5"/>
    </row>
    <row r="200" spans="2:12" x14ac:dyDescent="0.35">
      <c r="B200" s="48" t="s">
        <v>68</v>
      </c>
      <c r="C200" s="3" t="s">
        <v>26</v>
      </c>
      <c r="D200" s="46">
        <v>0.38</v>
      </c>
      <c r="E200" s="10"/>
      <c r="F200" s="4"/>
      <c r="G200" s="4"/>
      <c r="H200" s="4"/>
      <c r="I200" s="4"/>
      <c r="J200" s="4"/>
      <c r="K200" s="5"/>
    </row>
    <row r="201" spans="2:12" ht="46.5" x14ac:dyDescent="0.35">
      <c r="B201" s="48" t="s">
        <v>70</v>
      </c>
      <c r="C201" s="3" t="s">
        <v>25</v>
      </c>
      <c r="D201" s="46">
        <v>3.14</v>
      </c>
      <c r="E201" s="10"/>
      <c r="F201" s="4"/>
      <c r="G201" s="4"/>
      <c r="H201" s="4"/>
      <c r="I201" s="4"/>
      <c r="J201" s="4"/>
      <c r="K201" s="5"/>
    </row>
    <row r="202" spans="2:12" ht="31" x14ac:dyDescent="0.35">
      <c r="B202" s="48" t="s">
        <v>107</v>
      </c>
      <c r="C202" s="3" t="s">
        <v>32</v>
      </c>
      <c r="D202" s="46">
        <v>1</v>
      </c>
      <c r="E202" s="10"/>
      <c r="F202" s="4"/>
      <c r="G202" s="4"/>
      <c r="H202" s="4"/>
      <c r="I202" s="4"/>
      <c r="J202" s="4"/>
      <c r="K202" s="5"/>
    </row>
    <row r="203" spans="2:12" x14ac:dyDescent="0.35">
      <c r="B203" s="17" t="s">
        <v>108</v>
      </c>
      <c r="C203" s="3" t="s">
        <v>32</v>
      </c>
      <c r="D203" s="46">
        <v>1</v>
      </c>
      <c r="E203" s="10"/>
      <c r="F203" s="4"/>
      <c r="G203" s="4"/>
      <c r="H203" s="4"/>
      <c r="I203" s="4"/>
      <c r="J203" s="4"/>
      <c r="K203" s="5"/>
    </row>
    <row r="204" spans="2:12" x14ac:dyDescent="0.35">
      <c r="B204" s="17" t="s">
        <v>101</v>
      </c>
      <c r="C204" s="3" t="s">
        <v>26</v>
      </c>
      <c r="D204" s="46">
        <v>3.1E-2</v>
      </c>
      <c r="E204" s="10"/>
      <c r="F204" s="4"/>
      <c r="G204" s="4"/>
      <c r="H204" s="4"/>
      <c r="I204" s="4"/>
      <c r="J204" s="4"/>
      <c r="K204" s="5"/>
    </row>
    <row r="205" spans="2:12" ht="46.5" x14ac:dyDescent="0.35">
      <c r="B205" s="25" t="s">
        <v>74</v>
      </c>
      <c r="C205" s="3" t="s">
        <v>26</v>
      </c>
      <c r="D205" s="37">
        <v>1.2</v>
      </c>
      <c r="E205" s="10"/>
      <c r="F205" s="4"/>
      <c r="G205" s="4"/>
      <c r="H205" s="4"/>
      <c r="I205" s="4"/>
      <c r="J205" s="4"/>
      <c r="K205" s="5"/>
      <c r="L205" s="38" t="s">
        <v>73</v>
      </c>
    </row>
    <row r="206" spans="2:12" x14ac:dyDescent="0.35">
      <c r="B206" s="17" t="s">
        <v>75</v>
      </c>
      <c r="C206" s="3" t="s">
        <v>26</v>
      </c>
      <c r="D206" s="37">
        <f>D205*1.02</f>
        <v>1.224</v>
      </c>
      <c r="E206" s="10"/>
      <c r="F206" s="4"/>
      <c r="G206" s="4"/>
      <c r="H206" s="4"/>
      <c r="I206" s="4"/>
      <c r="J206" s="4"/>
      <c r="K206" s="5"/>
      <c r="L206" s="38"/>
    </row>
    <row r="207" spans="2:12" ht="31" x14ac:dyDescent="0.35">
      <c r="B207" s="25" t="s">
        <v>78</v>
      </c>
      <c r="C207" s="3" t="s">
        <v>32</v>
      </c>
      <c r="D207" s="46">
        <f>SUM(D208:D209)</f>
        <v>2</v>
      </c>
      <c r="E207" s="10"/>
      <c r="F207" s="4"/>
      <c r="G207" s="4"/>
      <c r="H207" s="4"/>
      <c r="I207" s="4"/>
      <c r="J207" s="4"/>
      <c r="K207" s="5"/>
    </row>
    <row r="208" spans="2:12" x14ac:dyDescent="0.35">
      <c r="B208" s="17" t="s">
        <v>109</v>
      </c>
      <c r="C208" s="3" t="s">
        <v>32</v>
      </c>
      <c r="D208" s="46">
        <v>1</v>
      </c>
      <c r="E208" s="10"/>
      <c r="F208" s="4"/>
      <c r="G208" s="4"/>
      <c r="H208" s="4"/>
      <c r="I208" s="4"/>
      <c r="J208" s="4"/>
      <c r="K208" s="5"/>
    </row>
    <row r="209" spans="2:12" x14ac:dyDescent="0.35">
      <c r="B209" s="17" t="s">
        <v>110</v>
      </c>
      <c r="C209" s="3"/>
      <c r="D209" s="46">
        <v>1</v>
      </c>
      <c r="E209" s="10"/>
      <c r="F209" s="4"/>
      <c r="G209" s="4"/>
      <c r="H209" s="4"/>
      <c r="I209" s="4"/>
      <c r="J209" s="4"/>
      <c r="K209" s="5"/>
    </row>
    <row r="210" spans="2:12" ht="31" x14ac:dyDescent="0.35">
      <c r="B210" s="48" t="s">
        <v>85</v>
      </c>
      <c r="C210" s="3" t="s">
        <v>32</v>
      </c>
      <c r="D210" s="46">
        <v>1</v>
      </c>
      <c r="E210" s="10"/>
      <c r="F210" s="4"/>
      <c r="G210" s="4"/>
      <c r="H210" s="4"/>
      <c r="I210" s="4"/>
      <c r="J210" s="4"/>
      <c r="K210" s="5"/>
    </row>
    <row r="211" spans="2:12" x14ac:dyDescent="0.35">
      <c r="B211" s="17" t="s">
        <v>111</v>
      </c>
      <c r="C211" s="3" t="s">
        <v>32</v>
      </c>
      <c r="D211" s="46">
        <v>1</v>
      </c>
      <c r="E211" s="10"/>
      <c r="F211" s="4"/>
      <c r="G211" s="4"/>
      <c r="H211" s="4"/>
      <c r="I211" s="4"/>
      <c r="J211" s="4"/>
      <c r="K211" s="5"/>
    </row>
    <row r="212" spans="2:12" ht="31" x14ac:dyDescent="0.35">
      <c r="B212" s="25" t="s">
        <v>142</v>
      </c>
      <c r="C212" s="3" t="s">
        <v>112</v>
      </c>
      <c r="D212" s="46">
        <v>1</v>
      </c>
      <c r="E212" s="10"/>
      <c r="F212" s="4"/>
      <c r="G212" s="4"/>
      <c r="H212" s="4"/>
      <c r="I212" s="4"/>
      <c r="J212" s="4"/>
      <c r="K212" s="5"/>
    </row>
    <row r="213" spans="2:12" x14ac:dyDescent="0.35">
      <c r="B213" s="17" t="s">
        <v>141</v>
      </c>
      <c r="C213" s="3" t="s">
        <v>112</v>
      </c>
      <c r="D213" s="46">
        <v>1</v>
      </c>
      <c r="E213" s="10"/>
      <c r="F213" s="4"/>
      <c r="G213" s="4"/>
      <c r="H213" s="4"/>
      <c r="I213" s="4"/>
      <c r="J213" s="4"/>
      <c r="K213" s="5"/>
    </row>
    <row r="214" spans="2:12" ht="77.5" x14ac:dyDescent="0.35">
      <c r="B214" s="41" t="s">
        <v>90</v>
      </c>
      <c r="C214" s="3" t="s">
        <v>25</v>
      </c>
      <c r="D214" s="46">
        <f>((0.3+0.03+0.013)*3.14*1.9)+4.2+2.78+(1.615*0.12*4)+(1.615*1.615)</f>
        <v>12.409762999999998</v>
      </c>
      <c r="E214" s="10"/>
      <c r="F214" s="4"/>
      <c r="G214" s="4"/>
      <c r="H214" s="4"/>
      <c r="I214" s="4"/>
      <c r="J214" s="4"/>
      <c r="K214" s="5"/>
      <c r="L214" s="42" t="s">
        <v>89</v>
      </c>
    </row>
    <row r="215" spans="2:12" x14ac:dyDescent="0.35">
      <c r="B215" s="48" t="s">
        <v>113</v>
      </c>
      <c r="C215" s="3" t="s">
        <v>32</v>
      </c>
      <c r="D215" s="47">
        <v>1</v>
      </c>
      <c r="E215" s="44"/>
      <c r="F215" s="45"/>
      <c r="G215" s="45"/>
      <c r="H215" s="45"/>
      <c r="I215" s="45"/>
      <c r="J215" s="45"/>
      <c r="K215" s="5"/>
    </row>
    <row r="216" spans="2:12" x14ac:dyDescent="0.35">
      <c r="B216" s="17" t="s">
        <v>114</v>
      </c>
      <c r="C216" s="3" t="s">
        <v>31</v>
      </c>
      <c r="D216" s="47">
        <v>12.9</v>
      </c>
      <c r="E216" s="44"/>
      <c r="F216" s="45"/>
      <c r="G216" s="45"/>
      <c r="H216" s="45"/>
      <c r="I216" s="45"/>
      <c r="J216" s="45"/>
      <c r="K216" s="5"/>
    </row>
    <row r="217" spans="2:12" x14ac:dyDescent="0.35">
      <c r="B217" s="25" t="s">
        <v>95</v>
      </c>
      <c r="C217" s="3" t="s">
        <v>32</v>
      </c>
      <c r="D217" s="47">
        <v>3</v>
      </c>
      <c r="E217" s="44"/>
      <c r="F217" s="45"/>
      <c r="G217" s="45"/>
      <c r="H217" s="45"/>
      <c r="I217" s="45"/>
      <c r="J217" s="45"/>
      <c r="K217" s="5"/>
    </row>
    <row r="218" spans="2:12" ht="33" x14ac:dyDescent="0.35">
      <c r="B218" s="25" t="s">
        <v>96</v>
      </c>
      <c r="C218" s="3" t="s">
        <v>26</v>
      </c>
      <c r="D218" s="46">
        <f>D197+D198-(0.38+0.47+3.66+0.65)</f>
        <v>31.7</v>
      </c>
      <c r="E218" s="44"/>
      <c r="F218" s="45"/>
      <c r="G218" s="45"/>
      <c r="H218" s="45"/>
      <c r="I218" s="45"/>
      <c r="J218" s="45"/>
      <c r="K218" s="5"/>
    </row>
    <row r="219" spans="2:12" ht="30" x14ac:dyDescent="0.35">
      <c r="B219" s="23" t="s">
        <v>118</v>
      </c>
      <c r="C219" s="3"/>
      <c r="D219" s="46"/>
      <c r="E219" s="44"/>
      <c r="F219" s="45"/>
      <c r="G219" s="45"/>
      <c r="H219" s="45"/>
      <c r="I219" s="45"/>
      <c r="J219" s="45"/>
      <c r="K219" s="5"/>
    </row>
    <row r="220" spans="2:12" ht="30" x14ac:dyDescent="0.35">
      <c r="B220" s="24" t="s">
        <v>119</v>
      </c>
      <c r="C220" s="3" t="s">
        <v>27</v>
      </c>
      <c r="D220" s="46">
        <f>30.4+30.2+6.2+3</f>
        <v>69.8</v>
      </c>
      <c r="E220" s="44"/>
      <c r="F220" s="45"/>
      <c r="G220" s="45"/>
      <c r="H220" s="45"/>
      <c r="I220" s="45"/>
      <c r="J220" s="45"/>
      <c r="K220" s="5"/>
    </row>
    <row r="221" spans="2:12" x14ac:dyDescent="0.35">
      <c r="B221" s="25" t="s">
        <v>18</v>
      </c>
      <c r="C221" s="3" t="s">
        <v>26</v>
      </c>
      <c r="D221" s="29">
        <f>(4+2)/2*5*69.8</f>
        <v>1047</v>
      </c>
      <c r="E221" s="36"/>
      <c r="F221" s="36"/>
      <c r="G221" s="35"/>
      <c r="H221" s="35"/>
      <c r="I221" s="36"/>
      <c r="J221" s="36"/>
      <c r="K221" s="35"/>
      <c r="L221" s="14" t="s">
        <v>147</v>
      </c>
    </row>
    <row r="222" spans="2:12" x14ac:dyDescent="0.35">
      <c r="B222" s="25" t="s">
        <v>19</v>
      </c>
      <c r="C222" s="31" t="s">
        <v>26</v>
      </c>
      <c r="D222" s="46">
        <f>3+4+0.6+0.2</f>
        <v>7.8</v>
      </c>
      <c r="E222" s="44"/>
      <c r="F222" s="45"/>
      <c r="G222" s="45"/>
      <c r="H222" s="45"/>
      <c r="I222" s="45"/>
      <c r="J222" s="45"/>
      <c r="K222" s="5"/>
    </row>
    <row r="223" spans="2:12" ht="31" x14ac:dyDescent="0.35">
      <c r="B223" s="25" t="s">
        <v>120</v>
      </c>
      <c r="C223" s="31" t="s">
        <v>25</v>
      </c>
      <c r="D223" s="46">
        <f>(0.65*28.46)+(1.05*28)+(1.05*4.26)+(1.05*1.32)</f>
        <v>53.758000000000003</v>
      </c>
      <c r="E223" s="44"/>
      <c r="F223" s="45"/>
      <c r="G223" s="45"/>
      <c r="H223" s="45"/>
      <c r="I223" s="45"/>
      <c r="J223" s="45"/>
      <c r="K223" s="5"/>
    </row>
    <row r="224" spans="2:12" x14ac:dyDescent="0.35">
      <c r="B224" s="25" t="s">
        <v>20</v>
      </c>
      <c r="C224" s="31" t="s">
        <v>26</v>
      </c>
      <c r="D224" s="46">
        <f>D223*0.07</f>
        <v>3.7630600000000007</v>
      </c>
      <c r="E224" s="44"/>
      <c r="F224" s="45"/>
      <c r="G224" s="45"/>
      <c r="H224" s="45"/>
      <c r="I224" s="45"/>
      <c r="J224" s="45"/>
      <c r="K224" s="5"/>
    </row>
    <row r="225" spans="2:11" x14ac:dyDescent="0.35">
      <c r="B225" s="25" t="s">
        <v>28</v>
      </c>
      <c r="C225" s="31" t="s">
        <v>26</v>
      </c>
      <c r="D225" s="46">
        <f>1.34/10*28.46+2.28/10*(28+4.26+1.32)</f>
        <v>11.46988</v>
      </c>
      <c r="E225" s="44"/>
      <c r="F225" s="45"/>
      <c r="G225" s="45"/>
      <c r="H225" s="45"/>
      <c r="I225" s="45"/>
      <c r="J225" s="45"/>
      <c r="K225" s="5"/>
    </row>
    <row r="226" spans="2:11" x14ac:dyDescent="0.35">
      <c r="B226" s="32" t="s">
        <v>29</v>
      </c>
      <c r="C226" s="31" t="s">
        <v>26</v>
      </c>
      <c r="D226" s="46">
        <f>D225*1.02</f>
        <v>11.6992776</v>
      </c>
      <c r="E226" s="44"/>
      <c r="F226" s="45"/>
      <c r="G226" s="45"/>
      <c r="H226" s="45"/>
      <c r="I226" s="45"/>
      <c r="J226" s="45"/>
      <c r="K226" s="5"/>
    </row>
    <row r="227" spans="2:11" x14ac:dyDescent="0.35">
      <c r="B227" s="32" t="s">
        <v>30</v>
      </c>
      <c r="C227" s="31" t="s">
        <v>31</v>
      </c>
      <c r="D227" s="46">
        <f>(33.29/10*28.46+54.4/10*(28+4.26+1.32))*1.04</f>
        <v>288.51528159999998</v>
      </c>
      <c r="E227" s="44"/>
      <c r="F227" s="45"/>
      <c r="G227" s="45"/>
      <c r="H227" s="45"/>
      <c r="I227" s="45"/>
      <c r="J227" s="45"/>
      <c r="K227" s="5"/>
    </row>
    <row r="228" spans="2:11" x14ac:dyDescent="0.35">
      <c r="B228" s="25" t="s">
        <v>64</v>
      </c>
      <c r="C228" s="31" t="s">
        <v>27</v>
      </c>
      <c r="D228" s="46">
        <v>30.4</v>
      </c>
      <c r="E228" s="44"/>
      <c r="F228" s="45"/>
      <c r="G228" s="45"/>
      <c r="H228" s="45"/>
      <c r="I228" s="45"/>
      <c r="J228" s="45"/>
      <c r="K228" s="5"/>
    </row>
    <row r="229" spans="2:11" ht="31" x14ac:dyDescent="0.35">
      <c r="B229" s="32" t="s">
        <v>121</v>
      </c>
      <c r="C229" s="31" t="s">
        <v>27</v>
      </c>
      <c r="D229" s="46">
        <f>D228*1.1</f>
        <v>33.44</v>
      </c>
      <c r="E229" s="44"/>
      <c r="F229" s="45"/>
      <c r="G229" s="45"/>
      <c r="H229" s="45"/>
      <c r="I229" s="45"/>
      <c r="J229" s="45"/>
      <c r="K229" s="5"/>
    </row>
    <row r="230" spans="2:11" x14ac:dyDescent="0.35">
      <c r="B230" s="25" t="s">
        <v>123</v>
      </c>
      <c r="C230" s="31" t="s">
        <v>27</v>
      </c>
      <c r="D230" s="46">
        <f>30.2+6.2+3</f>
        <v>39.4</v>
      </c>
      <c r="E230" s="44"/>
      <c r="F230" s="45"/>
      <c r="G230" s="45"/>
      <c r="H230" s="45"/>
      <c r="I230" s="45"/>
      <c r="J230" s="45"/>
      <c r="K230" s="5"/>
    </row>
    <row r="231" spans="2:11" ht="31" x14ac:dyDescent="0.35">
      <c r="B231" s="32" t="s">
        <v>122</v>
      </c>
      <c r="C231" s="31" t="s">
        <v>27</v>
      </c>
      <c r="D231" s="46">
        <f>D230*1.1</f>
        <v>43.34</v>
      </c>
      <c r="E231" s="44"/>
      <c r="F231" s="45"/>
      <c r="G231" s="45"/>
      <c r="H231" s="45"/>
      <c r="I231" s="45"/>
      <c r="J231" s="45"/>
      <c r="K231" s="5"/>
    </row>
    <row r="232" spans="2:11" ht="33" x14ac:dyDescent="0.35">
      <c r="B232" s="25" t="s">
        <v>39</v>
      </c>
      <c r="C232" s="3" t="s">
        <v>26</v>
      </c>
      <c r="D232" s="46">
        <f>D221+D222-(0.125*28.46+1.34/10*28.46+0.47*(28+4.26+1.32)+2.28/10*(28+4.26+1.32))</f>
        <v>1023.99002</v>
      </c>
      <c r="E232" s="44"/>
      <c r="F232" s="45"/>
      <c r="G232" s="45"/>
      <c r="H232" s="45"/>
      <c r="I232" s="45"/>
      <c r="J232" s="45"/>
      <c r="K232" s="5"/>
    </row>
    <row r="233" spans="2:11" x14ac:dyDescent="0.35">
      <c r="B233" s="43" t="s">
        <v>124</v>
      </c>
      <c r="C233" s="3" t="s">
        <v>32</v>
      </c>
      <c r="D233" s="46">
        <v>1</v>
      </c>
      <c r="E233" s="10"/>
      <c r="F233" s="4"/>
      <c r="G233" s="4"/>
      <c r="H233" s="4"/>
      <c r="I233" s="4"/>
      <c r="J233" s="4"/>
      <c r="K233" s="5"/>
    </row>
    <row r="234" spans="2:11" x14ac:dyDescent="0.35">
      <c r="B234" s="48" t="s">
        <v>33</v>
      </c>
      <c r="C234" s="3" t="s">
        <v>26</v>
      </c>
      <c r="D234" s="46" t="s">
        <v>148</v>
      </c>
      <c r="E234" s="10"/>
      <c r="F234" s="4"/>
      <c r="G234" s="4"/>
      <c r="H234" s="4"/>
      <c r="I234" s="4"/>
      <c r="J234" s="4"/>
      <c r="K234" s="5"/>
    </row>
    <row r="235" spans="2:11" x14ac:dyDescent="0.35">
      <c r="B235" s="48" t="s">
        <v>19</v>
      </c>
      <c r="C235" s="3" t="s">
        <v>26</v>
      </c>
      <c r="D235" s="46">
        <v>0.38</v>
      </c>
      <c r="E235" s="10"/>
      <c r="F235" s="4"/>
      <c r="G235" s="4"/>
      <c r="H235" s="4"/>
      <c r="I235" s="4"/>
      <c r="J235" s="4"/>
      <c r="K235" s="5"/>
    </row>
    <row r="236" spans="2:11" x14ac:dyDescent="0.35">
      <c r="B236" s="48" t="s">
        <v>67</v>
      </c>
      <c r="C236" s="3" t="s">
        <v>25</v>
      </c>
      <c r="D236" s="46">
        <v>3.46</v>
      </c>
      <c r="E236" s="10"/>
      <c r="F236" s="4"/>
      <c r="G236" s="4"/>
      <c r="H236" s="4"/>
      <c r="I236" s="4"/>
      <c r="J236" s="4"/>
      <c r="K236" s="5"/>
    </row>
    <row r="237" spans="2:11" x14ac:dyDescent="0.35">
      <c r="B237" s="48" t="s">
        <v>68</v>
      </c>
      <c r="C237" s="3" t="s">
        <v>26</v>
      </c>
      <c r="D237" s="46">
        <v>0.35</v>
      </c>
      <c r="E237" s="10"/>
      <c r="F237" s="4"/>
      <c r="G237" s="4"/>
      <c r="H237" s="4"/>
      <c r="I237" s="4"/>
      <c r="J237" s="4"/>
      <c r="K237" s="5"/>
    </row>
    <row r="238" spans="2:11" ht="46.5" x14ac:dyDescent="0.35">
      <c r="B238" s="48" t="s">
        <v>70</v>
      </c>
      <c r="C238" s="3" t="s">
        <v>25</v>
      </c>
      <c r="D238" s="37" t="s">
        <v>125</v>
      </c>
      <c r="E238" s="10"/>
      <c r="F238" s="4"/>
      <c r="G238" s="4"/>
      <c r="H238" s="4"/>
      <c r="I238" s="4"/>
      <c r="J238" s="4"/>
      <c r="K238" s="5"/>
    </row>
    <row r="239" spans="2:11" ht="31" x14ac:dyDescent="0.35">
      <c r="B239" s="48" t="s">
        <v>126</v>
      </c>
      <c r="C239" s="3" t="s">
        <v>32</v>
      </c>
      <c r="D239" s="46">
        <v>1</v>
      </c>
      <c r="E239" s="10"/>
      <c r="F239" s="4"/>
      <c r="G239" s="4"/>
      <c r="H239" s="4"/>
      <c r="I239" s="4"/>
      <c r="J239" s="4"/>
      <c r="K239" s="5"/>
    </row>
    <row r="240" spans="2:11" x14ac:dyDescent="0.35">
      <c r="B240" s="17" t="s">
        <v>127</v>
      </c>
      <c r="C240" s="3" t="s">
        <v>32</v>
      </c>
      <c r="D240" s="46">
        <v>1</v>
      </c>
      <c r="E240" s="10"/>
      <c r="F240" s="4"/>
      <c r="G240" s="4"/>
      <c r="H240" s="4"/>
      <c r="I240" s="4"/>
      <c r="J240" s="4"/>
      <c r="K240" s="5"/>
    </row>
    <row r="241" spans="2:12" x14ac:dyDescent="0.35">
      <c r="B241" s="17" t="s">
        <v>101</v>
      </c>
      <c r="C241" s="3" t="s">
        <v>26</v>
      </c>
      <c r="D241" s="46">
        <v>6.0000000000000001E-3</v>
      </c>
      <c r="E241" s="10"/>
      <c r="F241" s="4"/>
      <c r="G241" s="4"/>
      <c r="H241" s="4"/>
      <c r="I241" s="4"/>
      <c r="J241" s="4"/>
      <c r="K241" s="5"/>
    </row>
    <row r="242" spans="2:12" x14ac:dyDescent="0.35">
      <c r="B242" s="25" t="s">
        <v>131</v>
      </c>
      <c r="C242" s="3" t="s">
        <v>26</v>
      </c>
      <c r="D242" s="46">
        <v>0.03</v>
      </c>
      <c r="E242" s="10"/>
      <c r="F242" s="4"/>
      <c r="G242" s="4"/>
      <c r="H242" s="4"/>
      <c r="I242" s="4"/>
      <c r="J242" s="4"/>
      <c r="K242" s="5"/>
      <c r="L242" s="50"/>
    </row>
    <row r="243" spans="2:12" x14ac:dyDescent="0.35">
      <c r="B243" s="17" t="s">
        <v>29</v>
      </c>
      <c r="C243" s="3" t="s">
        <v>26</v>
      </c>
      <c r="D243" s="46">
        <f>D242*1.02</f>
        <v>3.0599999999999999E-2</v>
      </c>
      <c r="E243" s="10"/>
      <c r="F243" s="4"/>
      <c r="G243" s="4"/>
      <c r="H243" s="4"/>
      <c r="I243" s="4"/>
      <c r="J243" s="4"/>
      <c r="K243" s="5"/>
      <c r="L243" s="50"/>
    </row>
    <row r="244" spans="2:12" ht="31" x14ac:dyDescent="0.35">
      <c r="B244" s="25" t="s">
        <v>78</v>
      </c>
      <c r="C244" s="3" t="s">
        <v>32</v>
      </c>
      <c r="D244" s="46">
        <f>SUM(D245:D246)</f>
        <v>3</v>
      </c>
      <c r="E244" s="10"/>
      <c r="F244" s="4"/>
      <c r="G244" s="4"/>
      <c r="H244" s="4"/>
      <c r="I244" s="4"/>
      <c r="J244" s="4"/>
      <c r="K244" s="5"/>
    </row>
    <row r="245" spans="2:12" x14ac:dyDescent="0.35">
      <c r="B245" s="17" t="s">
        <v>129</v>
      </c>
      <c r="C245" s="3" t="s">
        <v>32</v>
      </c>
      <c r="D245" s="46">
        <v>1</v>
      </c>
      <c r="E245" s="10"/>
      <c r="F245" s="4"/>
      <c r="G245" s="4"/>
      <c r="H245" s="4"/>
      <c r="I245" s="4"/>
      <c r="J245" s="4"/>
      <c r="K245" s="5"/>
    </row>
    <row r="246" spans="2:12" x14ac:dyDescent="0.35">
      <c r="B246" s="17" t="s">
        <v>128</v>
      </c>
      <c r="C246" s="3" t="s">
        <v>32</v>
      </c>
      <c r="D246" s="46">
        <v>2</v>
      </c>
      <c r="E246" s="10"/>
      <c r="F246" s="4"/>
      <c r="G246" s="4"/>
      <c r="H246" s="4"/>
      <c r="I246" s="4"/>
      <c r="J246" s="4"/>
      <c r="K246" s="5"/>
    </row>
    <row r="247" spans="2:12" ht="31" x14ac:dyDescent="0.35">
      <c r="B247" s="25" t="s">
        <v>85</v>
      </c>
      <c r="C247" s="3" t="s">
        <v>32</v>
      </c>
      <c r="D247" s="46">
        <v>1</v>
      </c>
      <c r="E247" s="10"/>
      <c r="F247" s="4"/>
      <c r="G247" s="4"/>
      <c r="H247" s="4"/>
      <c r="I247" s="4"/>
      <c r="J247" s="4"/>
      <c r="K247" s="5"/>
    </row>
    <row r="248" spans="2:12" x14ac:dyDescent="0.35">
      <c r="B248" s="17" t="s">
        <v>130</v>
      </c>
      <c r="C248" s="3" t="s">
        <v>32</v>
      </c>
      <c r="D248" s="46">
        <v>1</v>
      </c>
      <c r="E248" s="10"/>
      <c r="F248" s="4"/>
      <c r="G248" s="4"/>
      <c r="H248" s="4"/>
      <c r="I248" s="4"/>
      <c r="J248" s="4"/>
      <c r="K248" s="5"/>
    </row>
    <row r="249" spans="2:12" x14ac:dyDescent="0.35">
      <c r="B249" s="25" t="s">
        <v>132</v>
      </c>
      <c r="C249" s="3" t="s">
        <v>32</v>
      </c>
      <c r="D249" s="46">
        <v>1</v>
      </c>
      <c r="E249" s="10"/>
      <c r="F249" s="4"/>
      <c r="G249" s="4"/>
      <c r="H249" s="4"/>
      <c r="I249" s="4"/>
      <c r="J249" s="4"/>
      <c r="K249" s="5"/>
    </row>
    <row r="250" spans="2:12" x14ac:dyDescent="0.35">
      <c r="B250" s="39" t="s">
        <v>133</v>
      </c>
      <c r="C250" s="3" t="s">
        <v>32</v>
      </c>
      <c r="D250" s="46">
        <v>1</v>
      </c>
      <c r="E250" s="10"/>
      <c r="F250" s="4"/>
      <c r="G250" s="4"/>
      <c r="H250" s="4"/>
      <c r="I250" s="4"/>
      <c r="J250" s="4"/>
      <c r="K250" s="5"/>
    </row>
    <row r="251" spans="2:12" ht="77.5" x14ac:dyDescent="0.35">
      <c r="B251" s="41" t="s">
        <v>90</v>
      </c>
      <c r="C251" s="3" t="s">
        <v>25</v>
      </c>
      <c r="D251" s="49" t="s">
        <v>125</v>
      </c>
      <c r="E251" s="10"/>
      <c r="F251" s="4"/>
      <c r="G251" s="4"/>
      <c r="H251" s="4"/>
      <c r="I251" s="4"/>
      <c r="J251" s="4"/>
      <c r="K251" s="5"/>
      <c r="L251" s="42" t="s">
        <v>89</v>
      </c>
    </row>
    <row r="252" spans="2:12" x14ac:dyDescent="0.35">
      <c r="B252" s="25" t="s">
        <v>93</v>
      </c>
      <c r="C252" s="3" t="s">
        <v>32</v>
      </c>
      <c r="D252" s="47">
        <v>9</v>
      </c>
      <c r="E252" s="44"/>
      <c r="F252" s="45"/>
      <c r="G252" s="45"/>
      <c r="H252" s="45"/>
      <c r="I252" s="45"/>
      <c r="J252" s="45"/>
      <c r="K252" s="5"/>
    </row>
    <row r="253" spans="2:12" x14ac:dyDescent="0.35">
      <c r="B253" s="17" t="s">
        <v>94</v>
      </c>
      <c r="C253" s="3" t="s">
        <v>31</v>
      </c>
      <c r="D253" s="46">
        <f>0.85*9</f>
        <v>7.6499999999999995</v>
      </c>
      <c r="E253" s="44"/>
      <c r="F253" s="45"/>
      <c r="G253" s="45"/>
      <c r="H253" s="45"/>
      <c r="I253" s="45"/>
      <c r="J253" s="45"/>
      <c r="K253" s="5"/>
    </row>
    <row r="254" spans="2:12" x14ac:dyDescent="0.35">
      <c r="B254" s="25" t="s">
        <v>95</v>
      </c>
      <c r="C254" s="3" t="s">
        <v>32</v>
      </c>
      <c r="D254" s="47">
        <v>1</v>
      </c>
      <c r="E254" s="44"/>
      <c r="F254" s="45"/>
      <c r="G254" s="45"/>
      <c r="H254" s="45"/>
      <c r="I254" s="45"/>
      <c r="J254" s="45"/>
      <c r="K254" s="5"/>
    </row>
    <row r="255" spans="2:12" ht="33" x14ac:dyDescent="0.35">
      <c r="B255" s="25" t="s">
        <v>96</v>
      </c>
      <c r="C255" s="3" t="s">
        <v>26</v>
      </c>
      <c r="D255" s="46" t="e">
        <f>D234+D235-(3.026)</f>
        <v>#VALUE!</v>
      </c>
      <c r="E255" s="44"/>
      <c r="F255" s="45"/>
      <c r="G255" s="45"/>
      <c r="H255" s="45"/>
      <c r="I255" s="45"/>
      <c r="J255" s="45"/>
      <c r="K255" s="5"/>
    </row>
    <row r="256" spans="2:12" x14ac:dyDescent="0.35">
      <c r="B256" s="43" t="s">
        <v>134</v>
      </c>
      <c r="C256" s="3" t="s">
        <v>32</v>
      </c>
      <c r="D256" s="46">
        <v>1</v>
      </c>
      <c r="E256" s="10"/>
      <c r="F256" s="4"/>
      <c r="G256" s="4"/>
      <c r="H256" s="4"/>
      <c r="I256" s="4"/>
      <c r="J256" s="4"/>
      <c r="K256" s="5"/>
    </row>
    <row r="257" spans="2:12" x14ac:dyDescent="0.35">
      <c r="B257" s="48" t="s">
        <v>33</v>
      </c>
      <c r="C257" s="3" t="s">
        <v>26</v>
      </c>
      <c r="D257" s="46">
        <v>5.26</v>
      </c>
      <c r="E257" s="10"/>
      <c r="F257" s="4"/>
      <c r="G257" s="4"/>
      <c r="H257" s="4"/>
      <c r="I257" s="4"/>
      <c r="J257" s="4"/>
      <c r="K257" s="5"/>
    </row>
    <row r="258" spans="2:12" x14ac:dyDescent="0.35">
      <c r="B258" s="48" t="s">
        <v>19</v>
      </c>
      <c r="C258" s="3" t="s">
        <v>26</v>
      </c>
      <c r="D258" s="46">
        <v>0.38</v>
      </c>
      <c r="E258" s="10"/>
      <c r="F258" s="4"/>
      <c r="G258" s="4"/>
      <c r="H258" s="4"/>
      <c r="I258" s="4"/>
      <c r="J258" s="4"/>
      <c r="K258" s="5"/>
    </row>
    <row r="259" spans="2:12" x14ac:dyDescent="0.35">
      <c r="B259" s="48" t="s">
        <v>67</v>
      </c>
      <c r="C259" s="3" t="s">
        <v>25</v>
      </c>
      <c r="D259" s="46">
        <v>3.46</v>
      </c>
      <c r="E259" s="10"/>
      <c r="F259" s="4"/>
      <c r="G259" s="4"/>
      <c r="H259" s="4"/>
      <c r="I259" s="4"/>
      <c r="J259" s="4"/>
      <c r="K259" s="5"/>
    </row>
    <row r="260" spans="2:12" x14ac:dyDescent="0.35">
      <c r="B260" s="48" t="s">
        <v>68</v>
      </c>
      <c r="C260" s="3" t="s">
        <v>26</v>
      </c>
      <c r="D260" s="46">
        <v>0.35</v>
      </c>
      <c r="E260" s="10"/>
      <c r="F260" s="4"/>
      <c r="G260" s="4"/>
      <c r="H260" s="4"/>
      <c r="I260" s="4"/>
      <c r="J260" s="4"/>
      <c r="K260" s="5"/>
    </row>
    <row r="261" spans="2:12" ht="46.5" x14ac:dyDescent="0.35">
      <c r="B261" s="48" t="s">
        <v>70</v>
      </c>
      <c r="C261" s="3" t="s">
        <v>25</v>
      </c>
      <c r="D261" s="37" t="s">
        <v>125</v>
      </c>
      <c r="E261" s="10"/>
      <c r="F261" s="4"/>
      <c r="G261" s="4"/>
      <c r="H261" s="4"/>
      <c r="I261" s="4"/>
      <c r="J261" s="4"/>
      <c r="K261" s="5"/>
    </row>
    <row r="262" spans="2:12" ht="31" x14ac:dyDescent="0.35">
      <c r="B262" s="48" t="s">
        <v>126</v>
      </c>
      <c r="C262" s="3" t="s">
        <v>32</v>
      </c>
      <c r="D262" s="46">
        <v>1</v>
      </c>
      <c r="E262" s="10"/>
      <c r="F262" s="4"/>
      <c r="G262" s="4"/>
      <c r="H262" s="4"/>
      <c r="I262" s="4"/>
      <c r="J262" s="4"/>
      <c r="K262" s="5"/>
    </row>
    <row r="263" spans="2:12" x14ac:dyDescent="0.35">
      <c r="B263" s="17" t="s">
        <v>127</v>
      </c>
      <c r="C263" s="3" t="s">
        <v>32</v>
      </c>
      <c r="D263" s="46">
        <v>1</v>
      </c>
      <c r="E263" s="10"/>
      <c r="F263" s="4"/>
      <c r="G263" s="4"/>
      <c r="H263" s="4"/>
      <c r="I263" s="4"/>
      <c r="J263" s="4"/>
      <c r="K263" s="5"/>
    </row>
    <row r="264" spans="2:12" x14ac:dyDescent="0.35">
      <c r="B264" s="17" t="s">
        <v>101</v>
      </c>
      <c r="C264" s="3" t="s">
        <v>26</v>
      </c>
      <c r="D264" s="46">
        <v>6.0000000000000001E-3</v>
      </c>
      <c r="E264" s="10"/>
      <c r="F264" s="4"/>
      <c r="G264" s="4"/>
      <c r="H264" s="4"/>
      <c r="I264" s="4"/>
      <c r="J264" s="4"/>
      <c r="K264" s="5"/>
    </row>
    <row r="265" spans="2:12" x14ac:dyDescent="0.35">
      <c r="B265" s="25" t="s">
        <v>131</v>
      </c>
      <c r="C265" s="3" t="s">
        <v>26</v>
      </c>
      <c r="D265" s="46">
        <v>0.03</v>
      </c>
      <c r="E265" s="10"/>
      <c r="F265" s="4"/>
      <c r="G265" s="4"/>
      <c r="H265" s="4"/>
      <c r="I265" s="4"/>
      <c r="J265" s="4"/>
      <c r="K265" s="5"/>
      <c r="L265" s="50"/>
    </row>
    <row r="266" spans="2:12" x14ac:dyDescent="0.35">
      <c r="B266" s="17" t="s">
        <v>29</v>
      </c>
      <c r="C266" s="3" t="s">
        <v>26</v>
      </c>
      <c r="D266" s="46">
        <f>D265*1.02</f>
        <v>3.0599999999999999E-2</v>
      </c>
      <c r="E266" s="10"/>
      <c r="F266" s="4"/>
      <c r="G266" s="4"/>
      <c r="H266" s="4"/>
      <c r="I266" s="4"/>
      <c r="J266" s="4"/>
      <c r="K266" s="5"/>
      <c r="L266" s="50"/>
    </row>
    <row r="267" spans="2:12" ht="31" x14ac:dyDescent="0.35">
      <c r="B267" s="25" t="s">
        <v>78</v>
      </c>
      <c r="C267" s="3" t="s">
        <v>32</v>
      </c>
      <c r="D267" s="46">
        <f>SUM(D268:D268)</f>
        <v>2</v>
      </c>
      <c r="E267" s="10"/>
      <c r="F267" s="4"/>
      <c r="G267" s="4"/>
      <c r="H267" s="4"/>
      <c r="I267" s="4"/>
      <c r="J267" s="4"/>
      <c r="K267" s="5"/>
    </row>
    <row r="268" spans="2:12" x14ac:dyDescent="0.35">
      <c r="B268" s="17" t="s">
        <v>80</v>
      </c>
      <c r="C268" s="3" t="s">
        <v>32</v>
      </c>
      <c r="D268" s="46">
        <v>2</v>
      </c>
      <c r="E268" s="10"/>
      <c r="F268" s="4"/>
      <c r="G268" s="4"/>
      <c r="H268" s="4"/>
      <c r="I268" s="4"/>
      <c r="J268" s="4"/>
      <c r="K268" s="5"/>
    </row>
    <row r="269" spans="2:12" ht="31" x14ac:dyDescent="0.35">
      <c r="B269" s="25" t="s">
        <v>85</v>
      </c>
      <c r="C269" s="3" t="s">
        <v>32</v>
      </c>
      <c r="D269" s="46">
        <v>1</v>
      </c>
      <c r="E269" s="10"/>
      <c r="F269" s="4"/>
      <c r="G269" s="4"/>
      <c r="H269" s="4"/>
      <c r="I269" s="4"/>
      <c r="J269" s="4"/>
      <c r="K269" s="5"/>
    </row>
    <row r="270" spans="2:12" x14ac:dyDescent="0.35">
      <c r="B270" s="17" t="s">
        <v>130</v>
      </c>
      <c r="C270" s="3" t="s">
        <v>32</v>
      </c>
      <c r="D270" s="46">
        <v>1</v>
      </c>
      <c r="E270" s="10"/>
      <c r="F270" s="4"/>
      <c r="G270" s="4"/>
      <c r="H270" s="4"/>
      <c r="I270" s="4"/>
      <c r="J270" s="4"/>
      <c r="K270" s="5"/>
    </row>
    <row r="271" spans="2:12" x14ac:dyDescent="0.35">
      <c r="B271" s="25" t="s">
        <v>132</v>
      </c>
      <c r="C271" s="3" t="s">
        <v>32</v>
      </c>
      <c r="D271" s="46">
        <v>1</v>
      </c>
      <c r="E271" s="10"/>
      <c r="F271" s="4"/>
      <c r="G271" s="4"/>
      <c r="H271" s="4"/>
      <c r="I271" s="4"/>
      <c r="J271" s="4"/>
      <c r="K271" s="5"/>
    </row>
    <row r="272" spans="2:12" x14ac:dyDescent="0.35">
      <c r="B272" s="39" t="s">
        <v>133</v>
      </c>
      <c r="C272" s="3" t="s">
        <v>32</v>
      </c>
      <c r="D272" s="46">
        <v>1</v>
      </c>
      <c r="E272" s="10"/>
      <c r="F272" s="4"/>
      <c r="G272" s="4"/>
      <c r="H272" s="4"/>
      <c r="I272" s="4"/>
      <c r="J272" s="4"/>
      <c r="K272" s="5"/>
    </row>
    <row r="273" spans="2:12" ht="77.5" x14ac:dyDescent="0.35">
      <c r="B273" s="41" t="s">
        <v>90</v>
      </c>
      <c r="C273" s="3" t="s">
        <v>25</v>
      </c>
      <c r="D273" s="49" t="s">
        <v>125</v>
      </c>
      <c r="E273" s="10"/>
      <c r="F273" s="4"/>
      <c r="G273" s="4"/>
      <c r="H273" s="4"/>
      <c r="I273" s="4"/>
      <c r="J273" s="4"/>
      <c r="K273" s="5"/>
      <c r="L273" s="42" t="s">
        <v>89</v>
      </c>
    </row>
    <row r="274" spans="2:12" ht="31" x14ac:dyDescent="0.35">
      <c r="B274" s="51" t="s">
        <v>93</v>
      </c>
      <c r="C274" s="52" t="s">
        <v>32</v>
      </c>
      <c r="D274" s="53" t="s">
        <v>135</v>
      </c>
      <c r="E274" s="44"/>
      <c r="F274" s="45"/>
      <c r="G274" s="45"/>
      <c r="H274" s="45"/>
      <c r="I274" s="45"/>
      <c r="J274" s="45"/>
      <c r="K274" s="5"/>
      <c r="L274" s="50"/>
    </row>
    <row r="275" spans="2:12" ht="31" x14ac:dyDescent="0.35">
      <c r="B275" s="40" t="s">
        <v>94</v>
      </c>
      <c r="C275" s="52" t="s">
        <v>31</v>
      </c>
      <c r="D275" s="53" t="s">
        <v>135</v>
      </c>
      <c r="E275" s="44"/>
      <c r="F275" s="45"/>
      <c r="G275" s="45"/>
      <c r="H275" s="45"/>
      <c r="I275" s="45"/>
      <c r="J275" s="45"/>
      <c r="K275" s="5"/>
      <c r="L275" s="50"/>
    </row>
    <row r="276" spans="2:12" x14ac:dyDescent="0.35">
      <c r="B276" s="25" t="s">
        <v>95</v>
      </c>
      <c r="C276" s="3" t="s">
        <v>32</v>
      </c>
      <c r="D276" s="47">
        <v>1</v>
      </c>
      <c r="E276" s="44"/>
      <c r="F276" s="45"/>
      <c r="G276" s="45"/>
      <c r="H276" s="45"/>
      <c r="I276" s="45"/>
      <c r="J276" s="45"/>
      <c r="K276" s="5"/>
    </row>
    <row r="277" spans="2:12" ht="33" x14ac:dyDescent="0.35">
      <c r="B277" s="25" t="s">
        <v>96</v>
      </c>
      <c r="C277" s="3" t="s">
        <v>26</v>
      </c>
      <c r="D277" s="46">
        <f>D257+D258-(0.45)</f>
        <v>5.1899999999999995</v>
      </c>
      <c r="E277" s="44"/>
      <c r="F277" s="45"/>
      <c r="G277" s="45"/>
      <c r="H277" s="45"/>
      <c r="I277" s="45"/>
      <c r="J277" s="45"/>
      <c r="K277" s="5"/>
    </row>
    <row r="278" spans="2:12" x14ac:dyDescent="0.35">
      <c r="B278" s="43" t="s">
        <v>136</v>
      </c>
      <c r="C278" s="3" t="s">
        <v>32</v>
      </c>
      <c r="D278" s="46">
        <v>1</v>
      </c>
      <c r="E278" s="10"/>
      <c r="F278" s="4"/>
      <c r="G278" s="4"/>
      <c r="H278" s="4"/>
      <c r="I278" s="4"/>
      <c r="J278" s="4"/>
      <c r="K278" s="5"/>
    </row>
    <row r="279" spans="2:12" x14ac:dyDescent="0.35">
      <c r="B279" s="48" t="s">
        <v>33</v>
      </c>
      <c r="C279" s="3" t="s">
        <v>26</v>
      </c>
      <c r="D279" s="46">
        <v>335.053</v>
      </c>
      <c r="E279" s="10"/>
      <c r="F279" s="4"/>
      <c r="G279" s="4"/>
      <c r="H279" s="4"/>
      <c r="I279" s="4"/>
      <c r="J279" s="4"/>
      <c r="K279" s="5"/>
    </row>
    <row r="280" spans="2:12" x14ac:dyDescent="0.35">
      <c r="B280" s="48" t="s">
        <v>19</v>
      </c>
      <c r="C280" s="3" t="s">
        <v>26</v>
      </c>
      <c r="D280" s="46">
        <v>1.1299999999999999</v>
      </c>
      <c r="E280" s="10"/>
      <c r="F280" s="4"/>
      <c r="G280" s="4"/>
      <c r="H280" s="4"/>
      <c r="I280" s="4"/>
      <c r="J280" s="4"/>
      <c r="K280" s="5"/>
    </row>
    <row r="281" spans="2:12" x14ac:dyDescent="0.35">
      <c r="B281" s="48" t="s">
        <v>67</v>
      </c>
      <c r="C281" s="3" t="s">
        <v>25</v>
      </c>
      <c r="D281" s="46">
        <v>5.72</v>
      </c>
      <c r="E281" s="10"/>
      <c r="F281" s="4"/>
      <c r="G281" s="4"/>
      <c r="H281" s="4"/>
      <c r="I281" s="4"/>
      <c r="J281" s="4"/>
      <c r="K281" s="5"/>
    </row>
    <row r="282" spans="2:12" x14ac:dyDescent="0.35">
      <c r="B282" s="48" t="s">
        <v>68</v>
      </c>
      <c r="C282" s="3" t="s">
        <v>26</v>
      </c>
      <c r="D282" s="46">
        <v>0.56999999999999995</v>
      </c>
      <c r="E282" s="10"/>
      <c r="F282" s="4"/>
      <c r="G282" s="4"/>
      <c r="H282" s="4"/>
      <c r="I282" s="4"/>
      <c r="J282" s="4"/>
      <c r="K282" s="5"/>
    </row>
    <row r="283" spans="2:12" ht="46.5" x14ac:dyDescent="0.35">
      <c r="B283" s="48" t="s">
        <v>70</v>
      </c>
      <c r="C283" s="3" t="s">
        <v>25</v>
      </c>
      <c r="D283" s="46">
        <v>4.91</v>
      </c>
      <c r="E283" s="10"/>
      <c r="F283" s="4"/>
      <c r="G283" s="4"/>
      <c r="H283" s="4"/>
      <c r="I283" s="4"/>
      <c r="J283" s="4"/>
      <c r="K283" s="5"/>
    </row>
    <row r="284" spans="2:12" ht="31" x14ac:dyDescent="0.35">
      <c r="B284" s="48" t="s">
        <v>69</v>
      </c>
      <c r="C284" s="3" t="s">
        <v>32</v>
      </c>
      <c r="D284" s="46">
        <v>1</v>
      </c>
      <c r="E284" s="10"/>
      <c r="F284" s="4"/>
      <c r="G284" s="4"/>
      <c r="H284" s="4"/>
      <c r="I284" s="4"/>
      <c r="J284" s="4"/>
      <c r="K284" s="5"/>
    </row>
    <row r="285" spans="2:12" x14ac:dyDescent="0.35">
      <c r="B285" s="17" t="s">
        <v>71</v>
      </c>
      <c r="C285" s="3" t="s">
        <v>32</v>
      </c>
      <c r="D285" s="46">
        <v>1</v>
      </c>
      <c r="E285" s="10"/>
      <c r="F285" s="4"/>
      <c r="G285" s="4"/>
      <c r="H285" s="4"/>
      <c r="I285" s="4"/>
      <c r="J285" s="4"/>
      <c r="K285" s="5"/>
    </row>
    <row r="286" spans="2:12" x14ac:dyDescent="0.35">
      <c r="B286" s="17" t="s">
        <v>101</v>
      </c>
      <c r="C286" s="3" t="s">
        <v>26</v>
      </c>
      <c r="D286" s="46">
        <f>0.05*1.02</f>
        <v>5.1000000000000004E-2</v>
      </c>
      <c r="E286" s="10"/>
      <c r="F286" s="4"/>
      <c r="G286" s="4"/>
      <c r="H286" s="4"/>
      <c r="I286" s="4"/>
      <c r="J286" s="4"/>
      <c r="K286" s="5"/>
    </row>
    <row r="287" spans="2:12" ht="46.5" x14ac:dyDescent="0.35">
      <c r="B287" s="25" t="s">
        <v>74</v>
      </c>
      <c r="C287" s="3" t="s">
        <v>26</v>
      </c>
      <c r="D287" s="37">
        <v>1.2</v>
      </c>
      <c r="E287" s="10"/>
      <c r="F287" s="4"/>
      <c r="G287" s="4"/>
      <c r="H287" s="4"/>
      <c r="I287" s="4"/>
      <c r="J287" s="4"/>
      <c r="K287" s="5"/>
      <c r="L287" s="38" t="s">
        <v>73</v>
      </c>
    </row>
    <row r="288" spans="2:12" x14ac:dyDescent="0.35">
      <c r="B288" s="17" t="s">
        <v>75</v>
      </c>
      <c r="C288" s="3" t="s">
        <v>26</v>
      </c>
      <c r="D288" s="37">
        <f>D287*1.02</f>
        <v>1.224</v>
      </c>
      <c r="E288" s="10"/>
      <c r="F288" s="4"/>
      <c r="G288" s="4"/>
      <c r="H288" s="4"/>
      <c r="I288" s="4"/>
      <c r="J288" s="4"/>
      <c r="K288" s="5"/>
      <c r="L288" s="38"/>
    </row>
    <row r="289" spans="2:12" ht="31" x14ac:dyDescent="0.35">
      <c r="B289" s="25" t="s">
        <v>78</v>
      </c>
      <c r="C289" s="3" t="s">
        <v>32</v>
      </c>
      <c r="D289" s="46">
        <f>SUM(D290:D293)</f>
        <v>6</v>
      </c>
      <c r="E289" s="10"/>
      <c r="F289" s="4"/>
      <c r="G289" s="4"/>
      <c r="H289" s="4"/>
      <c r="I289" s="4"/>
      <c r="J289" s="4"/>
      <c r="K289" s="5"/>
    </row>
    <row r="290" spans="2:12" x14ac:dyDescent="0.35">
      <c r="B290" s="17" t="s">
        <v>76</v>
      </c>
      <c r="C290" s="3" t="s">
        <v>32</v>
      </c>
      <c r="D290" s="46">
        <v>3</v>
      </c>
      <c r="E290" s="10"/>
      <c r="F290" s="4"/>
      <c r="G290" s="4"/>
      <c r="H290" s="4"/>
      <c r="I290" s="4"/>
      <c r="J290" s="4"/>
      <c r="K290" s="5"/>
    </row>
    <row r="291" spans="2:12" x14ac:dyDescent="0.35">
      <c r="B291" s="17" t="s">
        <v>77</v>
      </c>
      <c r="C291" s="3" t="s">
        <v>32</v>
      </c>
      <c r="D291" s="46">
        <v>1</v>
      </c>
      <c r="E291" s="10"/>
      <c r="F291" s="4"/>
      <c r="G291" s="4"/>
      <c r="H291" s="4"/>
      <c r="I291" s="4"/>
      <c r="J291" s="4"/>
      <c r="K291" s="5"/>
    </row>
    <row r="292" spans="2:12" x14ac:dyDescent="0.35">
      <c r="B292" s="17" t="s">
        <v>80</v>
      </c>
      <c r="C292" s="3" t="s">
        <v>32</v>
      </c>
      <c r="D292" s="46">
        <v>1</v>
      </c>
      <c r="E292" s="10"/>
      <c r="F292" s="4"/>
      <c r="G292" s="4"/>
      <c r="H292" s="4"/>
      <c r="I292" s="4"/>
      <c r="J292" s="4"/>
      <c r="K292" s="5"/>
    </row>
    <row r="293" spans="2:12" x14ac:dyDescent="0.35">
      <c r="B293" s="40" t="s">
        <v>98</v>
      </c>
      <c r="C293" s="3" t="s">
        <v>32</v>
      </c>
      <c r="D293" s="37">
        <v>1</v>
      </c>
      <c r="E293" s="10"/>
      <c r="F293" s="4"/>
      <c r="G293" s="4"/>
      <c r="H293" s="4"/>
      <c r="I293" s="4"/>
      <c r="J293" s="4"/>
      <c r="K293" s="5"/>
      <c r="L293" s="38" t="s">
        <v>83</v>
      </c>
    </row>
    <row r="294" spans="2:12" ht="31" x14ac:dyDescent="0.35">
      <c r="B294" s="25" t="s">
        <v>85</v>
      </c>
      <c r="C294" s="3" t="s">
        <v>32</v>
      </c>
      <c r="D294" s="46">
        <v>1</v>
      </c>
      <c r="E294" s="10"/>
      <c r="F294" s="4"/>
      <c r="G294" s="4"/>
      <c r="H294" s="4"/>
      <c r="I294" s="4"/>
      <c r="J294" s="4"/>
      <c r="K294" s="5"/>
    </row>
    <row r="295" spans="2:12" x14ac:dyDescent="0.35">
      <c r="B295" s="17" t="s">
        <v>137</v>
      </c>
      <c r="C295" s="3" t="s">
        <v>32</v>
      </c>
      <c r="D295" s="46">
        <v>1</v>
      </c>
      <c r="E295" s="10"/>
      <c r="F295" s="4"/>
      <c r="G295" s="4"/>
      <c r="H295" s="4"/>
      <c r="I295" s="4"/>
      <c r="J295" s="4"/>
      <c r="K295" s="5"/>
    </row>
    <row r="296" spans="2:12" ht="31" x14ac:dyDescent="0.35">
      <c r="B296" s="25" t="s">
        <v>142</v>
      </c>
      <c r="C296" s="3" t="s">
        <v>112</v>
      </c>
      <c r="D296" s="46">
        <v>1</v>
      </c>
      <c r="E296" s="10"/>
      <c r="F296" s="4"/>
      <c r="G296" s="4"/>
      <c r="H296" s="4"/>
      <c r="I296" s="4"/>
      <c r="J296" s="4"/>
      <c r="K296" s="5"/>
    </row>
    <row r="297" spans="2:12" x14ac:dyDescent="0.35">
      <c r="B297" s="17" t="s">
        <v>141</v>
      </c>
      <c r="C297" s="3" t="s">
        <v>112</v>
      </c>
      <c r="D297" s="46">
        <v>1</v>
      </c>
      <c r="E297" s="10"/>
      <c r="F297" s="4"/>
      <c r="G297" s="4"/>
      <c r="H297" s="4"/>
      <c r="I297" s="4"/>
      <c r="J297" s="4"/>
      <c r="K297" s="5"/>
    </row>
    <row r="298" spans="2:12" ht="77.5" x14ac:dyDescent="0.35">
      <c r="B298" s="41" t="s">
        <v>90</v>
      </c>
      <c r="C298" s="3" t="s">
        <v>25</v>
      </c>
      <c r="D298" s="46">
        <f>((0.95+0.03+0.82)*3.14*2.4)+16.77+3.71+1.27+3.4</f>
        <v>38.714799999999997</v>
      </c>
      <c r="E298" s="10"/>
      <c r="F298" s="4"/>
      <c r="G298" s="4"/>
      <c r="H298" s="4"/>
      <c r="I298" s="4"/>
      <c r="J298" s="4"/>
      <c r="K298" s="5"/>
      <c r="L298" s="42" t="s">
        <v>89</v>
      </c>
    </row>
    <row r="299" spans="2:12" x14ac:dyDescent="0.35">
      <c r="B299" s="48" t="s">
        <v>138</v>
      </c>
      <c r="C299" s="3" t="s">
        <v>32</v>
      </c>
      <c r="D299" s="47">
        <v>1</v>
      </c>
      <c r="E299" s="44"/>
      <c r="F299" s="45"/>
      <c r="G299" s="45"/>
      <c r="H299" s="45"/>
      <c r="I299" s="45"/>
      <c r="J299" s="45"/>
      <c r="K299" s="5"/>
    </row>
    <row r="300" spans="2:12" x14ac:dyDescent="0.35">
      <c r="B300" s="17" t="s">
        <v>139</v>
      </c>
      <c r="C300" s="3" t="s">
        <v>31</v>
      </c>
      <c r="D300" s="47">
        <v>32.4</v>
      </c>
      <c r="E300" s="44"/>
      <c r="F300" s="45"/>
      <c r="G300" s="45"/>
      <c r="H300" s="45"/>
      <c r="I300" s="45"/>
      <c r="J300" s="45"/>
      <c r="K300" s="5"/>
    </row>
    <row r="301" spans="2:12" x14ac:dyDescent="0.35">
      <c r="B301" s="25" t="s">
        <v>93</v>
      </c>
      <c r="C301" s="3" t="s">
        <v>32</v>
      </c>
      <c r="D301" s="47">
        <v>1</v>
      </c>
      <c r="E301" s="44"/>
      <c r="F301" s="45"/>
      <c r="G301" s="45"/>
      <c r="H301" s="45"/>
      <c r="I301" s="45"/>
      <c r="J301" s="45"/>
      <c r="K301" s="5"/>
      <c r="L301" s="11"/>
    </row>
    <row r="302" spans="2:12" x14ac:dyDescent="0.35">
      <c r="B302" s="17" t="s">
        <v>94</v>
      </c>
      <c r="C302" s="3" t="s">
        <v>31</v>
      </c>
      <c r="D302" s="46">
        <v>0.8</v>
      </c>
      <c r="E302" s="44"/>
      <c r="F302" s="45"/>
      <c r="G302" s="45"/>
      <c r="H302" s="45"/>
      <c r="I302" s="45"/>
      <c r="J302" s="45"/>
      <c r="K302" s="5"/>
    </row>
    <row r="303" spans="2:12" x14ac:dyDescent="0.35">
      <c r="B303" s="25" t="s">
        <v>95</v>
      </c>
      <c r="C303" s="3" t="s">
        <v>32</v>
      </c>
      <c r="D303" s="47">
        <v>3</v>
      </c>
      <c r="E303" s="44"/>
      <c r="F303" s="45"/>
      <c r="G303" s="45"/>
      <c r="H303" s="45"/>
      <c r="I303" s="45"/>
      <c r="J303" s="45"/>
      <c r="K303" s="5"/>
    </row>
    <row r="304" spans="2:12" ht="33" x14ac:dyDescent="0.35">
      <c r="B304" s="25" t="s">
        <v>96</v>
      </c>
      <c r="C304" s="3" t="s">
        <v>26</v>
      </c>
      <c r="D304" s="46">
        <f>D279+D280-(0.57+0.59+13.11+0.4)</f>
        <v>321.51299999999998</v>
      </c>
      <c r="E304" s="44"/>
      <c r="F304" s="45"/>
      <c r="G304" s="45"/>
      <c r="H304" s="45"/>
      <c r="I304" s="45"/>
      <c r="J304" s="45"/>
      <c r="K304" s="5"/>
    </row>
    <row r="305" spans="2:12" x14ac:dyDescent="0.35">
      <c r="B305" s="43" t="s">
        <v>140</v>
      </c>
      <c r="C305" s="3" t="s">
        <v>32</v>
      </c>
      <c r="D305" s="46">
        <v>1</v>
      </c>
      <c r="E305" s="10"/>
      <c r="F305" s="4"/>
      <c r="G305" s="4"/>
      <c r="H305" s="4"/>
      <c r="I305" s="4"/>
      <c r="J305" s="4"/>
      <c r="K305" s="5"/>
    </row>
    <row r="306" spans="2:12" x14ac:dyDescent="0.35">
      <c r="B306" s="48" t="s">
        <v>33</v>
      </c>
      <c r="C306" s="3" t="s">
        <v>26</v>
      </c>
      <c r="D306" s="46">
        <v>161</v>
      </c>
      <c r="E306" s="10"/>
      <c r="F306" s="4"/>
      <c r="G306" s="4"/>
      <c r="H306" s="4"/>
      <c r="I306" s="4"/>
      <c r="J306" s="4"/>
      <c r="K306" s="5"/>
    </row>
    <row r="307" spans="2:12" x14ac:dyDescent="0.35">
      <c r="B307" s="48" t="s">
        <v>19</v>
      </c>
      <c r="C307" s="3" t="s">
        <v>26</v>
      </c>
      <c r="D307" s="46">
        <v>1.1299999999999999</v>
      </c>
      <c r="E307" s="10"/>
      <c r="F307" s="4"/>
      <c r="G307" s="4"/>
      <c r="H307" s="4"/>
      <c r="I307" s="4"/>
      <c r="J307" s="4"/>
      <c r="K307" s="5"/>
    </row>
    <row r="308" spans="2:12" x14ac:dyDescent="0.35">
      <c r="B308" s="48" t="s">
        <v>67</v>
      </c>
      <c r="C308" s="3" t="s">
        <v>25</v>
      </c>
      <c r="D308" s="46">
        <v>5.72</v>
      </c>
      <c r="E308" s="10"/>
      <c r="F308" s="4"/>
      <c r="G308" s="4"/>
      <c r="H308" s="4"/>
      <c r="I308" s="4"/>
      <c r="J308" s="4"/>
      <c r="K308" s="5"/>
    </row>
    <row r="309" spans="2:12" x14ac:dyDescent="0.35">
      <c r="B309" s="48" t="s">
        <v>68</v>
      </c>
      <c r="C309" s="3" t="s">
        <v>26</v>
      </c>
      <c r="D309" s="46">
        <v>0.56999999999999995</v>
      </c>
      <c r="E309" s="10"/>
      <c r="F309" s="4"/>
      <c r="G309" s="4"/>
      <c r="H309" s="4"/>
      <c r="I309" s="4"/>
      <c r="J309" s="4"/>
      <c r="K309" s="5"/>
    </row>
    <row r="310" spans="2:12" ht="46.5" x14ac:dyDescent="0.35">
      <c r="B310" s="48" t="s">
        <v>70</v>
      </c>
      <c r="C310" s="3" t="s">
        <v>25</v>
      </c>
      <c r="D310" s="46">
        <v>4.91</v>
      </c>
      <c r="E310" s="10"/>
      <c r="F310" s="4"/>
      <c r="G310" s="4"/>
      <c r="H310" s="4"/>
      <c r="I310" s="4"/>
      <c r="J310" s="4"/>
      <c r="K310" s="5"/>
    </row>
    <row r="311" spans="2:12" ht="31" x14ac:dyDescent="0.35">
      <c r="B311" s="48" t="s">
        <v>69</v>
      </c>
      <c r="C311" s="3" t="s">
        <v>32</v>
      </c>
      <c r="D311" s="46">
        <v>1</v>
      </c>
      <c r="E311" s="10"/>
      <c r="F311" s="4"/>
      <c r="G311" s="4"/>
      <c r="H311" s="4"/>
      <c r="I311" s="4"/>
      <c r="J311" s="4"/>
      <c r="K311" s="5"/>
    </row>
    <row r="312" spans="2:12" x14ac:dyDescent="0.35">
      <c r="B312" s="17" t="s">
        <v>71</v>
      </c>
      <c r="C312" s="3" t="s">
        <v>32</v>
      </c>
      <c r="D312" s="46">
        <v>1</v>
      </c>
      <c r="E312" s="10"/>
      <c r="F312" s="4"/>
      <c r="G312" s="4"/>
      <c r="H312" s="4"/>
      <c r="I312" s="4"/>
      <c r="J312" s="4"/>
      <c r="K312" s="5"/>
    </row>
    <row r="313" spans="2:12" x14ac:dyDescent="0.35">
      <c r="B313" s="17" t="s">
        <v>101</v>
      </c>
      <c r="C313" s="3" t="s">
        <v>26</v>
      </c>
      <c r="D313" s="46">
        <f>0.05*1.02</f>
        <v>5.1000000000000004E-2</v>
      </c>
      <c r="E313" s="10"/>
      <c r="F313" s="4"/>
      <c r="G313" s="4"/>
      <c r="H313" s="4"/>
      <c r="I313" s="4"/>
      <c r="J313" s="4"/>
      <c r="K313" s="5"/>
    </row>
    <row r="314" spans="2:12" ht="46.5" x14ac:dyDescent="0.35">
      <c r="B314" s="25" t="s">
        <v>74</v>
      </c>
      <c r="C314" s="3" t="s">
        <v>26</v>
      </c>
      <c r="D314" s="37">
        <v>1.2</v>
      </c>
      <c r="E314" s="10"/>
      <c r="F314" s="4"/>
      <c r="G314" s="4"/>
      <c r="H314" s="4"/>
      <c r="I314" s="4"/>
      <c r="J314" s="4"/>
      <c r="K314" s="5"/>
      <c r="L314" s="38" t="s">
        <v>73</v>
      </c>
    </row>
    <row r="315" spans="2:12" x14ac:dyDescent="0.35">
      <c r="B315" s="17" t="s">
        <v>75</v>
      </c>
      <c r="C315" s="3" t="s">
        <v>26</v>
      </c>
      <c r="D315" s="37">
        <f>D314*1.02</f>
        <v>1.224</v>
      </c>
      <c r="E315" s="10"/>
      <c r="F315" s="4"/>
      <c r="G315" s="4"/>
      <c r="H315" s="4"/>
      <c r="I315" s="4"/>
      <c r="J315" s="4"/>
      <c r="K315" s="5"/>
      <c r="L315" s="38"/>
    </row>
    <row r="316" spans="2:12" ht="31" x14ac:dyDescent="0.35">
      <c r="B316" s="25" t="s">
        <v>78</v>
      </c>
      <c r="C316" s="3" t="s">
        <v>32</v>
      </c>
      <c r="D316" s="46">
        <f>SUM(D317:D319)</f>
        <v>4</v>
      </c>
      <c r="E316" s="10"/>
      <c r="F316" s="4"/>
      <c r="G316" s="4"/>
      <c r="H316" s="4"/>
      <c r="I316" s="4"/>
      <c r="J316" s="4"/>
      <c r="K316" s="5"/>
    </row>
    <row r="317" spans="2:12" x14ac:dyDescent="0.35">
      <c r="B317" s="17" t="s">
        <v>76</v>
      </c>
      <c r="C317" s="3" t="s">
        <v>32</v>
      </c>
      <c r="D317" s="46">
        <v>2</v>
      </c>
      <c r="E317" s="10"/>
      <c r="F317" s="4"/>
      <c r="G317" s="4"/>
      <c r="H317" s="4"/>
      <c r="I317" s="4"/>
      <c r="J317" s="4"/>
      <c r="K317" s="5"/>
    </row>
    <row r="318" spans="2:12" x14ac:dyDescent="0.35">
      <c r="B318" s="40" t="s">
        <v>81</v>
      </c>
      <c r="C318" s="3" t="s">
        <v>32</v>
      </c>
      <c r="D318" s="37">
        <v>1</v>
      </c>
      <c r="E318" s="10"/>
      <c r="F318" s="4"/>
      <c r="G318" s="4"/>
      <c r="H318" s="4"/>
      <c r="I318" s="4"/>
      <c r="J318" s="4"/>
      <c r="K318" s="5"/>
      <c r="L318" s="38" t="s">
        <v>83</v>
      </c>
    </row>
    <row r="319" spans="2:12" x14ac:dyDescent="0.35">
      <c r="B319" s="40" t="s">
        <v>98</v>
      </c>
      <c r="C319" s="3" t="s">
        <v>32</v>
      </c>
      <c r="D319" s="37">
        <v>1</v>
      </c>
      <c r="E319" s="10"/>
      <c r="F319" s="4"/>
      <c r="G319" s="4"/>
      <c r="H319" s="4"/>
      <c r="I319" s="4"/>
      <c r="J319" s="4"/>
      <c r="K319" s="5"/>
      <c r="L319" s="38" t="s">
        <v>83</v>
      </c>
    </row>
    <row r="320" spans="2:12" ht="31" x14ac:dyDescent="0.35">
      <c r="B320" s="25" t="s">
        <v>85</v>
      </c>
      <c r="C320" s="3" t="s">
        <v>32</v>
      </c>
      <c r="D320" s="46">
        <v>1</v>
      </c>
      <c r="E320" s="10"/>
      <c r="F320" s="4"/>
      <c r="G320" s="4"/>
      <c r="H320" s="4"/>
      <c r="I320" s="4"/>
      <c r="J320" s="4"/>
      <c r="K320" s="5"/>
    </row>
    <row r="321" spans="2:12" x14ac:dyDescent="0.35">
      <c r="B321" s="17" t="s">
        <v>137</v>
      </c>
      <c r="C321" s="3" t="s">
        <v>32</v>
      </c>
      <c r="D321" s="46">
        <v>1</v>
      </c>
      <c r="E321" s="10"/>
      <c r="F321" s="4"/>
      <c r="G321" s="4"/>
      <c r="H321" s="4"/>
      <c r="I321" s="4"/>
      <c r="J321" s="4"/>
      <c r="K321" s="5"/>
    </row>
    <row r="322" spans="2:12" ht="31" x14ac:dyDescent="0.35">
      <c r="B322" s="25" t="s">
        <v>142</v>
      </c>
      <c r="C322" s="3" t="s">
        <v>112</v>
      </c>
      <c r="D322" s="46">
        <v>1</v>
      </c>
      <c r="E322" s="10"/>
      <c r="F322" s="4"/>
      <c r="G322" s="4"/>
      <c r="H322" s="4"/>
      <c r="I322" s="4"/>
      <c r="J322" s="4"/>
      <c r="K322" s="5"/>
    </row>
    <row r="323" spans="2:12" x14ac:dyDescent="0.35">
      <c r="B323" s="17" t="s">
        <v>141</v>
      </c>
      <c r="C323" s="3" t="s">
        <v>112</v>
      </c>
      <c r="D323" s="46">
        <v>1</v>
      </c>
      <c r="E323" s="10"/>
      <c r="F323" s="4"/>
      <c r="G323" s="4"/>
      <c r="H323" s="4"/>
      <c r="I323" s="4"/>
      <c r="J323" s="4"/>
      <c r="K323" s="5"/>
    </row>
    <row r="324" spans="2:12" ht="77.5" x14ac:dyDescent="0.35">
      <c r="B324" s="41" t="s">
        <v>90</v>
      </c>
      <c r="C324" s="3" t="s">
        <v>25</v>
      </c>
      <c r="D324" s="46">
        <f>((0.95+0.03+0.82)*3.14*2.4)+11.18+1.27+3.4</f>
        <v>29.414799999999996</v>
      </c>
      <c r="E324" s="10"/>
      <c r="F324" s="4"/>
      <c r="G324" s="4"/>
      <c r="H324" s="4"/>
      <c r="I324" s="4"/>
      <c r="J324" s="4"/>
      <c r="K324" s="5"/>
      <c r="L324" s="42" t="s">
        <v>89</v>
      </c>
    </row>
    <row r="325" spans="2:12" x14ac:dyDescent="0.35">
      <c r="B325" s="48" t="s">
        <v>143</v>
      </c>
      <c r="C325" s="3" t="s">
        <v>32</v>
      </c>
      <c r="D325" s="47">
        <v>1</v>
      </c>
      <c r="E325" s="44"/>
      <c r="F325" s="45"/>
      <c r="G325" s="45"/>
      <c r="H325" s="45"/>
      <c r="I325" s="45"/>
      <c r="J325" s="45"/>
      <c r="K325" s="5"/>
    </row>
    <row r="326" spans="2:12" x14ac:dyDescent="0.35">
      <c r="B326" s="17" t="s">
        <v>144</v>
      </c>
      <c r="C326" s="3" t="s">
        <v>31</v>
      </c>
      <c r="D326" s="47">
        <v>16.2</v>
      </c>
      <c r="E326" s="44"/>
      <c r="F326" s="45"/>
      <c r="G326" s="45"/>
      <c r="H326" s="45"/>
      <c r="I326" s="45"/>
      <c r="J326" s="45"/>
      <c r="K326" s="5"/>
    </row>
    <row r="327" spans="2:12" x14ac:dyDescent="0.35">
      <c r="B327" s="25" t="s">
        <v>93</v>
      </c>
      <c r="C327" s="3" t="s">
        <v>32</v>
      </c>
      <c r="D327" s="47">
        <v>1</v>
      </c>
      <c r="E327" s="44"/>
      <c r="F327" s="45"/>
      <c r="G327" s="45"/>
      <c r="H327" s="45"/>
      <c r="I327" s="45"/>
      <c r="J327" s="45"/>
      <c r="K327" s="5"/>
      <c r="L327" s="11"/>
    </row>
    <row r="328" spans="2:12" x14ac:dyDescent="0.35">
      <c r="B328" s="17" t="s">
        <v>94</v>
      </c>
      <c r="C328" s="3" t="s">
        <v>31</v>
      </c>
      <c r="D328" s="46">
        <v>0.8</v>
      </c>
      <c r="E328" s="44"/>
      <c r="F328" s="45"/>
      <c r="G328" s="45"/>
      <c r="H328" s="45"/>
      <c r="I328" s="45"/>
      <c r="J328" s="45"/>
      <c r="K328" s="5"/>
    </row>
    <row r="329" spans="2:12" x14ac:dyDescent="0.35">
      <c r="B329" s="25" t="s">
        <v>95</v>
      </c>
      <c r="C329" s="3" t="s">
        <v>32</v>
      </c>
      <c r="D329" s="47">
        <v>3</v>
      </c>
      <c r="E329" s="44"/>
      <c r="F329" s="45"/>
      <c r="G329" s="45"/>
      <c r="H329" s="45"/>
      <c r="I329" s="45"/>
      <c r="J329" s="45"/>
      <c r="K329" s="5"/>
    </row>
    <row r="330" spans="2:12" ht="33" x14ac:dyDescent="0.35">
      <c r="B330" s="25" t="s">
        <v>96</v>
      </c>
      <c r="C330" s="3" t="s">
        <v>26</v>
      </c>
      <c r="D330" s="46">
        <f>D306+D307-(0.57+0.59+7.4+0.32)</f>
        <v>153.25</v>
      </c>
      <c r="E330" s="44"/>
      <c r="F330" s="45"/>
      <c r="G330" s="45"/>
      <c r="H330" s="45"/>
      <c r="I330" s="45"/>
      <c r="J330" s="45"/>
      <c r="K330" s="5"/>
    </row>
    <row r="331" spans="2:12" x14ac:dyDescent="0.35">
      <c r="B331" s="43" t="s">
        <v>145</v>
      </c>
      <c r="C331" s="3" t="s">
        <v>32</v>
      </c>
      <c r="D331" s="46">
        <v>1</v>
      </c>
      <c r="E331" s="10"/>
      <c r="F331" s="4"/>
      <c r="G331" s="4"/>
      <c r="H331" s="4"/>
      <c r="I331" s="4"/>
      <c r="J331" s="4"/>
      <c r="K331" s="5"/>
    </row>
    <row r="332" spans="2:12" x14ac:dyDescent="0.35">
      <c r="B332" s="48" t="s">
        <v>33</v>
      </c>
      <c r="C332" s="3" t="s">
        <v>26</v>
      </c>
      <c r="D332" s="46">
        <v>118.81</v>
      </c>
      <c r="E332" s="10"/>
      <c r="F332" s="4"/>
      <c r="G332" s="4"/>
      <c r="H332" s="4"/>
      <c r="I332" s="4"/>
      <c r="J332" s="4"/>
      <c r="K332" s="5"/>
    </row>
    <row r="333" spans="2:12" x14ac:dyDescent="0.35">
      <c r="B333" s="48" t="s">
        <v>19</v>
      </c>
      <c r="C333" s="3" t="s">
        <v>26</v>
      </c>
      <c r="D333" s="46">
        <v>0.85</v>
      </c>
      <c r="E333" s="10"/>
      <c r="F333" s="4"/>
      <c r="G333" s="4"/>
      <c r="H333" s="4"/>
      <c r="I333" s="4"/>
      <c r="J333" s="4"/>
      <c r="K333" s="5"/>
    </row>
    <row r="334" spans="2:12" x14ac:dyDescent="0.35">
      <c r="B334" s="48" t="s">
        <v>67</v>
      </c>
      <c r="C334" s="3" t="s">
        <v>25</v>
      </c>
      <c r="D334" s="46">
        <v>3.8</v>
      </c>
      <c r="E334" s="10"/>
      <c r="F334" s="4"/>
      <c r="G334" s="4"/>
      <c r="H334" s="4"/>
      <c r="I334" s="4"/>
      <c r="J334" s="4"/>
      <c r="K334" s="5"/>
    </row>
    <row r="335" spans="2:12" x14ac:dyDescent="0.35">
      <c r="B335" s="48" t="s">
        <v>68</v>
      </c>
      <c r="C335" s="3" t="s">
        <v>26</v>
      </c>
      <c r="D335" s="46">
        <v>0.38</v>
      </c>
      <c r="E335" s="10"/>
      <c r="F335" s="4"/>
      <c r="G335" s="4"/>
      <c r="H335" s="4"/>
      <c r="I335" s="4"/>
      <c r="J335" s="4"/>
      <c r="K335" s="5"/>
    </row>
    <row r="336" spans="2:12" ht="46.5" x14ac:dyDescent="0.35">
      <c r="B336" s="48" t="s">
        <v>70</v>
      </c>
      <c r="C336" s="3" t="s">
        <v>25</v>
      </c>
      <c r="D336" s="46">
        <v>3.14</v>
      </c>
      <c r="E336" s="10"/>
      <c r="F336" s="4"/>
      <c r="G336" s="4"/>
      <c r="H336" s="4"/>
      <c r="I336" s="4"/>
      <c r="J336" s="4"/>
      <c r="K336" s="5"/>
    </row>
    <row r="337" spans="2:12" ht="31" x14ac:dyDescent="0.35">
      <c r="B337" s="48" t="s">
        <v>107</v>
      </c>
      <c r="C337" s="3" t="s">
        <v>32</v>
      </c>
      <c r="D337" s="46">
        <v>1</v>
      </c>
      <c r="E337" s="10"/>
      <c r="F337" s="4"/>
      <c r="G337" s="4"/>
      <c r="H337" s="4"/>
      <c r="I337" s="4"/>
      <c r="J337" s="4"/>
      <c r="K337" s="5"/>
    </row>
    <row r="338" spans="2:12" x14ac:dyDescent="0.35">
      <c r="B338" s="17" t="s">
        <v>108</v>
      </c>
      <c r="C338" s="3" t="s">
        <v>32</v>
      </c>
      <c r="D338" s="46">
        <v>1</v>
      </c>
      <c r="E338" s="10"/>
      <c r="F338" s="4"/>
      <c r="G338" s="4"/>
      <c r="H338" s="4"/>
      <c r="I338" s="4"/>
      <c r="J338" s="4"/>
      <c r="K338" s="5"/>
    </row>
    <row r="339" spans="2:12" x14ac:dyDescent="0.35">
      <c r="B339" s="17" t="s">
        <v>101</v>
      </c>
      <c r="C339" s="3" t="s">
        <v>26</v>
      </c>
      <c r="D339" s="46">
        <f>0.03*1.02</f>
        <v>3.0599999999999999E-2</v>
      </c>
      <c r="E339" s="10"/>
      <c r="F339" s="4"/>
      <c r="G339" s="4"/>
      <c r="H339" s="4"/>
      <c r="I339" s="4"/>
      <c r="J339" s="4"/>
      <c r="K339" s="5"/>
    </row>
    <row r="340" spans="2:12" ht="46.5" x14ac:dyDescent="0.35">
      <c r="B340" s="25" t="s">
        <v>74</v>
      </c>
      <c r="C340" s="3" t="s">
        <v>26</v>
      </c>
      <c r="D340" s="37">
        <v>1.2</v>
      </c>
      <c r="E340" s="10"/>
      <c r="F340" s="4"/>
      <c r="G340" s="4"/>
      <c r="H340" s="4"/>
      <c r="I340" s="4"/>
      <c r="J340" s="4"/>
      <c r="K340" s="5"/>
      <c r="L340" s="38" t="s">
        <v>73</v>
      </c>
    </row>
    <row r="341" spans="2:12" x14ac:dyDescent="0.35">
      <c r="B341" s="17" t="s">
        <v>75</v>
      </c>
      <c r="C341" s="3" t="s">
        <v>26</v>
      </c>
      <c r="D341" s="37">
        <f>D340*1.02</f>
        <v>1.224</v>
      </c>
      <c r="E341" s="10"/>
      <c r="F341" s="4"/>
      <c r="G341" s="4"/>
      <c r="H341" s="4"/>
      <c r="I341" s="4"/>
      <c r="J341" s="4"/>
      <c r="K341" s="5"/>
      <c r="L341" s="38"/>
    </row>
    <row r="342" spans="2:12" ht="31" x14ac:dyDescent="0.35">
      <c r="B342" s="25" t="s">
        <v>78</v>
      </c>
      <c r="C342" s="3" t="s">
        <v>32</v>
      </c>
      <c r="D342" s="46">
        <f>SUM(D343:D344)</f>
        <v>4</v>
      </c>
      <c r="E342" s="10"/>
      <c r="F342" s="4"/>
      <c r="G342" s="4"/>
      <c r="H342" s="4"/>
      <c r="I342" s="4"/>
      <c r="J342" s="4"/>
      <c r="K342" s="5"/>
    </row>
    <row r="343" spans="2:12" x14ac:dyDescent="0.35">
      <c r="B343" s="17" t="s">
        <v>109</v>
      </c>
      <c r="C343" s="3" t="s">
        <v>32</v>
      </c>
      <c r="D343" s="46">
        <v>2</v>
      </c>
      <c r="E343" s="10"/>
      <c r="F343" s="4"/>
      <c r="G343" s="4"/>
      <c r="H343" s="4"/>
      <c r="I343" s="4"/>
      <c r="J343" s="4"/>
      <c r="K343" s="5"/>
    </row>
    <row r="344" spans="2:12" x14ac:dyDescent="0.35">
      <c r="B344" s="40" t="s">
        <v>98</v>
      </c>
      <c r="C344" s="3" t="s">
        <v>32</v>
      </c>
      <c r="D344" s="37">
        <v>2</v>
      </c>
      <c r="E344" s="10"/>
      <c r="F344" s="4"/>
      <c r="G344" s="4"/>
      <c r="H344" s="4"/>
      <c r="I344" s="4"/>
      <c r="J344" s="4"/>
      <c r="K344" s="5"/>
      <c r="L344" s="38" t="s">
        <v>83</v>
      </c>
    </row>
    <row r="345" spans="2:12" ht="31" x14ac:dyDescent="0.35">
      <c r="B345" s="25" t="s">
        <v>85</v>
      </c>
      <c r="C345" s="3" t="s">
        <v>32</v>
      </c>
      <c r="D345" s="46">
        <v>1</v>
      </c>
      <c r="E345" s="10"/>
      <c r="F345" s="4"/>
      <c r="G345" s="4"/>
      <c r="H345" s="4"/>
      <c r="I345" s="4"/>
      <c r="J345" s="4"/>
      <c r="K345" s="5"/>
    </row>
    <row r="346" spans="2:12" x14ac:dyDescent="0.35">
      <c r="B346" s="17" t="s">
        <v>111</v>
      </c>
      <c r="C346" s="3" t="s">
        <v>32</v>
      </c>
      <c r="D346" s="46">
        <v>1</v>
      </c>
      <c r="E346" s="10"/>
      <c r="F346" s="4"/>
      <c r="G346" s="4"/>
      <c r="H346" s="4"/>
      <c r="I346" s="4"/>
      <c r="J346" s="4"/>
      <c r="K346" s="5"/>
    </row>
    <row r="347" spans="2:12" ht="31" x14ac:dyDescent="0.35">
      <c r="B347" s="25" t="s">
        <v>142</v>
      </c>
      <c r="C347" s="3" t="s">
        <v>112</v>
      </c>
      <c r="D347" s="46">
        <v>1</v>
      </c>
      <c r="E347" s="10"/>
      <c r="F347" s="4"/>
      <c r="G347" s="4"/>
      <c r="H347" s="4"/>
      <c r="I347" s="4"/>
      <c r="J347" s="4"/>
      <c r="K347" s="5"/>
    </row>
    <row r="348" spans="2:12" x14ac:dyDescent="0.35">
      <c r="B348" s="17" t="s">
        <v>141</v>
      </c>
      <c r="C348" s="3" t="s">
        <v>112</v>
      </c>
      <c r="D348" s="46">
        <v>1</v>
      </c>
      <c r="E348" s="10"/>
      <c r="F348" s="4"/>
      <c r="G348" s="4"/>
      <c r="H348" s="4"/>
      <c r="I348" s="4"/>
      <c r="J348" s="4"/>
      <c r="K348" s="5"/>
    </row>
    <row r="349" spans="2:12" ht="77.5" x14ac:dyDescent="0.35">
      <c r="B349" s="41" t="s">
        <v>90</v>
      </c>
      <c r="C349" s="3" t="s">
        <v>25</v>
      </c>
      <c r="D349" s="46">
        <f>((0.95+0.03+0.082)*3.14*1.9)+8.38+0.64+2.78+(1.615*0.12*4)+(1.615*1.615)</f>
        <v>21.519317000000004</v>
      </c>
      <c r="E349" s="10"/>
      <c r="F349" s="4"/>
      <c r="G349" s="4"/>
      <c r="H349" s="4"/>
      <c r="I349" s="4"/>
      <c r="J349" s="4"/>
      <c r="K349" s="5"/>
      <c r="L349" s="42" t="s">
        <v>89</v>
      </c>
    </row>
    <row r="350" spans="2:12" x14ac:dyDescent="0.35">
      <c r="B350" s="48" t="s">
        <v>143</v>
      </c>
      <c r="C350" s="3" t="s">
        <v>32</v>
      </c>
      <c r="D350" s="47">
        <v>1</v>
      </c>
      <c r="E350" s="44"/>
      <c r="F350" s="45"/>
      <c r="G350" s="45"/>
      <c r="H350" s="45"/>
      <c r="I350" s="45"/>
      <c r="J350" s="45"/>
      <c r="K350" s="5"/>
    </row>
    <row r="351" spans="2:12" x14ac:dyDescent="0.35">
      <c r="B351" s="17" t="s">
        <v>144</v>
      </c>
      <c r="C351" s="3" t="s">
        <v>31</v>
      </c>
      <c r="D351" s="47">
        <v>16.2</v>
      </c>
      <c r="E351" s="44"/>
      <c r="F351" s="45"/>
      <c r="G351" s="45"/>
      <c r="H351" s="45"/>
      <c r="I351" s="45"/>
      <c r="J351" s="45"/>
      <c r="K351" s="5"/>
    </row>
    <row r="352" spans="2:12" x14ac:dyDescent="0.35">
      <c r="B352" s="25" t="s">
        <v>95</v>
      </c>
      <c r="C352" s="3" t="s">
        <v>32</v>
      </c>
      <c r="D352" s="47">
        <v>2</v>
      </c>
      <c r="E352" s="44"/>
      <c r="F352" s="45"/>
      <c r="G352" s="45"/>
      <c r="H352" s="45"/>
      <c r="I352" s="45"/>
      <c r="J352" s="45"/>
      <c r="K352" s="5"/>
    </row>
    <row r="353" spans="2:11" ht="33" x14ac:dyDescent="0.35">
      <c r="B353" s="25" t="s">
        <v>96</v>
      </c>
      <c r="C353" s="3" t="s">
        <v>26</v>
      </c>
      <c r="D353" s="46">
        <f>D332+D333-(0.38+0.38+4.3+0.28)</f>
        <v>114.32</v>
      </c>
      <c r="E353" s="44"/>
      <c r="F353" s="45"/>
      <c r="G353" s="45"/>
      <c r="H353" s="45"/>
      <c r="I353" s="45"/>
      <c r="J353" s="45"/>
      <c r="K353" s="5"/>
    </row>
  </sheetData>
  <autoFilter ref="A10:Q330" xr:uid="{00000000-0001-0000-0000-000000000000}"/>
  <mergeCells count="11">
    <mergeCell ref="A6:N6"/>
    <mergeCell ref="A5:N5"/>
    <mergeCell ref="H7:J7"/>
    <mergeCell ref="K7:K9"/>
    <mergeCell ref="E8:G8"/>
    <mergeCell ref="H8:J8"/>
    <mergeCell ref="A7:A9"/>
    <mergeCell ref="B7:B9"/>
    <mergeCell ref="C7:C9"/>
    <mergeCell ref="D7:D9"/>
    <mergeCell ref="E7:G7"/>
  </mergeCells>
  <phoneticPr fontId="1" type="noConversion"/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A1618-B985-410D-A134-3D628BFE448A}">
  <dimension ref="C8:F36"/>
  <sheetViews>
    <sheetView workbookViewId="0">
      <selection activeCell="K23" sqref="K23"/>
    </sheetView>
  </sheetViews>
  <sheetFormatPr defaultRowHeight="14.5" x14ac:dyDescent="0.35"/>
  <cols>
    <col min="3" max="3" width="14.90625" customWidth="1"/>
  </cols>
  <sheetData>
    <row r="8" spans="3:6" x14ac:dyDescent="0.35">
      <c r="C8" t="s">
        <v>21</v>
      </c>
      <c r="D8" t="s">
        <v>15</v>
      </c>
      <c r="E8" t="s">
        <v>22</v>
      </c>
      <c r="F8" t="s">
        <v>23</v>
      </c>
    </row>
    <row r="9" spans="3:6" x14ac:dyDescent="0.35">
      <c r="C9">
        <v>5.6</v>
      </c>
      <c r="D9">
        <f>C9*E9</f>
        <v>9.5200000000000007E-2</v>
      </c>
      <c r="E9">
        <v>1.7000000000000001E-2</v>
      </c>
      <c r="F9">
        <f>SQRT(((C9*C9)+(D9*D9)))</f>
        <v>5.6008091415437464</v>
      </c>
    </row>
    <row r="10" spans="3:6" x14ac:dyDescent="0.35">
      <c r="D10">
        <f t="shared" ref="D10:D36" si="0">C10*E10</f>
        <v>0</v>
      </c>
      <c r="F10">
        <f t="shared" ref="F10:F36" si="1">SQRT(((C10*C10)+(D10*D10)))</f>
        <v>0</v>
      </c>
    </row>
    <row r="11" spans="3:6" x14ac:dyDescent="0.35">
      <c r="D11">
        <f t="shared" si="0"/>
        <v>0</v>
      </c>
      <c r="F11">
        <f t="shared" si="1"/>
        <v>0</v>
      </c>
    </row>
    <row r="12" spans="3:6" x14ac:dyDescent="0.35">
      <c r="D12">
        <f t="shared" si="0"/>
        <v>0</v>
      </c>
      <c r="F12">
        <f t="shared" si="1"/>
        <v>0</v>
      </c>
    </row>
    <row r="13" spans="3:6" x14ac:dyDescent="0.35">
      <c r="D13">
        <f t="shared" si="0"/>
        <v>0</v>
      </c>
      <c r="F13">
        <f t="shared" si="1"/>
        <v>0</v>
      </c>
    </row>
    <row r="14" spans="3:6" x14ac:dyDescent="0.35">
      <c r="D14">
        <f t="shared" si="0"/>
        <v>0</v>
      </c>
      <c r="F14">
        <f t="shared" si="1"/>
        <v>0</v>
      </c>
    </row>
    <row r="15" spans="3:6" x14ac:dyDescent="0.35">
      <c r="D15">
        <f t="shared" si="0"/>
        <v>0</v>
      </c>
      <c r="F15">
        <f t="shared" si="1"/>
        <v>0</v>
      </c>
    </row>
    <row r="16" spans="3:6" x14ac:dyDescent="0.35">
      <c r="D16">
        <f t="shared" si="0"/>
        <v>0</v>
      </c>
      <c r="F16">
        <f t="shared" si="1"/>
        <v>0</v>
      </c>
    </row>
    <row r="17" spans="4:6" x14ac:dyDescent="0.35">
      <c r="D17">
        <f t="shared" si="0"/>
        <v>0</v>
      </c>
      <c r="F17">
        <f t="shared" si="1"/>
        <v>0</v>
      </c>
    </row>
    <row r="18" spans="4:6" x14ac:dyDescent="0.35">
      <c r="D18">
        <f t="shared" si="0"/>
        <v>0</v>
      </c>
      <c r="F18">
        <f t="shared" si="1"/>
        <v>0</v>
      </c>
    </row>
    <row r="19" spans="4:6" x14ac:dyDescent="0.35">
      <c r="D19">
        <f t="shared" si="0"/>
        <v>0</v>
      </c>
      <c r="F19">
        <f t="shared" si="1"/>
        <v>0</v>
      </c>
    </row>
    <row r="20" spans="4:6" x14ac:dyDescent="0.35">
      <c r="D20">
        <f t="shared" si="0"/>
        <v>0</v>
      </c>
      <c r="F20">
        <f t="shared" si="1"/>
        <v>0</v>
      </c>
    </row>
    <row r="21" spans="4:6" x14ac:dyDescent="0.35">
      <c r="D21">
        <f t="shared" si="0"/>
        <v>0</v>
      </c>
      <c r="F21">
        <f t="shared" si="1"/>
        <v>0</v>
      </c>
    </row>
    <row r="22" spans="4:6" x14ac:dyDescent="0.35">
      <c r="D22">
        <f t="shared" si="0"/>
        <v>0</v>
      </c>
      <c r="F22">
        <f t="shared" si="1"/>
        <v>0</v>
      </c>
    </row>
    <row r="23" spans="4:6" x14ac:dyDescent="0.35">
      <c r="D23">
        <f t="shared" si="0"/>
        <v>0</v>
      </c>
      <c r="F23">
        <f t="shared" si="1"/>
        <v>0</v>
      </c>
    </row>
    <row r="24" spans="4:6" x14ac:dyDescent="0.35">
      <c r="D24">
        <f t="shared" si="0"/>
        <v>0</v>
      </c>
      <c r="F24">
        <f t="shared" si="1"/>
        <v>0</v>
      </c>
    </row>
    <row r="25" spans="4:6" x14ac:dyDescent="0.35">
      <c r="D25">
        <f t="shared" si="0"/>
        <v>0</v>
      </c>
      <c r="F25">
        <f t="shared" si="1"/>
        <v>0</v>
      </c>
    </row>
    <row r="26" spans="4:6" x14ac:dyDescent="0.35">
      <c r="D26">
        <f t="shared" si="0"/>
        <v>0</v>
      </c>
      <c r="F26">
        <f t="shared" si="1"/>
        <v>0</v>
      </c>
    </row>
    <row r="27" spans="4:6" x14ac:dyDescent="0.35">
      <c r="D27">
        <f t="shared" si="0"/>
        <v>0</v>
      </c>
      <c r="F27">
        <f t="shared" si="1"/>
        <v>0</v>
      </c>
    </row>
    <row r="28" spans="4:6" x14ac:dyDescent="0.35">
      <c r="D28">
        <f t="shared" si="0"/>
        <v>0</v>
      </c>
      <c r="F28">
        <f t="shared" si="1"/>
        <v>0</v>
      </c>
    </row>
    <row r="29" spans="4:6" x14ac:dyDescent="0.35">
      <c r="D29">
        <f t="shared" si="0"/>
        <v>0</v>
      </c>
      <c r="F29">
        <f t="shared" si="1"/>
        <v>0</v>
      </c>
    </row>
    <row r="30" spans="4:6" x14ac:dyDescent="0.35">
      <c r="D30">
        <f t="shared" si="0"/>
        <v>0</v>
      </c>
      <c r="F30">
        <f t="shared" si="1"/>
        <v>0</v>
      </c>
    </row>
    <row r="31" spans="4:6" x14ac:dyDescent="0.35">
      <c r="D31">
        <f t="shared" si="0"/>
        <v>0</v>
      </c>
      <c r="F31">
        <f t="shared" si="1"/>
        <v>0</v>
      </c>
    </row>
    <row r="32" spans="4:6" x14ac:dyDescent="0.35">
      <c r="D32">
        <f t="shared" si="0"/>
        <v>0</v>
      </c>
      <c r="F32">
        <f t="shared" si="1"/>
        <v>0</v>
      </c>
    </row>
    <row r="33" spans="4:6" x14ac:dyDescent="0.35">
      <c r="D33">
        <f t="shared" si="0"/>
        <v>0</v>
      </c>
      <c r="F33">
        <f t="shared" si="1"/>
        <v>0</v>
      </c>
    </row>
    <row r="34" spans="4:6" x14ac:dyDescent="0.35">
      <c r="D34">
        <f t="shared" si="0"/>
        <v>0</v>
      </c>
      <c r="F34">
        <f t="shared" si="1"/>
        <v>0</v>
      </c>
    </row>
    <row r="35" spans="4:6" x14ac:dyDescent="0.35">
      <c r="D35">
        <f t="shared" si="0"/>
        <v>0</v>
      </c>
      <c r="F35">
        <f t="shared" si="1"/>
        <v>0</v>
      </c>
    </row>
    <row r="36" spans="4:6" x14ac:dyDescent="0.35">
      <c r="D36">
        <f t="shared" si="0"/>
        <v>0</v>
      </c>
      <c r="F36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№1 ВОР  БЕЗ В1 и В2 (3)</vt:lpstr>
      <vt:lpstr>Ведомость материалов</vt:lpstr>
      <vt:lpstr>№1 ВОР </vt:lpstr>
      <vt:lpstr>Лист1</vt:lpstr>
      <vt:lpstr>'№1 ВОР '!Область_печати</vt:lpstr>
      <vt:lpstr>'№1 ВОР  БЕЗ В1 и В2 (3)'!Область_печати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2024-12-19T13:28:03Z</cp:lastPrinted>
  <dcterms:created xsi:type="dcterms:W3CDTF">2015-06-05T18:19:34Z</dcterms:created>
  <dcterms:modified xsi:type="dcterms:W3CDTF">2024-12-19T13:28:08Z</dcterms:modified>
</cp:coreProperties>
</file>