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ы\Наружные сети\Водопровод\"/>
    </mc:Choice>
  </mc:AlternateContent>
  <xr:revisionPtr revIDLastSave="0" documentId="13_ncr:1_{D2AC7101-C38C-4CFA-BED0-4FD65F3FB1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№1 ВОР  БЕЗ В1 и В2" sheetId="12" r:id="rId1"/>
    <sheet name="№1 ВОР " sheetId="8" state="hidden" r:id="rId2"/>
  </sheets>
  <definedNames>
    <definedName name="_xlnm._FilterDatabase" localSheetId="1" hidden="1">'№1 ВОР '!$A$10:$Q$330</definedName>
    <definedName name="_xlnm._FilterDatabase" localSheetId="0" hidden="1">'№1 ВОР  БЕЗ В1 и В2'!$B$10:$L$350</definedName>
    <definedName name="_xlnm.Print_Area" localSheetId="1">'№1 ВОР '!$A$1:$L$309</definedName>
    <definedName name="_xlnm.Print_Area" localSheetId="0">'№1 ВОР  БЕЗ В1 и В2'!$B$1:$K$350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4" i="12" l="1"/>
  <c r="F304" i="12"/>
  <c r="G295" i="12"/>
  <c r="F295" i="12"/>
  <c r="G285" i="12"/>
  <c r="F285" i="12"/>
  <c r="G275" i="12"/>
  <c r="F275" i="12"/>
  <c r="G265" i="12"/>
  <c r="F265" i="12"/>
  <c r="G255" i="12"/>
  <c r="F255" i="12"/>
  <c r="G245" i="12"/>
  <c r="F245" i="12"/>
  <c r="G234" i="12"/>
  <c r="F234" i="12"/>
  <c r="G224" i="12"/>
  <c r="F224" i="12"/>
  <c r="G214" i="12"/>
  <c r="F214" i="12"/>
  <c r="G204" i="12"/>
  <c r="F204" i="12"/>
  <c r="G195" i="12"/>
  <c r="F195" i="12"/>
  <c r="G186" i="12"/>
  <c r="F186" i="12"/>
  <c r="G177" i="12"/>
  <c r="F177" i="12"/>
  <c r="G168" i="12"/>
  <c r="F168" i="12"/>
  <c r="G159" i="12"/>
  <c r="F159" i="12"/>
  <c r="G150" i="12"/>
  <c r="F150" i="12"/>
  <c r="G141" i="12"/>
  <c r="F141" i="12"/>
  <c r="G132" i="12"/>
  <c r="F132" i="12"/>
  <c r="G123" i="12"/>
  <c r="F123" i="12"/>
  <c r="G114" i="12"/>
  <c r="F114" i="12"/>
  <c r="G105" i="12"/>
  <c r="F105" i="12"/>
  <c r="G95" i="12"/>
  <c r="F95" i="12"/>
  <c r="G85" i="12"/>
  <c r="F85" i="12"/>
  <c r="G74" i="12"/>
  <c r="F74" i="12"/>
  <c r="G63" i="12"/>
  <c r="F63" i="12"/>
  <c r="G53" i="12"/>
  <c r="F53" i="12"/>
  <c r="G44" i="12"/>
  <c r="F44" i="12"/>
  <c r="G34" i="12"/>
  <c r="F34" i="12"/>
  <c r="G25" i="12"/>
  <c r="F25" i="12"/>
  <c r="G14" i="12"/>
  <c r="F14" i="12"/>
  <c r="F338" i="12" l="1"/>
  <c r="G310" i="12"/>
  <c r="F310" i="12"/>
  <c r="F329" i="12" l="1"/>
  <c r="F328" i="12"/>
  <c r="H295" i="12"/>
  <c r="J303" i="12"/>
  <c r="I303" i="12"/>
  <c r="H275" i="12"/>
  <c r="H255" i="12"/>
  <c r="H204" i="12"/>
  <c r="H195" i="12"/>
  <c r="H177" i="12"/>
  <c r="H168" i="12"/>
  <c r="H95" i="12"/>
  <c r="H85" i="12"/>
  <c r="H74" i="12"/>
  <c r="H63" i="12"/>
  <c r="E58" i="12"/>
  <c r="H14" i="12"/>
  <c r="H34" i="12"/>
  <c r="H13" i="12"/>
  <c r="I13" i="12"/>
  <c r="J13" i="12"/>
  <c r="H15" i="12"/>
  <c r="H16" i="12"/>
  <c r="H17" i="12"/>
  <c r="H18" i="12"/>
  <c r="H19" i="12"/>
  <c r="I19" i="12"/>
  <c r="J19" i="12"/>
  <c r="H20" i="12"/>
  <c r="H21" i="12"/>
  <c r="I21" i="12"/>
  <c r="J21" i="12"/>
  <c r="H22" i="12"/>
  <c r="I22" i="12"/>
  <c r="J22" i="12"/>
  <c r="H24" i="12"/>
  <c r="I24" i="12"/>
  <c r="J24" i="12"/>
  <c r="H26" i="12"/>
  <c r="H27" i="12"/>
  <c r="H28" i="12"/>
  <c r="H29" i="12"/>
  <c r="H30" i="12"/>
  <c r="H31" i="12"/>
  <c r="H33" i="12"/>
  <c r="I33" i="12"/>
  <c r="J33" i="12"/>
  <c r="H35" i="12"/>
  <c r="H36" i="12"/>
  <c r="H37" i="12"/>
  <c r="H38" i="12"/>
  <c r="H39" i="12"/>
  <c r="H40" i="12"/>
  <c r="H42" i="12"/>
  <c r="I42" i="12"/>
  <c r="J42" i="12"/>
  <c r="H43" i="12"/>
  <c r="I43" i="12"/>
  <c r="J43" i="12"/>
  <c r="H45" i="12"/>
  <c r="H46" i="12"/>
  <c r="H47" i="12"/>
  <c r="H48" i="12"/>
  <c r="H49" i="12"/>
  <c r="H50" i="12"/>
  <c r="H52" i="12"/>
  <c r="I52" i="12"/>
  <c r="J52" i="12"/>
  <c r="H54" i="12"/>
  <c r="H55" i="12"/>
  <c r="H56" i="12"/>
  <c r="H57" i="12"/>
  <c r="H58" i="12"/>
  <c r="H59" i="12"/>
  <c r="H60" i="12"/>
  <c r="I60" i="12"/>
  <c r="J60" i="12"/>
  <c r="H62" i="12"/>
  <c r="I62" i="12"/>
  <c r="J62" i="12"/>
  <c r="H64" i="12"/>
  <c r="H65" i="12"/>
  <c r="H66" i="12"/>
  <c r="H67" i="12"/>
  <c r="H68" i="12"/>
  <c r="H69" i="12"/>
  <c r="H70" i="12"/>
  <c r="I70" i="12"/>
  <c r="J70" i="12"/>
  <c r="H72" i="12"/>
  <c r="I72" i="12"/>
  <c r="J72" i="12"/>
  <c r="H73" i="12"/>
  <c r="I73" i="12"/>
  <c r="J73" i="12"/>
  <c r="H75" i="12"/>
  <c r="H76" i="12"/>
  <c r="H77" i="12"/>
  <c r="H78" i="12"/>
  <c r="H79" i="12"/>
  <c r="H80" i="12"/>
  <c r="H81" i="12"/>
  <c r="I81" i="12"/>
  <c r="J81" i="12"/>
  <c r="H83" i="12"/>
  <c r="I83" i="12"/>
  <c r="J83" i="12"/>
  <c r="H84" i="12"/>
  <c r="I84" i="12"/>
  <c r="J84" i="12"/>
  <c r="H86" i="12"/>
  <c r="H87" i="12"/>
  <c r="H88" i="12"/>
  <c r="H89" i="12"/>
  <c r="H90" i="12"/>
  <c r="H91" i="12"/>
  <c r="H92" i="12"/>
  <c r="I92" i="12"/>
  <c r="J92" i="12"/>
  <c r="H94" i="12"/>
  <c r="I94" i="12"/>
  <c r="J94" i="12"/>
  <c r="H96" i="12"/>
  <c r="H97" i="12"/>
  <c r="H98" i="12"/>
  <c r="H99" i="12"/>
  <c r="H100" i="12"/>
  <c r="H101" i="12"/>
  <c r="H102" i="12"/>
  <c r="I102" i="12"/>
  <c r="J102" i="12"/>
  <c r="H104" i="12"/>
  <c r="I104" i="12"/>
  <c r="J104" i="12"/>
  <c r="H106" i="12"/>
  <c r="H107" i="12"/>
  <c r="H108" i="12"/>
  <c r="H109" i="12"/>
  <c r="H110" i="12"/>
  <c r="H111" i="12"/>
  <c r="H113" i="12"/>
  <c r="I113" i="12"/>
  <c r="J113" i="12"/>
  <c r="H115" i="12"/>
  <c r="H116" i="12"/>
  <c r="H117" i="12"/>
  <c r="H118" i="12"/>
  <c r="H119" i="12"/>
  <c r="H120" i="12"/>
  <c r="H122" i="12"/>
  <c r="I122" i="12"/>
  <c r="J122" i="12"/>
  <c r="H124" i="12"/>
  <c r="H125" i="12"/>
  <c r="H126" i="12"/>
  <c r="H127" i="12"/>
  <c r="H128" i="12"/>
  <c r="H129" i="12"/>
  <c r="H131" i="12"/>
  <c r="I131" i="12"/>
  <c r="J131" i="12"/>
  <c r="H133" i="12"/>
  <c r="H134" i="12"/>
  <c r="H135" i="12"/>
  <c r="H136" i="12"/>
  <c r="H137" i="12"/>
  <c r="H138" i="12"/>
  <c r="H140" i="12"/>
  <c r="I140" i="12"/>
  <c r="J140" i="12"/>
  <c r="H142" i="12"/>
  <c r="H143" i="12"/>
  <c r="H144" i="12"/>
  <c r="H145" i="12"/>
  <c r="H146" i="12"/>
  <c r="H147" i="12"/>
  <c r="H149" i="12"/>
  <c r="I149" i="12"/>
  <c r="J149" i="12"/>
  <c r="H151" i="12"/>
  <c r="H152" i="12"/>
  <c r="H153" i="12"/>
  <c r="H154" i="12"/>
  <c r="H155" i="12"/>
  <c r="H156" i="12"/>
  <c r="H158" i="12"/>
  <c r="I158" i="12"/>
  <c r="J158" i="12"/>
  <c r="H160" i="12"/>
  <c r="H161" i="12"/>
  <c r="H162" i="12"/>
  <c r="H163" i="12"/>
  <c r="H164" i="12"/>
  <c r="H165" i="12"/>
  <c r="H167" i="12"/>
  <c r="I167" i="12"/>
  <c r="J167" i="12"/>
  <c r="H169" i="12"/>
  <c r="H170" i="12"/>
  <c r="H171" i="12"/>
  <c r="H172" i="12"/>
  <c r="H173" i="12"/>
  <c r="H174" i="12"/>
  <c r="H176" i="12"/>
  <c r="I176" i="12"/>
  <c r="J176" i="12"/>
  <c r="H178" i="12"/>
  <c r="H179" i="12"/>
  <c r="H180" i="12"/>
  <c r="H181" i="12"/>
  <c r="H182" i="12"/>
  <c r="H183" i="12"/>
  <c r="H185" i="12"/>
  <c r="I185" i="12"/>
  <c r="J185" i="12"/>
  <c r="H187" i="12"/>
  <c r="H188" i="12"/>
  <c r="H189" i="12"/>
  <c r="H190" i="12"/>
  <c r="H191" i="12"/>
  <c r="H192" i="12"/>
  <c r="H194" i="12"/>
  <c r="I194" i="12"/>
  <c r="J194" i="12"/>
  <c r="H196" i="12"/>
  <c r="H197" i="12"/>
  <c r="H198" i="12"/>
  <c r="H199" i="12"/>
  <c r="H200" i="12"/>
  <c r="H201" i="12"/>
  <c r="H203" i="12"/>
  <c r="I203" i="12"/>
  <c r="J203" i="12"/>
  <c r="H205" i="12"/>
  <c r="H206" i="12"/>
  <c r="H207" i="12"/>
  <c r="H208" i="12"/>
  <c r="H209" i="12"/>
  <c r="H210" i="12"/>
  <c r="H211" i="12"/>
  <c r="I211" i="12"/>
  <c r="J211" i="12"/>
  <c r="H213" i="12"/>
  <c r="I213" i="12"/>
  <c r="J213" i="12"/>
  <c r="H214" i="12"/>
  <c r="H215" i="12"/>
  <c r="H216" i="12"/>
  <c r="H217" i="12"/>
  <c r="H218" i="12"/>
  <c r="H219" i="12"/>
  <c r="H220" i="12"/>
  <c r="H221" i="12"/>
  <c r="I221" i="12"/>
  <c r="J221" i="12"/>
  <c r="H223" i="12"/>
  <c r="I223" i="12"/>
  <c r="J223" i="12"/>
  <c r="H224" i="12"/>
  <c r="H225" i="12"/>
  <c r="H226" i="12"/>
  <c r="H227" i="12"/>
  <c r="H228" i="12"/>
  <c r="H229" i="12"/>
  <c r="H230" i="12"/>
  <c r="H231" i="12"/>
  <c r="I231" i="12"/>
  <c r="J231" i="12"/>
  <c r="H233" i="12"/>
  <c r="I233" i="12"/>
  <c r="J233" i="12"/>
  <c r="H234" i="12"/>
  <c r="H235" i="12"/>
  <c r="H236" i="12"/>
  <c r="H237" i="12"/>
  <c r="H238" i="12"/>
  <c r="H239" i="12"/>
  <c r="H240" i="12"/>
  <c r="H241" i="12"/>
  <c r="I241" i="12"/>
  <c r="J241" i="12"/>
  <c r="H243" i="12"/>
  <c r="I243" i="12"/>
  <c r="J243" i="12"/>
  <c r="H244" i="12"/>
  <c r="I244" i="12"/>
  <c r="J244" i="12"/>
  <c r="H245" i="12"/>
  <c r="H246" i="12"/>
  <c r="H247" i="12"/>
  <c r="H248" i="12"/>
  <c r="H249" i="12"/>
  <c r="H250" i="12"/>
  <c r="H251" i="12"/>
  <c r="H252" i="12"/>
  <c r="I252" i="12"/>
  <c r="J252" i="12"/>
  <c r="H254" i="12"/>
  <c r="I254" i="12"/>
  <c r="J254" i="12"/>
  <c r="H256" i="12"/>
  <c r="H257" i="12"/>
  <c r="H258" i="12"/>
  <c r="H259" i="12"/>
  <c r="H260" i="12"/>
  <c r="H261" i="12"/>
  <c r="H262" i="12"/>
  <c r="I262" i="12"/>
  <c r="J262" i="12"/>
  <c r="H264" i="12"/>
  <c r="I264" i="12"/>
  <c r="J264" i="12"/>
  <c r="H265" i="12"/>
  <c r="H266" i="12"/>
  <c r="H267" i="12"/>
  <c r="H268" i="12"/>
  <c r="H269" i="12"/>
  <c r="H270" i="12"/>
  <c r="H271" i="12"/>
  <c r="H272" i="12"/>
  <c r="I272" i="12"/>
  <c r="J272" i="12"/>
  <c r="H274" i="12"/>
  <c r="I274" i="12"/>
  <c r="J274" i="12"/>
  <c r="H276" i="12"/>
  <c r="H277" i="12"/>
  <c r="H278" i="12"/>
  <c r="H279" i="12"/>
  <c r="H280" i="12"/>
  <c r="H281" i="12"/>
  <c r="H282" i="12"/>
  <c r="I282" i="12"/>
  <c r="J282" i="12"/>
  <c r="H284" i="12"/>
  <c r="I284" i="12"/>
  <c r="J284" i="12"/>
  <c r="H286" i="12"/>
  <c r="H287" i="12"/>
  <c r="H288" i="12"/>
  <c r="H289" i="12"/>
  <c r="H290" i="12"/>
  <c r="H291" i="12"/>
  <c r="H292" i="12"/>
  <c r="I292" i="12"/>
  <c r="J292" i="12"/>
  <c r="H294" i="12"/>
  <c r="I294" i="12"/>
  <c r="J294" i="12"/>
  <c r="H296" i="12"/>
  <c r="H297" i="12"/>
  <c r="H298" i="12"/>
  <c r="H299" i="12"/>
  <c r="H300" i="12"/>
  <c r="H301" i="12"/>
  <c r="H302" i="12"/>
  <c r="I302" i="12"/>
  <c r="J302" i="12"/>
  <c r="H303" i="12"/>
  <c r="H304" i="12"/>
  <c r="I304" i="12"/>
  <c r="J304" i="12"/>
  <c r="H305" i="12"/>
  <c r="I305" i="12"/>
  <c r="J305" i="12"/>
  <c r="H307" i="12"/>
  <c r="I307" i="12"/>
  <c r="J307" i="12"/>
  <c r="H308" i="12"/>
  <c r="H309" i="12"/>
  <c r="H310" i="12"/>
  <c r="I310" i="12"/>
  <c r="J310" i="12"/>
  <c r="H311" i="12"/>
  <c r="H312" i="12"/>
  <c r="H313" i="12"/>
  <c r="H314" i="12"/>
  <c r="I314" i="12"/>
  <c r="J314" i="12"/>
  <c r="H315" i="12"/>
  <c r="I315" i="12"/>
  <c r="J315" i="12"/>
  <c r="H316" i="12"/>
  <c r="I316" i="12"/>
  <c r="J316" i="12"/>
  <c r="H317" i="12"/>
  <c r="I317" i="12"/>
  <c r="J317" i="12"/>
  <c r="H318" i="12"/>
  <c r="H319" i="12"/>
  <c r="H320" i="12"/>
  <c r="H321" i="12"/>
  <c r="H322" i="12"/>
  <c r="I322" i="12"/>
  <c r="J322" i="12"/>
  <c r="H323" i="12"/>
  <c r="I323" i="12"/>
  <c r="J323" i="12"/>
  <c r="H324" i="12"/>
  <c r="I324" i="12"/>
  <c r="J324" i="12"/>
  <c r="H325" i="12"/>
  <c r="I325" i="12"/>
  <c r="J325" i="12"/>
  <c r="H326" i="12"/>
  <c r="I326" i="12"/>
  <c r="J326" i="12"/>
  <c r="H327" i="12"/>
  <c r="I327" i="12"/>
  <c r="J327" i="12"/>
  <c r="H328" i="12"/>
  <c r="I328" i="12"/>
  <c r="J328" i="12"/>
  <c r="H329" i="12"/>
  <c r="I329" i="12"/>
  <c r="J329" i="12"/>
  <c r="H330" i="12"/>
  <c r="H331" i="12"/>
  <c r="H332" i="12"/>
  <c r="I332" i="12"/>
  <c r="J332" i="12"/>
  <c r="H333" i="12"/>
  <c r="I333" i="12"/>
  <c r="J333" i="12"/>
  <c r="H334" i="12"/>
  <c r="I334" i="12"/>
  <c r="J334" i="12"/>
  <c r="H335" i="12"/>
  <c r="I335" i="12"/>
  <c r="J335" i="12"/>
  <c r="H336" i="12"/>
  <c r="H337" i="12"/>
  <c r="I337" i="12"/>
  <c r="J337" i="12"/>
  <c r="H338" i="12"/>
  <c r="I338" i="12"/>
  <c r="J338" i="12"/>
  <c r="H339" i="12"/>
  <c r="H340" i="12"/>
  <c r="I340" i="12"/>
  <c r="J340" i="12"/>
  <c r="H341" i="12"/>
  <c r="I341" i="12"/>
  <c r="J341" i="12"/>
  <c r="H342" i="12"/>
  <c r="I342" i="12"/>
  <c r="J342" i="12"/>
  <c r="H343" i="12"/>
  <c r="I343" i="12"/>
  <c r="J343" i="12"/>
  <c r="H344" i="12"/>
  <c r="I344" i="12"/>
  <c r="J344" i="12"/>
  <c r="H345" i="12"/>
  <c r="I345" i="12"/>
  <c r="J345" i="12"/>
  <c r="H346" i="12"/>
  <c r="I346" i="12"/>
  <c r="J346" i="12"/>
  <c r="H347" i="12"/>
  <c r="I347" i="12"/>
  <c r="J347" i="12"/>
  <c r="H348" i="12"/>
  <c r="I348" i="12"/>
  <c r="J348" i="12"/>
  <c r="E313" i="12"/>
  <c r="I313" i="12" s="1"/>
  <c r="E311" i="12"/>
  <c r="E312" i="12" s="1"/>
  <c r="J312" i="12" s="1"/>
  <c r="E339" i="12"/>
  <c r="I339" i="12" s="1"/>
  <c r="E330" i="12"/>
  <c r="I330" i="12" s="1"/>
  <c r="E336" i="12"/>
  <c r="I336" i="12" s="1"/>
  <c r="E320" i="12"/>
  <c r="E321" i="12" s="1"/>
  <c r="J321" i="12" s="1"/>
  <c r="E309" i="12"/>
  <c r="E318" i="12" s="1"/>
  <c r="E300" i="12"/>
  <c r="E301" i="12" s="1"/>
  <c r="J301" i="12" s="1"/>
  <c r="E298" i="12"/>
  <c r="E299" i="12" s="1"/>
  <c r="I299" i="12" s="1"/>
  <c r="E296" i="12"/>
  <c r="E297" i="12" s="1"/>
  <c r="I297" i="12" s="1"/>
  <c r="E295" i="12"/>
  <c r="E290" i="12"/>
  <c r="E291" i="12" s="1"/>
  <c r="I291" i="12" s="1"/>
  <c r="E288" i="12"/>
  <c r="E286" i="12"/>
  <c r="E287" i="12" s="1"/>
  <c r="I287" i="12" s="1"/>
  <c r="E285" i="12"/>
  <c r="J285" i="12" s="1"/>
  <c r="E280" i="12"/>
  <c r="E281" i="12" s="1"/>
  <c r="I281" i="12" s="1"/>
  <c r="E278" i="12"/>
  <c r="E279" i="12" s="1"/>
  <c r="I279" i="12" s="1"/>
  <c r="E276" i="12"/>
  <c r="E277" i="12" s="1"/>
  <c r="I277" i="12" s="1"/>
  <c r="E275" i="12"/>
  <c r="E270" i="12"/>
  <c r="E271" i="12" s="1"/>
  <c r="I271" i="12" s="1"/>
  <c r="E268" i="12"/>
  <c r="E266" i="12"/>
  <c r="E267" i="12" s="1"/>
  <c r="I267" i="12" s="1"/>
  <c r="E265" i="12"/>
  <c r="E260" i="12"/>
  <c r="E261" i="12" s="1"/>
  <c r="I261" i="12" s="1"/>
  <c r="E258" i="12"/>
  <c r="E259" i="12" s="1"/>
  <c r="I259" i="12" s="1"/>
  <c r="E256" i="12"/>
  <c r="E257" i="12" s="1"/>
  <c r="J257" i="12" s="1"/>
  <c r="E255" i="12"/>
  <c r="I255" i="12" s="1"/>
  <c r="E250" i="12"/>
  <c r="E251" i="12" s="1"/>
  <c r="I251" i="12" s="1"/>
  <c r="E248" i="12"/>
  <c r="E246" i="12"/>
  <c r="E247" i="12" s="1"/>
  <c r="I247" i="12" s="1"/>
  <c r="E245" i="12"/>
  <c r="E239" i="12"/>
  <c r="E240" i="12" s="1"/>
  <c r="I240" i="12" s="1"/>
  <c r="E237" i="12"/>
  <c r="E238" i="12" s="1"/>
  <c r="I238" i="12" s="1"/>
  <c r="E235" i="12"/>
  <c r="E236" i="12" s="1"/>
  <c r="I236" i="12" s="1"/>
  <c r="E234" i="12"/>
  <c r="E229" i="12"/>
  <c r="E230" i="12" s="1"/>
  <c r="I230" i="12" s="1"/>
  <c r="E227" i="12"/>
  <c r="E225" i="12"/>
  <c r="E226" i="12" s="1"/>
  <c r="I226" i="12" s="1"/>
  <c r="E224" i="12"/>
  <c r="E219" i="12"/>
  <c r="E220" i="12" s="1"/>
  <c r="I220" i="12" s="1"/>
  <c r="E217" i="12"/>
  <c r="E218" i="12" s="1"/>
  <c r="I218" i="12" s="1"/>
  <c r="E215" i="12"/>
  <c r="E216" i="12" s="1"/>
  <c r="J216" i="12" s="1"/>
  <c r="E214" i="12"/>
  <c r="I214" i="12" s="1"/>
  <c r="E209" i="12"/>
  <c r="E210" i="12" s="1"/>
  <c r="I210" i="12" s="1"/>
  <c r="E207" i="12"/>
  <c r="E205" i="12"/>
  <c r="E206" i="12" s="1"/>
  <c r="I206" i="12" s="1"/>
  <c r="E204" i="12"/>
  <c r="E200" i="12"/>
  <c r="E201" i="12" s="1"/>
  <c r="I201" i="12" s="1"/>
  <c r="E198" i="12"/>
  <c r="E199" i="12" s="1"/>
  <c r="I199" i="12" s="1"/>
  <c r="E196" i="12"/>
  <c r="E197" i="12" s="1"/>
  <c r="I197" i="12" s="1"/>
  <c r="E195" i="12"/>
  <c r="I195" i="12" s="1"/>
  <c r="E191" i="12"/>
  <c r="E192" i="12" s="1"/>
  <c r="I192" i="12" s="1"/>
  <c r="E189" i="12"/>
  <c r="J189" i="12" s="1"/>
  <c r="E187" i="12"/>
  <c r="E188" i="12" s="1"/>
  <c r="I188" i="12" s="1"/>
  <c r="E186" i="12"/>
  <c r="E182" i="12"/>
  <c r="E183" i="12" s="1"/>
  <c r="J183" i="12" s="1"/>
  <c r="E180" i="12"/>
  <c r="E181" i="12" s="1"/>
  <c r="J181" i="12" s="1"/>
  <c r="E178" i="12"/>
  <c r="E179" i="12" s="1"/>
  <c r="I179" i="12" s="1"/>
  <c r="E177" i="12"/>
  <c r="I177" i="12" s="1"/>
  <c r="E173" i="12"/>
  <c r="E174" i="12" s="1"/>
  <c r="I174" i="12" s="1"/>
  <c r="E171" i="12"/>
  <c r="J171" i="12" s="1"/>
  <c r="E169" i="12"/>
  <c r="E170" i="12" s="1"/>
  <c r="I170" i="12" s="1"/>
  <c r="E168" i="12"/>
  <c r="J168" i="12" s="1"/>
  <c r="E164" i="12"/>
  <c r="E165" i="12" s="1"/>
  <c r="I165" i="12" s="1"/>
  <c r="E162" i="12"/>
  <c r="E163" i="12" s="1"/>
  <c r="J163" i="12" s="1"/>
  <c r="E160" i="12"/>
  <c r="E161" i="12" s="1"/>
  <c r="J161" i="12" s="1"/>
  <c r="E159" i="12"/>
  <c r="I159" i="12" s="1"/>
  <c r="E155" i="12"/>
  <c r="E156" i="12" s="1"/>
  <c r="J156" i="12" s="1"/>
  <c r="E153" i="12"/>
  <c r="E151" i="12"/>
  <c r="E152" i="12" s="1"/>
  <c r="I152" i="12" s="1"/>
  <c r="E150" i="12"/>
  <c r="E146" i="12"/>
  <c r="E147" i="12" s="1"/>
  <c r="I147" i="12" s="1"/>
  <c r="E144" i="12"/>
  <c r="E145" i="12" s="1"/>
  <c r="I145" i="12" s="1"/>
  <c r="E142" i="12"/>
  <c r="E143" i="12" s="1"/>
  <c r="I143" i="12" s="1"/>
  <c r="E141" i="12"/>
  <c r="J141" i="12" s="1"/>
  <c r="E137" i="12"/>
  <c r="E138" i="12" s="1"/>
  <c r="J138" i="12" s="1"/>
  <c r="E135" i="12"/>
  <c r="J135" i="12" s="1"/>
  <c r="E133" i="12"/>
  <c r="E134" i="12" s="1"/>
  <c r="I134" i="12" s="1"/>
  <c r="E132" i="12"/>
  <c r="E128" i="12"/>
  <c r="E129" i="12" s="1"/>
  <c r="I129" i="12" s="1"/>
  <c r="E126" i="12"/>
  <c r="E127" i="12" s="1"/>
  <c r="I127" i="12" s="1"/>
  <c r="E124" i="12"/>
  <c r="E125" i="12" s="1"/>
  <c r="I125" i="12" s="1"/>
  <c r="E123" i="12"/>
  <c r="E119" i="12"/>
  <c r="E120" i="12" s="1"/>
  <c r="I120" i="12" s="1"/>
  <c r="E117" i="12"/>
  <c r="E115" i="12"/>
  <c r="E116" i="12" s="1"/>
  <c r="J116" i="12" s="1"/>
  <c r="E114" i="12"/>
  <c r="E110" i="12"/>
  <c r="E111" i="12" s="1"/>
  <c r="I111" i="12" s="1"/>
  <c r="E108" i="12"/>
  <c r="E109" i="12" s="1"/>
  <c r="I109" i="12" s="1"/>
  <c r="E106" i="12"/>
  <c r="E107" i="12" s="1"/>
  <c r="I107" i="12" s="1"/>
  <c r="E105" i="12"/>
  <c r="E100" i="12"/>
  <c r="E101" i="12" s="1"/>
  <c r="J101" i="12" s="1"/>
  <c r="E98" i="12"/>
  <c r="J98" i="12" s="1"/>
  <c r="E96" i="12"/>
  <c r="E97" i="12" s="1"/>
  <c r="I97" i="12" s="1"/>
  <c r="E95" i="12"/>
  <c r="E90" i="12"/>
  <c r="E91" i="12" s="1"/>
  <c r="I91" i="12" s="1"/>
  <c r="E88" i="12"/>
  <c r="E89" i="12" s="1"/>
  <c r="I89" i="12" s="1"/>
  <c r="E86" i="12"/>
  <c r="E87" i="12" s="1"/>
  <c r="I87" i="12" s="1"/>
  <c r="E85" i="12"/>
  <c r="I85" i="12" s="1"/>
  <c r="E79" i="12"/>
  <c r="E80" i="12" s="1"/>
  <c r="I80" i="12" s="1"/>
  <c r="E77" i="12"/>
  <c r="E75" i="12"/>
  <c r="E76" i="12" s="1"/>
  <c r="I76" i="12" s="1"/>
  <c r="E74" i="12"/>
  <c r="J74" i="12" s="1"/>
  <c r="E68" i="12"/>
  <c r="E69" i="12" s="1"/>
  <c r="J69" i="12" s="1"/>
  <c r="E66" i="12"/>
  <c r="E67" i="12" s="1"/>
  <c r="I67" i="12" s="1"/>
  <c r="E64" i="12"/>
  <c r="E65" i="12" s="1"/>
  <c r="I65" i="12" s="1"/>
  <c r="E63" i="12"/>
  <c r="E53" i="12"/>
  <c r="E56" i="12"/>
  <c r="E57" i="12" s="1"/>
  <c r="I57" i="12" s="1"/>
  <c r="E54" i="12"/>
  <c r="E49" i="12"/>
  <c r="E47" i="12"/>
  <c r="E48" i="12" s="1"/>
  <c r="I48" i="12" s="1"/>
  <c r="E45" i="12"/>
  <c r="E46" i="12" s="1"/>
  <c r="I46" i="12" s="1"/>
  <c r="E44" i="12"/>
  <c r="E39" i="12"/>
  <c r="E40" i="12" s="1"/>
  <c r="I40" i="12" s="1"/>
  <c r="E37" i="12"/>
  <c r="E35" i="12"/>
  <c r="E36" i="12" s="1"/>
  <c r="J36" i="12" s="1"/>
  <c r="E34" i="12"/>
  <c r="N34" i="12" s="1"/>
  <c r="O34" i="12" s="1"/>
  <c r="E30" i="12"/>
  <c r="E31" i="12" s="1"/>
  <c r="J31" i="12" s="1"/>
  <c r="E28" i="12"/>
  <c r="E29" i="12" s="1"/>
  <c r="I29" i="12" s="1"/>
  <c r="E26" i="12"/>
  <c r="E27" i="12" s="1"/>
  <c r="J27" i="12" s="1"/>
  <c r="E25" i="12"/>
  <c r="I25" i="12" s="1"/>
  <c r="E17" i="12"/>
  <c r="J17" i="12" s="1"/>
  <c r="E15" i="12"/>
  <c r="E14" i="12"/>
  <c r="J309" i="12" l="1"/>
  <c r="J320" i="12"/>
  <c r="I309" i="12"/>
  <c r="I320" i="12"/>
  <c r="H114" i="12"/>
  <c r="H44" i="12"/>
  <c r="J339" i="12"/>
  <c r="K339" i="12" s="1"/>
  <c r="H285" i="12"/>
  <c r="J336" i="12"/>
  <c r="K336" i="12" s="1"/>
  <c r="J330" i="12"/>
  <c r="K330" i="12" s="1"/>
  <c r="H141" i="12"/>
  <c r="H186" i="12"/>
  <c r="H159" i="12"/>
  <c r="H150" i="12"/>
  <c r="H132" i="12"/>
  <c r="H123" i="12"/>
  <c r="H105" i="12"/>
  <c r="H53" i="12"/>
  <c r="I295" i="12"/>
  <c r="I275" i="12"/>
  <c r="I234" i="12"/>
  <c r="I150" i="12"/>
  <c r="J123" i="12"/>
  <c r="I105" i="12"/>
  <c r="I95" i="12"/>
  <c r="E50" i="12"/>
  <c r="I50" i="12" s="1"/>
  <c r="J63" i="12"/>
  <c r="I53" i="12"/>
  <c r="H25" i="12"/>
  <c r="J44" i="12"/>
  <c r="J34" i="12"/>
  <c r="I14" i="12"/>
  <c r="K19" i="12"/>
  <c r="K341" i="12"/>
  <c r="K337" i="12"/>
  <c r="K322" i="12"/>
  <c r="K310" i="12"/>
  <c r="K284" i="12"/>
  <c r="K302" i="12"/>
  <c r="K43" i="12"/>
  <c r="K167" i="12"/>
  <c r="K13" i="12"/>
  <c r="K304" i="12"/>
  <c r="K317" i="12"/>
  <c r="K338" i="12"/>
  <c r="J14" i="12"/>
  <c r="K262" i="12"/>
  <c r="K252" i="12"/>
  <c r="K70" i="12"/>
  <c r="K348" i="12"/>
  <c r="K316" i="12"/>
  <c r="K73" i="12"/>
  <c r="K221" i="12"/>
  <c r="K102" i="12"/>
  <c r="J26" i="12"/>
  <c r="J275" i="12"/>
  <c r="J76" i="12"/>
  <c r="K76" i="12" s="1"/>
  <c r="K42" i="12"/>
  <c r="K333" i="12"/>
  <c r="J246" i="12"/>
  <c r="K329" i="12"/>
  <c r="K314" i="12"/>
  <c r="K254" i="12"/>
  <c r="K21" i="12"/>
  <c r="K332" i="12"/>
  <c r="J287" i="12"/>
  <c r="K287" i="12" s="1"/>
  <c r="J259" i="12"/>
  <c r="K259" i="12" s="1"/>
  <c r="J178" i="12"/>
  <c r="K33" i="12"/>
  <c r="I280" i="12"/>
  <c r="I183" i="12"/>
  <c r="K183" i="12" s="1"/>
  <c r="K344" i="12"/>
  <c r="K328" i="12"/>
  <c r="K292" i="12"/>
  <c r="K272" i="12"/>
  <c r="J266" i="12"/>
  <c r="I225" i="12"/>
  <c r="I200" i="12"/>
  <c r="J195" i="12"/>
  <c r="K195" i="12" s="1"/>
  <c r="I163" i="12"/>
  <c r="K163" i="12" s="1"/>
  <c r="K149" i="12"/>
  <c r="J145" i="12"/>
  <c r="K145" i="12" s="1"/>
  <c r="I96" i="12"/>
  <c r="I63" i="12"/>
  <c r="J46" i="12"/>
  <c r="K46" i="12" s="1"/>
  <c r="I39" i="12"/>
  <c r="K346" i="12"/>
  <c r="K325" i="12"/>
  <c r="K294" i="12"/>
  <c r="K274" i="12"/>
  <c r="I209" i="12"/>
  <c r="J191" i="12"/>
  <c r="K185" i="12"/>
  <c r="I173" i="12"/>
  <c r="J108" i="12"/>
  <c r="I101" i="12"/>
  <c r="K101" i="12" s="1"/>
  <c r="I88" i="12"/>
  <c r="J68" i="12"/>
  <c r="K60" i="12"/>
  <c r="K22" i="12"/>
  <c r="I312" i="12"/>
  <c r="K312" i="12" s="1"/>
  <c r="J291" i="12"/>
  <c r="K291" i="12" s="1"/>
  <c r="I285" i="12"/>
  <c r="K285" i="12" s="1"/>
  <c r="J278" i="12"/>
  <c r="J271" i="12"/>
  <c r="K271" i="12" s="1"/>
  <c r="I257" i="12"/>
  <c r="K257" i="12" s="1"/>
  <c r="J250" i="12"/>
  <c r="I237" i="12"/>
  <c r="J230" i="12"/>
  <c r="K230" i="12" s="1"/>
  <c r="I216" i="12"/>
  <c r="K216" i="12" s="1"/>
  <c r="I181" i="12"/>
  <c r="K181" i="12" s="1"/>
  <c r="J125" i="12"/>
  <c r="K125" i="12" s="1"/>
  <c r="I116" i="12"/>
  <c r="K116" i="12" s="1"/>
  <c r="J53" i="12"/>
  <c r="J29" i="12"/>
  <c r="K29" i="12" s="1"/>
  <c r="I31" i="12"/>
  <c r="K31" i="12" s="1"/>
  <c r="K305" i="12"/>
  <c r="J298" i="12"/>
  <c r="K244" i="12"/>
  <c r="J198" i="12"/>
  <c r="K194" i="12"/>
  <c r="K176" i="12"/>
  <c r="I161" i="12"/>
  <c r="K161" i="12" s="1"/>
  <c r="J143" i="12"/>
  <c r="K143" i="12" s="1"/>
  <c r="J100" i="12"/>
  <c r="K92" i="12"/>
  <c r="I49" i="12"/>
  <c r="I44" i="12"/>
  <c r="I17" i="12"/>
  <c r="K17" i="12" s="1"/>
  <c r="I69" i="12"/>
  <c r="K69" i="12" s="1"/>
  <c r="K340" i="12"/>
  <c r="K324" i="12"/>
  <c r="I321" i="12"/>
  <c r="K321" i="12" s="1"/>
  <c r="K315" i="12"/>
  <c r="K282" i="12"/>
  <c r="K264" i="12"/>
  <c r="K241" i="12"/>
  <c r="J180" i="12"/>
  <c r="I151" i="12"/>
  <c r="I133" i="12"/>
  <c r="J115" i="12"/>
  <c r="I106" i="12"/>
  <c r="I86" i="12"/>
  <c r="J66" i="12"/>
  <c r="I36" i="12"/>
  <c r="K36" i="12" s="1"/>
  <c r="I301" i="12"/>
  <c r="K301" i="12" s="1"/>
  <c r="J239" i="12"/>
  <c r="K326" i="12"/>
  <c r="I276" i="12"/>
  <c r="I260" i="12"/>
  <c r="J255" i="12"/>
  <c r="K255" i="12" s="1"/>
  <c r="J214" i="12"/>
  <c r="K214" i="12" s="1"/>
  <c r="J160" i="12"/>
  <c r="I123" i="12"/>
  <c r="J120" i="12"/>
  <c r="K120" i="12" s="1"/>
  <c r="J91" i="12"/>
  <c r="K91" i="12" s="1"/>
  <c r="J48" i="12"/>
  <c r="K48" i="12" s="1"/>
  <c r="I27" i="12"/>
  <c r="K27" i="12" s="1"/>
  <c r="K334" i="12"/>
  <c r="I296" i="12"/>
  <c r="J234" i="12"/>
  <c r="J218" i="12"/>
  <c r="K218" i="12" s="1"/>
  <c r="I205" i="12"/>
  <c r="I196" i="12"/>
  <c r="J187" i="12"/>
  <c r="I156" i="12"/>
  <c r="K156" i="12" s="1"/>
  <c r="I146" i="12"/>
  <c r="I141" i="12"/>
  <c r="K141" i="12" s="1"/>
  <c r="I138" i="12"/>
  <c r="K138" i="12" s="1"/>
  <c r="J128" i="12"/>
  <c r="I110" i="12"/>
  <c r="J105" i="12"/>
  <c r="J56" i="12"/>
  <c r="I15" i="12"/>
  <c r="J15" i="12"/>
  <c r="E59" i="12"/>
  <c r="J58" i="12"/>
  <c r="I58" i="12"/>
  <c r="E55" i="12"/>
  <c r="I54" i="12"/>
  <c r="J54" i="12"/>
  <c r="I114" i="12"/>
  <c r="J114" i="12"/>
  <c r="I132" i="12"/>
  <c r="J132" i="12"/>
  <c r="I186" i="12"/>
  <c r="J186" i="12"/>
  <c r="I204" i="12"/>
  <c r="J204" i="12"/>
  <c r="I224" i="12"/>
  <c r="J224" i="12"/>
  <c r="I245" i="12"/>
  <c r="J245" i="12"/>
  <c r="I265" i="12"/>
  <c r="J265" i="12"/>
  <c r="E319" i="12"/>
  <c r="I318" i="12"/>
  <c r="J318" i="12"/>
  <c r="I168" i="12"/>
  <c r="K168" i="12" s="1"/>
  <c r="I74" i="12"/>
  <c r="K74" i="12" s="1"/>
  <c r="E136" i="12"/>
  <c r="I135" i="12"/>
  <c r="K135" i="12" s="1"/>
  <c r="E208" i="12"/>
  <c r="I207" i="12"/>
  <c r="E269" i="12"/>
  <c r="I268" i="12"/>
  <c r="J268" i="12"/>
  <c r="J150" i="12"/>
  <c r="E38" i="12"/>
  <c r="I37" i="12"/>
  <c r="J37" i="12"/>
  <c r="E78" i="12"/>
  <c r="I77" i="12"/>
  <c r="J77" i="12"/>
  <c r="E118" i="12"/>
  <c r="I117" i="12"/>
  <c r="J117" i="12"/>
  <c r="E172" i="12"/>
  <c r="I171" i="12"/>
  <c r="K171" i="12" s="1"/>
  <c r="E249" i="12"/>
  <c r="J248" i="12"/>
  <c r="I248" i="12"/>
  <c r="E99" i="12"/>
  <c r="I98" i="12"/>
  <c r="K98" i="12" s="1"/>
  <c r="E154" i="12"/>
  <c r="J153" i="12"/>
  <c r="E190" i="12"/>
  <c r="I189" i="12"/>
  <c r="K189" i="12" s="1"/>
  <c r="E228" i="12"/>
  <c r="I227" i="12"/>
  <c r="E289" i="12"/>
  <c r="I288" i="12"/>
  <c r="J288" i="12"/>
  <c r="J227" i="12"/>
  <c r="J207" i="12"/>
  <c r="I153" i="12"/>
  <c r="J95" i="12"/>
  <c r="K342" i="12"/>
  <c r="K81" i="12"/>
  <c r="I34" i="12"/>
  <c r="K335" i="12"/>
  <c r="K303" i="12"/>
  <c r="J296" i="12"/>
  <c r="J280" i="12"/>
  <c r="I278" i="12"/>
  <c r="I246" i="12"/>
  <c r="I239" i="12"/>
  <c r="J225" i="12"/>
  <c r="K223" i="12"/>
  <c r="J209" i="12"/>
  <c r="J200" i="12"/>
  <c r="I198" i="12"/>
  <c r="I191" i="12"/>
  <c r="I187" i="12"/>
  <c r="I178" i="12"/>
  <c r="J173" i="12"/>
  <c r="K158" i="12"/>
  <c r="J133" i="12"/>
  <c r="I128" i="12"/>
  <c r="K113" i="12"/>
  <c r="J110" i="12"/>
  <c r="I108" i="12"/>
  <c r="J88" i="12"/>
  <c r="K83" i="12"/>
  <c r="I66" i="12"/>
  <c r="I56" i="12"/>
  <c r="K24" i="12"/>
  <c r="K323" i="12"/>
  <c r="K307" i="12"/>
  <c r="J300" i="12"/>
  <c r="I298" i="12"/>
  <c r="J277" i="12"/>
  <c r="K277" i="12" s="1"/>
  <c r="I266" i="12"/>
  <c r="J261" i="12"/>
  <c r="K261" i="12" s="1"/>
  <c r="I250" i="12"/>
  <c r="K243" i="12"/>
  <c r="J236" i="12"/>
  <c r="K236" i="12" s="1"/>
  <c r="J229" i="12"/>
  <c r="J220" i="12"/>
  <c r="K220" i="12" s="1"/>
  <c r="K211" i="12"/>
  <c r="J197" i="12"/>
  <c r="K197" i="12" s="1"/>
  <c r="J182" i="12"/>
  <c r="I180" i="12"/>
  <c r="J170" i="12"/>
  <c r="K170" i="12" s="1"/>
  <c r="J165" i="12"/>
  <c r="K165" i="12" s="1"/>
  <c r="I160" i="12"/>
  <c r="J155" i="12"/>
  <c r="J142" i="12"/>
  <c r="J127" i="12"/>
  <c r="K127" i="12" s="1"/>
  <c r="I115" i="12"/>
  <c r="I100" i="12"/>
  <c r="J90" i="12"/>
  <c r="J85" i="12"/>
  <c r="K85" i="12" s="1"/>
  <c r="J80" i="12"/>
  <c r="K80" i="12" s="1"/>
  <c r="I68" i="12"/>
  <c r="J65" i="12"/>
  <c r="K65" i="12" s="1"/>
  <c r="J28" i="12"/>
  <c r="I26" i="12"/>
  <c r="J311" i="12"/>
  <c r="I300" i="12"/>
  <c r="J295" i="12"/>
  <c r="J286" i="12"/>
  <c r="J279" i="12"/>
  <c r="K279" i="12" s="1"/>
  <c r="J270" i="12"/>
  <c r="J247" i="12"/>
  <c r="K247" i="12" s="1"/>
  <c r="J238" i="12"/>
  <c r="K238" i="12" s="1"/>
  <c r="I229" i="12"/>
  <c r="J215" i="12"/>
  <c r="K213" i="12"/>
  <c r="J206" i="12"/>
  <c r="K206" i="12" s="1"/>
  <c r="J199" i="12"/>
  <c r="K199" i="12" s="1"/>
  <c r="J188" i="12"/>
  <c r="K188" i="12" s="1"/>
  <c r="I182" i="12"/>
  <c r="J177" i="12"/>
  <c r="K177" i="12" s="1"/>
  <c r="J162" i="12"/>
  <c r="I155" i="12"/>
  <c r="J152" i="12"/>
  <c r="K152" i="12" s="1"/>
  <c r="J147" i="12"/>
  <c r="K147" i="12" s="1"/>
  <c r="I142" i="12"/>
  <c r="J137" i="12"/>
  <c r="J107" i="12"/>
  <c r="K107" i="12" s="1"/>
  <c r="J97" i="12"/>
  <c r="K97" i="12" s="1"/>
  <c r="I90" i="12"/>
  <c r="J87" i="12"/>
  <c r="K87" i="12" s="1"/>
  <c r="J75" i="12"/>
  <c r="J45" i="12"/>
  <c r="J40" i="12"/>
  <c r="K40" i="12" s="1"/>
  <c r="J35" i="12"/>
  <c r="J30" i="12"/>
  <c r="I28" i="12"/>
  <c r="K343" i="12"/>
  <c r="K327" i="12"/>
  <c r="J313" i="12"/>
  <c r="K313" i="12" s="1"/>
  <c r="I311" i="12"/>
  <c r="J297" i="12"/>
  <c r="K297" i="12" s="1"/>
  <c r="I286" i="12"/>
  <c r="J281" i="12"/>
  <c r="K281" i="12" s="1"/>
  <c r="I270" i="12"/>
  <c r="J256" i="12"/>
  <c r="J240" i="12"/>
  <c r="K240" i="12" s="1"/>
  <c r="K231" i="12"/>
  <c r="J217" i="12"/>
  <c r="I215" i="12"/>
  <c r="J201" i="12"/>
  <c r="K201" i="12" s="1"/>
  <c r="J192" i="12"/>
  <c r="K192" i="12" s="1"/>
  <c r="J179" i="12"/>
  <c r="K179" i="12" s="1"/>
  <c r="J174" i="12"/>
  <c r="K174" i="12" s="1"/>
  <c r="I162" i="12"/>
  <c r="J159" i="12"/>
  <c r="K159" i="12" s="1"/>
  <c r="J144" i="12"/>
  <c r="I137" i="12"/>
  <c r="J134" i="12"/>
  <c r="K134" i="12" s="1"/>
  <c r="J129" i="12"/>
  <c r="K129" i="12" s="1"/>
  <c r="J124" i="12"/>
  <c r="K122" i="12"/>
  <c r="J119" i="12"/>
  <c r="J109" i="12"/>
  <c r="K109" i="12" s="1"/>
  <c r="I75" i="12"/>
  <c r="J67" i="12"/>
  <c r="K67" i="12" s="1"/>
  <c r="K62" i="12"/>
  <c r="J57" i="12"/>
  <c r="K57" i="12" s="1"/>
  <c r="J47" i="12"/>
  <c r="I45" i="12"/>
  <c r="I35" i="12"/>
  <c r="I30" i="12"/>
  <c r="J25" i="12"/>
  <c r="K25" i="12" s="1"/>
  <c r="K345" i="12"/>
  <c r="J299" i="12"/>
  <c r="K299" i="12" s="1"/>
  <c r="J290" i="12"/>
  <c r="J267" i="12"/>
  <c r="K267" i="12" s="1"/>
  <c r="J258" i="12"/>
  <c r="I256" i="12"/>
  <c r="J251" i="12"/>
  <c r="K251" i="12" s="1"/>
  <c r="J235" i="12"/>
  <c r="K233" i="12"/>
  <c r="J226" i="12"/>
  <c r="K226" i="12" s="1"/>
  <c r="J219" i="12"/>
  <c r="I217" i="12"/>
  <c r="J210" i="12"/>
  <c r="K210" i="12" s="1"/>
  <c r="J169" i="12"/>
  <c r="J164" i="12"/>
  <c r="I144" i="12"/>
  <c r="J126" i="12"/>
  <c r="I124" i="12"/>
  <c r="I119" i="12"/>
  <c r="J111" i="12"/>
  <c r="K111" i="12" s="1"/>
  <c r="K104" i="12"/>
  <c r="K94" i="12"/>
  <c r="J89" i="12"/>
  <c r="K89" i="12" s="1"/>
  <c r="J79" i="12"/>
  <c r="K72" i="12"/>
  <c r="J64" i="12"/>
  <c r="K52" i="12"/>
  <c r="I47" i="12"/>
  <c r="K347" i="12"/>
  <c r="I290" i="12"/>
  <c r="J276" i="12"/>
  <c r="J260" i="12"/>
  <c r="I258" i="12"/>
  <c r="J237" i="12"/>
  <c r="I235" i="12"/>
  <c r="I219" i="12"/>
  <c r="J205" i="12"/>
  <c r="K203" i="12"/>
  <c r="J196" i="12"/>
  <c r="I169" i="12"/>
  <c r="I164" i="12"/>
  <c r="J151" i="12"/>
  <c r="J146" i="12"/>
  <c r="K131" i="12"/>
  <c r="I126" i="12"/>
  <c r="J106" i="12"/>
  <c r="J96" i="12"/>
  <c r="J86" i="12"/>
  <c r="K84" i="12"/>
  <c r="I79" i="12"/>
  <c r="I64" i="12"/>
  <c r="J49" i="12"/>
  <c r="J39" i="12"/>
  <c r="K140" i="12"/>
  <c r="E331" i="12"/>
  <c r="E308" i="12"/>
  <c r="K150" i="12" l="1"/>
  <c r="K320" i="12"/>
  <c r="K309" i="12"/>
  <c r="K95" i="12"/>
  <c r="J50" i="12"/>
  <c r="K50" i="12" s="1"/>
  <c r="K63" i="12"/>
  <c r="K229" i="12"/>
  <c r="K137" i="12"/>
  <c r="K295" i="12"/>
  <c r="K275" i="12"/>
  <c r="K234" i="12"/>
  <c r="K123" i="12"/>
  <c r="K105" i="12"/>
  <c r="K34" i="12"/>
  <c r="K44" i="12"/>
  <c r="K53" i="12"/>
  <c r="K14" i="12"/>
  <c r="K86" i="12"/>
  <c r="K260" i="12"/>
  <c r="K108" i="12"/>
  <c r="K205" i="12"/>
  <c r="K132" i="12"/>
  <c r="K246" i="12"/>
  <c r="K88" i="12"/>
  <c r="K178" i="12"/>
  <c r="K187" i="12"/>
  <c r="K225" i="12"/>
  <c r="K215" i="12"/>
  <c r="K280" i="12"/>
  <c r="K162" i="12"/>
  <c r="K68" i="12"/>
  <c r="K209" i="12"/>
  <c r="K239" i="12"/>
  <c r="K39" i="12"/>
  <c r="K110" i="12"/>
  <c r="K200" i="12"/>
  <c r="K56" i="12"/>
  <c r="K133" i="12"/>
  <c r="K198" i="12"/>
  <c r="K151" i="12"/>
  <c r="K66" i="12"/>
  <c r="K180" i="12"/>
  <c r="K128" i="12"/>
  <c r="K298" i="12"/>
  <c r="K124" i="12"/>
  <c r="K169" i="12"/>
  <c r="K182" i="12"/>
  <c r="K26" i="12"/>
  <c r="K100" i="12"/>
  <c r="K276" i="12"/>
  <c r="K286" i="12"/>
  <c r="K250" i="12"/>
  <c r="K204" i="12"/>
  <c r="K191" i="12"/>
  <c r="K58" i="12"/>
  <c r="K196" i="12"/>
  <c r="K144" i="12"/>
  <c r="K75" i="12"/>
  <c r="K35" i="12"/>
  <c r="K115" i="12"/>
  <c r="K217" i="12"/>
  <c r="K155" i="12"/>
  <c r="K119" i="12"/>
  <c r="K49" i="12"/>
  <c r="K96" i="12"/>
  <c r="K164" i="12"/>
  <c r="K258" i="12"/>
  <c r="K173" i="12"/>
  <c r="K146" i="12"/>
  <c r="K106" i="12"/>
  <c r="K54" i="12"/>
  <c r="K142" i="12"/>
  <c r="K278" i="12"/>
  <c r="K77" i="12"/>
  <c r="K37" i="12"/>
  <c r="K207" i="12"/>
  <c r="K265" i="12"/>
  <c r="K45" i="12"/>
  <c r="K296" i="12"/>
  <c r="K266" i="12"/>
  <c r="K160" i="12"/>
  <c r="K237" i="12"/>
  <c r="K90" i="12"/>
  <c r="K15" i="12"/>
  <c r="I154" i="12"/>
  <c r="J154" i="12"/>
  <c r="J269" i="12"/>
  <c r="I269" i="12"/>
  <c r="K79" i="12"/>
  <c r="K245" i="12"/>
  <c r="J289" i="12"/>
  <c r="I289" i="12"/>
  <c r="I99" i="12"/>
  <c r="J99" i="12"/>
  <c r="K117" i="12"/>
  <c r="I208" i="12"/>
  <c r="J208" i="12"/>
  <c r="J59" i="12"/>
  <c r="I59" i="12"/>
  <c r="K288" i="12"/>
  <c r="K30" i="12"/>
  <c r="K126" i="12"/>
  <c r="K290" i="12"/>
  <c r="K256" i="12"/>
  <c r="K311" i="12"/>
  <c r="K153" i="12"/>
  <c r="K227" i="12"/>
  <c r="I118" i="12"/>
  <c r="J118" i="12"/>
  <c r="K224" i="12"/>
  <c r="K219" i="12"/>
  <c r="J228" i="12"/>
  <c r="I228" i="12"/>
  <c r="K248" i="12"/>
  <c r="J136" i="12"/>
  <c r="I136" i="12"/>
  <c r="K318" i="12"/>
  <c r="K114" i="12"/>
  <c r="I172" i="12"/>
  <c r="J172" i="12"/>
  <c r="K64" i="12"/>
  <c r="K235" i="12"/>
  <c r="K47" i="12"/>
  <c r="K300" i="12"/>
  <c r="I319" i="12"/>
  <c r="J319" i="12"/>
  <c r="I331" i="12"/>
  <c r="J331" i="12"/>
  <c r="I190" i="12"/>
  <c r="J190" i="12"/>
  <c r="I249" i="12"/>
  <c r="J249" i="12"/>
  <c r="I78" i="12"/>
  <c r="J78" i="12"/>
  <c r="J38" i="12"/>
  <c r="I38" i="12"/>
  <c r="J308" i="12"/>
  <c r="I308" i="12"/>
  <c r="K270" i="12"/>
  <c r="K28" i="12"/>
  <c r="K268" i="12"/>
  <c r="K186" i="12"/>
  <c r="I55" i="12"/>
  <c r="J55" i="12"/>
  <c r="K249" i="12" l="1"/>
  <c r="K99" i="12"/>
  <c r="K136" i="12"/>
  <c r="K118" i="12"/>
  <c r="K289" i="12"/>
  <c r="K190" i="12"/>
  <c r="K228" i="12"/>
  <c r="K154" i="12"/>
  <c r="K55" i="12"/>
  <c r="K38" i="12"/>
  <c r="K269" i="12"/>
  <c r="K308" i="12"/>
  <c r="K59" i="12"/>
  <c r="K172" i="12"/>
  <c r="K331" i="12"/>
  <c r="K78" i="12"/>
  <c r="K319" i="12"/>
  <c r="K208" i="12"/>
  <c r="E20" i="12"/>
  <c r="E18" i="12"/>
  <c r="E16" i="12"/>
  <c r="I20" i="12" l="1"/>
  <c r="J20" i="12"/>
  <c r="J16" i="12"/>
  <c r="I16" i="12"/>
  <c r="I18" i="12"/>
  <c r="J18" i="12"/>
  <c r="D353" i="8"/>
  <c r="D349" i="8"/>
  <c r="D342" i="8"/>
  <c r="D341" i="8"/>
  <c r="D339" i="8"/>
  <c r="D330" i="8"/>
  <c r="D324" i="8"/>
  <c r="D316" i="8"/>
  <c r="D315" i="8"/>
  <c r="D313" i="8"/>
  <c r="D304" i="8"/>
  <c r="D298" i="8"/>
  <c r="D289" i="8"/>
  <c r="D288" i="8"/>
  <c r="D286" i="8"/>
  <c r="D277" i="8"/>
  <c r="D267" i="8"/>
  <c r="D266" i="8"/>
  <c r="D255" i="8"/>
  <c r="D253" i="8"/>
  <c r="D244" i="8"/>
  <c r="D243" i="8"/>
  <c r="D232" i="8"/>
  <c r="D231" i="8"/>
  <c r="D230" i="8"/>
  <c r="D229" i="8"/>
  <c r="D227" i="8"/>
  <c r="D226" i="8"/>
  <c r="D225" i="8"/>
  <c r="D224" i="8"/>
  <c r="D223" i="8"/>
  <c r="D222" i="8"/>
  <c r="D221" i="8"/>
  <c r="D220" i="8"/>
  <c r="D218" i="8"/>
  <c r="D214" i="8"/>
  <c r="D207" i="8"/>
  <c r="D206" i="8"/>
  <c r="D197" i="8"/>
  <c r="D195" i="8"/>
  <c r="D189" i="8"/>
  <c r="D179" i="8"/>
  <c r="D178" i="8"/>
  <c r="D176" i="8"/>
  <c r="D169" i="8"/>
  <c r="D167" i="8"/>
  <c r="D161" i="8"/>
  <c r="D151" i="8"/>
  <c r="D150" i="8"/>
  <c r="D148" i="8"/>
  <c r="D141" i="8"/>
  <c r="D139" i="8"/>
  <c r="D133" i="8"/>
  <c r="D123" i="8"/>
  <c r="D122" i="8"/>
  <c r="D120" i="8"/>
  <c r="D113" i="8"/>
  <c r="D111" i="8"/>
  <c r="D105" i="8"/>
  <c r="D94" i="8"/>
  <c r="D93" i="8"/>
  <c r="D91" i="8"/>
  <c r="D8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6" i="8"/>
  <c r="D55" i="8"/>
  <c r="D54" i="8"/>
  <c r="D49" i="8"/>
  <c r="D47" i="8"/>
  <c r="D46" i="8"/>
  <c r="D45" i="8"/>
  <c r="D44" i="8"/>
  <c r="D43" i="8"/>
  <c r="D42" i="8"/>
  <c r="D41" i="8"/>
  <c r="D26" i="8"/>
  <c r="D25" i="8"/>
  <c r="D21" i="8"/>
  <c r="D19" i="8"/>
  <c r="D18" i="8"/>
  <c r="D17" i="8"/>
  <c r="D16" i="8"/>
  <c r="D15" i="8"/>
  <c r="D14" i="8"/>
  <c r="D13" i="8"/>
  <c r="I349" i="12" l="1"/>
  <c r="I350" i="12" s="1"/>
  <c r="J349" i="12"/>
  <c r="J350" i="12" s="1"/>
  <c r="K18" i="12"/>
  <c r="K20" i="12"/>
  <c r="K16" i="12"/>
  <c r="K349" i="12" l="1"/>
  <c r="K350" i="12" l="1"/>
</calcChain>
</file>

<file path=xl/sharedStrings.xml><?xml version="1.0" encoding="utf-8"?>
<sst xmlns="http://schemas.openxmlformats.org/spreadsheetml/2006/main" count="1767" uniqueCount="566">
  <si>
    <t>Наименование</t>
  </si>
  <si>
    <t>Ед. изм.</t>
  </si>
  <si>
    <t>Кол-во</t>
  </si>
  <si>
    <t>Ведомость объемов работ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</si>
  <si>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</si>
  <si>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</si>
  <si>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</si>
  <si>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</si>
  <si>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</si>
  <si>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</si>
  <si>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</si>
  <si>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</si>
  <si>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Приложение № 2</t>
  </si>
  <si>
    <t>к Договору подряда №</t>
  </si>
  <si>
    <t>к Дополнительному соглашению №</t>
  </si>
  <si>
    <t>на устройство наружных сетей водопровода, бытовой канализации и водостока в районе корпуса К-5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</si>
  <si>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Устройство участка трубопровода от ввода В1-1.5 до колодца ВК3</t>
  </si>
  <si>
    <t>Разработка грунта траншеи механизированным способом</t>
  </si>
  <si>
    <t>Доработка грунта вручную</t>
  </si>
  <si>
    <t>Устройство бетонной подготовки толщиной 70мм, бетон В7,5</t>
  </si>
  <si>
    <t>Устройство гравийно-щебёночной подготовки толщиной 150мм, шириной 450мм (втрамбовать в грунт)</t>
  </si>
  <si>
    <t>м2</t>
  </si>
  <si>
    <t>м3</t>
  </si>
  <si>
    <t>м</t>
  </si>
  <si>
    <t>Устройство монолитного ж.б. основания</t>
  </si>
  <si>
    <t>Бетон В15</t>
  </si>
  <si>
    <t>Арматурная сетка С1</t>
  </si>
  <si>
    <t>кг</t>
  </si>
  <si>
    <t>шт.</t>
  </si>
  <si>
    <t>Разработка грунта механизированным способом</t>
  </si>
  <si>
    <t>Монтаж колодца ВГ-20 согласно требований альбома 2201-88 МОСИНЖПРОЕКТ</t>
  </si>
  <si>
    <t>колодец водогазопроводный ВГ-20</t>
  </si>
  <si>
    <t>Гильза стальная ∅300 L=250мм</t>
  </si>
  <si>
    <t>Устройство трубопровода ∅150мм</t>
  </si>
  <si>
    <t>Труба напорна из полиэтилена ПЭ100 марки SDR13,6-160х11,8 ГОСТ 18599-2001 Труба питьевая "Полипластик"</t>
  </si>
  <si>
    <r>
      <t>Обратная засыпка траншеи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</si>
  <si>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закладных гильз в стенках колодца с заделкой</t>
  </si>
  <si>
    <t>бетонный упор СК 2110-88</t>
  </si>
  <si>
    <t>Задвижка чугунная с обрезиненым клином фланцевая ∅150 -1.6-150 "Hawle"</t>
  </si>
  <si>
    <t>тройник стальной фланцевый ТФ 200х150 Б ГОСТ 5525-88 с устройством опорного бетонного столбика</t>
  </si>
  <si>
    <t>Втулка под фланец ПЭ 100 SDR 13,6 ∅160х9,5 ТУ 6-19-213.83 "Икапласт"</t>
  </si>
  <si>
    <t>Втулка под фланец ПЭ 100 SDR 13,6 ∅225х13,4 ТУ 6-19-213.83 "Икапласт"</t>
  </si>
  <si>
    <t>Фланец стальной плоский свободный (1,0 МПа) ∅200 "Икапласт"</t>
  </si>
  <si>
    <t>Фланец стальной плоский свободный (1,0 МПа) ∅150 "Икапласт"</t>
  </si>
  <si>
    <r>
      <t>Обратная засыпка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</si>
  <si>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участка трубопровода от ввода В2-1.5 в К-5 до колодца ВК1п</t>
  </si>
  <si>
    <t>Устройство трубопровода ∅150мм (две параллельно)</t>
  </si>
  <si>
    <t>Устройство колодца ВК1п</t>
  </si>
  <si>
    <t>Устройство колодца ВКН-41А из сборных ж.б. элементов на ЦПР М100 (альбом 2; ПП 16-21; АОА МосПроект)</t>
  </si>
  <si>
    <t>Монтаж оборудования в колодце</t>
  </si>
  <si>
    <t>тройник стальной фланцевый ТФ 200х200 Б ГОСТ 5525-88 с устройством опорного бетонного столбика</t>
  </si>
  <si>
    <t>Задвижка чугунная с обрезиненым клином фланцевая ∅200 -1.6-200 "Hawle"</t>
  </si>
  <si>
    <t>Устройство опорных бетонных столбиков
250х150х250мм</t>
  </si>
  <si>
    <t>переход 200х150 ПЭ100</t>
  </si>
  <si>
    <t>Устройство участка трубопровода от выпуска К1.1-4.5 Ø100 мм (отм вып. 59.15 (-0,85)), выпуска  К3-2.5 Ø100 мм (отм. вып. 59.10 (-0,90)), выпуска К3-1.5 Ø100 мм (отм. 59.10 (-0,90)) выпуска К1.1-3.5 Ø100 (отм. 59.10 (-0,90)) до колодца К1 существоющего</t>
  </si>
  <si>
    <t>Устройство гравийно-щебёночной подготовки толщиной 150мм, шириной 450мм, 480мм, 650 мм  (втрамбовать в грунт)</t>
  </si>
  <si>
    <r>
      <t xml:space="preserve">Труба ВЧШГ </t>
    </r>
    <r>
      <rPr>
        <i/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100 мм</t>
    </r>
  </si>
  <si>
    <t>Устройство трубопровода ∅100мм (две паралельно)</t>
  </si>
  <si>
    <t>Устройство трубопровода ∅200мм</t>
  </si>
  <si>
    <t>Труба DN200 Корсис ПРО SN16 ТУ 22.21.21-001-73011750-2018 Корсис "Полипластик"</t>
  </si>
  <si>
    <t>Устройство трубопровода ∅400мм</t>
  </si>
  <si>
    <t>Труба DN400 Корсис ПРО SN16 ТУ 22.21.21-001-73011750-2018 Корсис "Полипластик"</t>
  </si>
  <si>
    <t>Устройство колодца К1.16.1</t>
  </si>
  <si>
    <t>Уплотнение грунта основания</t>
  </si>
  <si>
    <t>Устройство бетонной подготовки толщиной 100 мм, бетон В7,5</t>
  </si>
  <si>
    <t>Монтаж плиты днища КЦД-20 на цементно-песчаный раствор М100 толщиной 20 мм</t>
  </si>
  <si>
    <t>Устройство гидроизоляции днища колодца - шткукатурной асфальтовой из горячего асфальтового раствора толщиной 10 мм по огрунтовке разжиженным битумом</t>
  </si>
  <si>
    <t>Плита днища  КЦД-20</t>
  </si>
  <si>
    <t>Цементн-опесчаный раствор М100</t>
  </si>
  <si>
    <t>проверить</t>
  </si>
  <si>
    <t>Устройство лотковой части колодца из монолитного железобетона М200 с затиркой и железнением повержности лотка</t>
  </si>
  <si>
    <t>Бетон М200</t>
  </si>
  <si>
    <t>Кольцо стеновое КЦ-20-9</t>
  </si>
  <si>
    <t>Кольцо стеновое КЦ-20-6</t>
  </si>
  <si>
    <t>Монтаж колец стеновых КЦ на цементно-песчаный раствор М100 толщиной 10 мм</t>
  </si>
  <si>
    <t>Плита перекрытия КЦП-1-20-1</t>
  </si>
  <si>
    <t>Кольцо стеновое КЦ-7-3</t>
  </si>
  <si>
    <t>Кольцо стеновое КЦ-7-1,5</t>
  </si>
  <si>
    <t>по серии 1,5 нет</t>
  </si>
  <si>
    <t>по серии 1 нет</t>
  </si>
  <si>
    <t>Кольцо опорное КЦО-1</t>
  </si>
  <si>
    <t>Монтаж плиты перекрытия КЦП на цементно-песчаный раствор М100 толщиной 10 мм</t>
  </si>
  <si>
    <t>Монтаж кольца опорного КЦО на цементно-песчанный раствор М100 толщиной 10 мм</t>
  </si>
  <si>
    <t>Монтаж люка тип Л</t>
  </si>
  <si>
    <t>Люк типа Л</t>
  </si>
  <si>
    <t>определить технология и расход</t>
  </si>
  <si>
    <t>Устройство вертикальной  и горизонтальной обмазочной гидроизоляции стен и плиты перекрытия колодца в два слоя "Пенетрон" с применением в узлах Пенекрит, "Ватерплаг", Пенеплаг, ленты "Пенебанд С" согласно типовым узлам ф-мы Технониколь</t>
  </si>
  <si>
    <t>Монтаж стремянки 902-09-22.84 -КЖИ.С1-10 L=3600 мм</t>
  </si>
  <si>
    <t xml:space="preserve">Стремянка 902-09-22.84 -КЖИ.С1-10 L=3600 мм </t>
  </si>
  <si>
    <t>Монтаж ходовых скоб МН-1</t>
  </si>
  <si>
    <t>Стальная скоба из арматуры А240 Ø16 мм</t>
  </si>
  <si>
    <t>Заделка труб в местах прохода через стенки колодца</t>
  </si>
  <si>
    <r>
      <t>Обратная засыпка пазух котлована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</si>
  <si>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колодца К1.16</t>
  </si>
  <si>
    <t>Кольцо стеновое КЦ-7-1</t>
  </si>
  <si>
    <t>Монтаж стремянки 902-09-22.84 -КЖИ.С1-12 L=4200 мм</t>
  </si>
  <si>
    <t>Устройство колодца К1.17</t>
  </si>
  <si>
    <t>Цементно-песчаный раствор М100</t>
  </si>
  <si>
    <t>Монтаж стремянки 902-09-22.84 -КЖИ.С1-07 L=2700 мм</t>
  </si>
  <si>
    <t xml:space="preserve">Стремянка 902-09-22.84 -КЖИ.С1-12 L=4200 мм </t>
  </si>
  <si>
    <t xml:space="preserve">Стремянка 902-09-22.84 -КЖИ.С1-07 L=2700 мм </t>
  </si>
  <si>
    <t>Устройство колодца К1.18</t>
  </si>
  <si>
    <t>Устройство колодца К1.18.1</t>
  </si>
  <si>
    <t>Монтаж плиты днища КЦД-15 на цементно-песчаный раствор М100 толщиной 20 мм</t>
  </si>
  <si>
    <t>Плита днища  КЦД-15</t>
  </si>
  <si>
    <t>Кольцо стеновое КЦ-15-9</t>
  </si>
  <si>
    <t>Кольцо стеновое КЦ-15-6</t>
  </si>
  <si>
    <t>Плита перекрытия КЦП-1-15-2</t>
  </si>
  <si>
    <t>компл.</t>
  </si>
  <si>
    <t>Монтаж стремянки 902-09-22.84 -КЖИ.С1-02 L=1200 мм</t>
  </si>
  <si>
    <t xml:space="preserve">Стремянка 902-09-22.84 -КЖИ.С1-02 L=1200 мм </t>
  </si>
  <si>
    <t>Устройство участка сетей водоснабжения В1 (наружные)</t>
  </si>
  <si>
    <t>Устройство участка сетей водоснабжения В2 (наружные)</t>
  </si>
  <si>
    <t>Устройство участка сетей водоотведения (канализация) К1 (наружные)</t>
  </si>
  <si>
    <t>Устройство участка сетей водоотведения (водосток) К2 (наружные)</t>
  </si>
  <si>
    <t>Устройство участка трубопровода от Д26, Д33 и К2.50 до К2 сущ.</t>
  </si>
  <si>
    <t>Устройство гравийно-щебёночной подготовки толщиной 150мм, шириной 650 мм, 1050 мм  (втрамбовать в грунт)</t>
  </si>
  <si>
    <t>Труба DN400 Корсис ПРО SN16 ТУ 22.21.21-001-73011750-2018 Корсис "Полипластик</t>
  </si>
  <si>
    <t>Труба DN800 Корсис ПРО SN16 ТУ 22.21.21-001-73011750-2018 Корсис "Полипластик"</t>
  </si>
  <si>
    <t>Устройство трубопровода ∅800мм</t>
  </si>
  <si>
    <t>Устройство колодца Д26</t>
  </si>
  <si>
    <t>нет в проекте</t>
  </si>
  <si>
    <t>Монтаж плиты днища КЦД-7 на цементно-песчаный раствор М100 толщиной 20 мм</t>
  </si>
  <si>
    <t>Плита днища  КЦД-7</t>
  </si>
  <si>
    <t>Кольцо стеновое КЦ-7-9</t>
  </si>
  <si>
    <t>Кольцо стеновое КЦ-7-9б</t>
  </si>
  <si>
    <t>Плита перекрытия КЦП-2-7</t>
  </si>
  <si>
    <t>Набивка лотка бетоном В15</t>
  </si>
  <si>
    <t>Монтаж дождеприемника марки ДБ</t>
  </si>
  <si>
    <t>Дождеприемник ДБ</t>
  </si>
  <si>
    <t>Устройство колодца Д33</t>
  </si>
  <si>
    <t>не требуется</t>
  </si>
  <si>
    <t>Устройство колодца К2.50</t>
  </si>
  <si>
    <t>Плита перекрытия КЦП-1-20-2</t>
  </si>
  <si>
    <t>Монтаж стремянки 902-09-22.84 -КЖИ.С1-08 L=3000 мм</t>
  </si>
  <si>
    <t xml:space="preserve">Стремянка 902-09-22.84 -КЖИ.С1-08 L=3000 мм </t>
  </si>
  <si>
    <t>Устройство колодца К2.51</t>
  </si>
  <si>
    <t>Плита ОП1-К в комплекте с люком тип Т</t>
  </si>
  <si>
    <t>Монтаж плиты ОП1-К в комплекте с люком тип Т на цементно-песчанный раствор М100 толщиной 10 мм</t>
  </si>
  <si>
    <t>Монтаж стремянки 902-09-22.84 -КЖИ.С1-03 L=1500 мм</t>
  </si>
  <si>
    <t xml:space="preserve">Стремянка 902-09-22.84 -КЖИ.С1-03 L=1500 мм </t>
  </si>
  <si>
    <t>Устройство колодца К2.52</t>
  </si>
  <si>
    <r>
      <t xml:space="preserve">Устройство колодца </t>
    </r>
    <r>
      <rPr>
        <b/>
        <sz val="12"/>
        <color rgb="FFFF0000"/>
        <rFont val="Times New Roman"/>
        <family val="1"/>
        <charset val="204"/>
      </rPr>
      <t>ВК3</t>
    </r>
  </si>
  <si>
    <t>увычисть объмы колодцев</t>
  </si>
  <si>
    <t xml:space="preserve"> </t>
  </si>
  <si>
    <t>Огрунтовка днища колодца праймером ТЕХНОНИКОЛЬ №01</t>
  </si>
  <si>
    <t>Устройство обмазочной гидроизоляции днища колодца битумно полимерной мастикой Технониколь №21 в 2 слоя</t>
  </si>
  <si>
    <t>Устройство отверстий с последующей заделкой в местах прохода труб через стенки колодца</t>
  </si>
  <si>
    <t>Огрунтовка стен и плиты перекрытия колодца праймером ТЕХНОНИКОЛЬ №01</t>
  </si>
  <si>
    <t>Устройство обмазочной гидроизоляции стен и плиты перекрытия колодца битумно полимерной мастикой Технониколь №21 в 2 слоя</t>
  </si>
  <si>
    <t>Бетон В7,5</t>
  </si>
  <si>
    <t>Устройство трубопровода</t>
  </si>
  <si>
    <t>1</t>
  </si>
  <si>
    <t>3</t>
  </si>
  <si>
    <t>5</t>
  </si>
  <si>
    <t>2</t>
  </si>
  <si>
    <t>20</t>
  </si>
  <si>
    <t>100</t>
  </si>
  <si>
    <t>200</t>
  </si>
  <si>
    <t>10</t>
  </si>
  <si>
    <t>7</t>
  </si>
  <si>
    <t>6</t>
  </si>
  <si>
    <t>8</t>
  </si>
  <si>
    <t>9</t>
  </si>
  <si>
    <t>11</t>
  </si>
  <si>
    <t>12</t>
  </si>
  <si>
    <t>13</t>
  </si>
  <si>
    <t>14</t>
  </si>
  <si>
    <t>16</t>
  </si>
  <si>
    <t>19</t>
  </si>
  <si>
    <t>23</t>
  </si>
  <si>
    <t>24</t>
  </si>
  <si>
    <t>25</t>
  </si>
  <si>
    <t>26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</si>
  <si>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</si>
  <si>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</si>
  <si>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</si>
  <si>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</si>
  <si>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</si>
  <si>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</si>
  <si>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</si>
  <si>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</si>
  <si>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</si>
  <si>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</si>
  <si>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</si>
  <si>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</si>
  <si>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</si>
  <si>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</si>
  <si>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</si>
  <si>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</si>
  <si>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</si>
  <si>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</si>
  <si>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</si>
  <si>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</si>
  <si>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</si>
  <si>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</si>
  <si>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</si>
  <si>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</si>
  <si>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</si>
  <si>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</si>
  <si>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</si>
  <si>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</si>
  <si>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</si>
  <si>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</si>
  <si>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</si>
  <si>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</si>
  <si>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</si>
  <si>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</si>
  <si>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</si>
  <si>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</si>
  <si>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</si>
  <si>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</si>
  <si>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</si>
  <si>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</si>
  <si>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</si>
  <si>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</si>
  <si>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</si>
  <si>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</si>
  <si>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</si>
  <si>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</si>
  <si>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</si>
  <si>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</si>
  <si>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</si>
  <si>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</si>
  <si>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</si>
  <si>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</si>
  <si>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</si>
  <si>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</si>
  <si>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</si>
  <si>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</si>
  <si>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</si>
  <si>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</si>
  <si>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</si>
  <si>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</si>
  <si>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</si>
  <si>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</si>
  <si>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</si>
  <si>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</si>
  <si>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</si>
  <si>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</si>
  <si>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</si>
  <si>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</si>
  <si>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</si>
  <si>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</si>
  <si>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</si>
  <si>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</si>
  <si>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</si>
  <si>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</si>
  <si>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</si>
  <si>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</si>
  <si>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</si>
  <si>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</si>
  <si>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</si>
  <si>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</si>
  <si>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</si>
  <si>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</si>
  <si>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</si>
  <si>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</si>
  <si>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</si>
  <si>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</si>
  <si>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</si>
  <si>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</si>
  <si>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</si>
  <si>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</si>
  <si>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</si>
  <si>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</si>
  <si>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</si>
  <si>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</si>
  <si>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</si>
  <si>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</si>
  <si>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</si>
  <si>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</si>
  <si>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</si>
  <si>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</si>
  <si>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</si>
  <si>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</si>
  <si>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</si>
  <si>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</si>
  <si>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</si>
  <si>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</si>
  <si>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</si>
  <si>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</si>
  <si>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</si>
  <si>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</si>
  <si>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</si>
  <si>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</si>
  <si>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</si>
  <si>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</si>
  <si>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</si>
  <si>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</si>
  <si>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</si>
  <si>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</si>
  <si>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</si>
  <si>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</si>
  <si>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</si>
  <si>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</si>
  <si>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</si>
  <si>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</si>
  <si>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</si>
  <si>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</si>
  <si>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</si>
  <si>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</si>
  <si>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</si>
  <si>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</si>
  <si>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</si>
  <si>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</si>
  <si>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</si>
  <si>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</si>
  <si>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</si>
  <si>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</si>
  <si>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</si>
  <si>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</si>
  <si>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</si>
  <si>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</si>
  <si>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</si>
  <si>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</si>
  <si>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</si>
  <si>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</si>
  <si>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</si>
  <si>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</si>
  <si>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</si>
  <si>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</si>
  <si>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</si>
  <si>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</si>
  <si>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</si>
  <si>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</si>
  <si>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</si>
  <si>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</si>
  <si>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</si>
  <si>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</si>
  <si>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</si>
  <si>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</si>
  <si>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</si>
  <si>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</si>
  <si>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</si>
  <si>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</si>
  <si>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</si>
  <si>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</si>
  <si>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</si>
  <si>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</si>
  <si>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</si>
  <si>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</si>
  <si>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</si>
  <si>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</si>
  <si>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</si>
  <si>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</si>
  <si>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</si>
  <si>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</si>
  <si>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</si>
  <si>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</si>
  <si>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</si>
  <si>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</si>
  <si>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</si>
  <si>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</si>
  <si>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</si>
  <si>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</si>
  <si>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</si>
  <si>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</si>
  <si>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</si>
  <si>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</si>
  <si>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</si>
  <si>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</si>
  <si>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</si>
  <si>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</si>
  <si>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</si>
  <si>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</si>
  <si>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</si>
  <si>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</si>
  <si>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</si>
  <si>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</si>
  <si>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</si>
  <si>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</si>
  <si>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</si>
  <si>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</si>
  <si>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</si>
  <si>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</si>
  <si>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</si>
  <si>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</si>
  <si>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</si>
  <si>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</si>
  <si>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</si>
  <si>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</si>
  <si>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</si>
  <si>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</si>
  <si>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</si>
  <si>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</si>
  <si>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</si>
  <si>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</si>
  <si>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</si>
  <si>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</si>
  <si>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</si>
  <si>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</si>
  <si>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</si>
  <si>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</si>
  <si>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</si>
  <si>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</si>
  <si>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</si>
  <si>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</si>
  <si>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</si>
  <si>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</si>
  <si>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</si>
  <si>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</si>
  <si>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</si>
  <si>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</si>
  <si>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</si>
  <si>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</si>
  <si>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</si>
  <si>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</si>
  <si>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</si>
  <si>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</si>
  <si>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</si>
  <si>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</si>
  <si>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</si>
  <si>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</si>
  <si>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</si>
  <si>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</si>
  <si>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</si>
  <si>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</si>
  <si>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</si>
  <si>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</si>
  <si>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</si>
  <si>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</si>
  <si>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</si>
  <si>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</si>
  <si>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</si>
  <si>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</si>
  <si>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</si>
  <si>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</si>
  <si>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</si>
  <si>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</si>
  <si>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</si>
  <si>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</si>
  <si>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</si>
  <si>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</si>
  <si>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</si>
  <si>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</si>
  <si>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</si>
  <si>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</si>
  <si>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</si>
  <si>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</si>
  <si>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</si>
  <si>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</si>
  <si>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</si>
  <si>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</si>
  <si>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</si>
  <si>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</si>
  <si>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</si>
  <si>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</si>
  <si>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</si>
  <si>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</si>
  <si>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</si>
  <si>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</si>
  <si>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</si>
  <si>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</si>
  <si>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</si>
  <si>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</si>
  <si>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</si>
  <si>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</si>
  <si>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</si>
  <si>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</si>
  <si>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</si>
  <si>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</si>
  <si>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</si>
  <si>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</si>
  <si>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</si>
  <si>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</si>
  <si>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18</t>
  </si>
  <si>
    <t>21</t>
  </si>
  <si>
    <t>22</t>
  </si>
  <si>
    <t>31</t>
  </si>
  <si>
    <t>32</t>
  </si>
  <si>
    <t>33</t>
  </si>
  <si>
    <t>68</t>
  </si>
  <si>
    <t>81</t>
  </si>
  <si>
    <t>82</t>
  </si>
  <si>
    <t>83</t>
  </si>
  <si>
    <t>84</t>
  </si>
  <si>
    <t>115</t>
  </si>
  <si>
    <t>160</t>
  </si>
  <si>
    <t>173</t>
  </si>
  <si>
    <t>174</t>
  </si>
  <si>
    <t>175</t>
  </si>
  <si>
    <t>176</t>
  </si>
  <si>
    <t>249</t>
  </si>
  <si>
    <t>4</t>
  </si>
  <si>
    <t>15</t>
  </si>
  <si>
    <t>17</t>
  </si>
  <si>
    <t>на устройство наружных сетей водоснабжения и водоотведения (противопожарный водопровод В2)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</si>
  <si>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 xml:space="preserve">Устройство участка сетей водоснабжения (наружный противопожарный водопровод) В2 </t>
  </si>
  <si>
    <t>Труба ПЭ100 SDR13.6-225x16,6 DN225 PN10 питьевая 
ГОСТ 18599-2001</t>
  </si>
  <si>
    <t>Устройство участка трубопровода Ø225 мм  от ввода В2-1 Ø200мм до Уг.1п</t>
  </si>
  <si>
    <t>Устройство участка трубопровода Ø225 мм Уг.1п до Уг.2п</t>
  </si>
  <si>
    <t>Устройство насыпи с уплотнением для устройства траншеи</t>
  </si>
  <si>
    <t>Устройство щебёночной подготовки толщиной 150мм, шириной 480 мм  (втрамбовать в грунт)</t>
  </si>
  <si>
    <t>Устройство монолитного основания трубопровода</t>
  </si>
  <si>
    <t>Устройство участка трубопровода Ø225 мм Уг.2п до Уг.3п</t>
  </si>
  <si>
    <t>Устройство участка трубопровода Ø225 мм Уг.3п до Уг.4п</t>
  </si>
  <si>
    <t>Разработка грунта механизированным способом в отвал</t>
  </si>
  <si>
    <t>Устройство участка трубопровода Ø225 мм Уг.4п до Уг.5п</t>
  </si>
  <si>
    <t>Устройство участка трубопровода Ø225 мм Уг.5п до Уг.6п</t>
  </si>
  <si>
    <t>Устройство участка трубопровода Ø225 мм Уг.6п до Уг.7п</t>
  </si>
  <si>
    <t>Устройство участка трубопровода Ø225 мм Уг.7п до ВК6/ПГ</t>
  </si>
  <si>
    <t>Устройство участка трубопровода Ø225 мм от ВК6/ПГ до ВК5/ПГ</t>
  </si>
  <si>
    <t>Устройство участка трубопровода Ø225 мм Уг.8п до Уг.9п</t>
  </si>
  <si>
    <t>Устройство участка трубопровода Ø225 мм Уг.9п до Уг.10п</t>
  </si>
  <si>
    <t>Устройство участка трубопровода Ø225 мм Уг.10п до Уг.11п</t>
  </si>
  <si>
    <t>Устройство участка трубопровода Ø225 мм Уг.11п до Уг.12п</t>
  </si>
  <si>
    <t>Устройство участка трубопровода Ø225 мм Уг.12п до Уг.13п</t>
  </si>
  <si>
    <t>Устройство участка трубопровода Ø225 мм Уг.13п до Уг.14п</t>
  </si>
  <si>
    <t>Устройство участка трубопровода Ø225 мм Уг.14п до Уг.15п</t>
  </si>
  <si>
    <t>Устройство участка трубопровода Ø225 мм Уг.15п до Уг.16п</t>
  </si>
  <si>
    <t>Устройство участка трубопровода Ø225 мм Уг.16п до Уг.17п</t>
  </si>
  <si>
    <t>Устройство участка трубопровода Ø225 мм Уг.17п до Уг.18п</t>
  </si>
  <si>
    <t>Устройство участка трубопровода Ø225 мм Уг.18п до Уг.19п</t>
  </si>
  <si>
    <t>Устройство участка трубопровода Ø225 мм Уг.19п до колодца ВК4/ПГ</t>
  </si>
  <si>
    <t>Устройство участка трубопровода Ø225 мм от колодца ВК4/ПГ до Уг.20п</t>
  </si>
  <si>
    <t>Устройство участка трубопровода Ø225 мм Уг.20п до колодца ВК1п</t>
  </si>
  <si>
    <t>Обратная засыпка траншеи местным грунтом  из отвала с повышенной степенью уплотнения Ксот&gt;=0,93</t>
  </si>
  <si>
    <t>Устройство участка трубопровода Ø225 мм от колодца ВК1п до колодца ВК3/ПГ</t>
  </si>
  <si>
    <t>Устройство участка трубопровода Ø225 мм от колодца ВК2/ПГ до Уг.24п</t>
  </si>
  <si>
    <t>Устройство участка трубопровода Ø225 мм от Уг.23п до колодца ВК2/ПГ</t>
  </si>
  <si>
    <t>Устройство участка трубопровода Ø225 мм от Уг.22п до Уг.23п</t>
  </si>
  <si>
    <t>Устройство участка трубопровода Ø225 мм от Уг.24п до Уг.25п</t>
  </si>
  <si>
    <t>Устройство участка трубопровода Ø225 мм от колодца ВК1п до Уг.21п</t>
  </si>
  <si>
    <t>Устройство участка трубопровода Ø225 мм от колодца Уг.21п до ввода В2-1.5</t>
  </si>
  <si>
    <t>Кольцо стеновое К-7-0,15</t>
  </si>
  <si>
    <t>Кольцо стеновое К-7-5</t>
  </si>
  <si>
    <t>Монтаж плиты перекрытия ПВГ на цементно-песчаный раствор М100 толщиной 10 мм</t>
  </si>
  <si>
    <t>Плита перекрытия ПВГ-20</t>
  </si>
  <si>
    <t>К1А</t>
  </si>
  <si>
    <t>Монтаж опорной плиты в комплекте с люком тип "Л" на цементно-песчаный раствор М100 толщиной 10 мм</t>
  </si>
  <si>
    <t xml:space="preserve">дополнительная крышка люка с запирающим устройством </t>
  </si>
  <si>
    <t>Устройство лотковой части колодца из бетона В15</t>
  </si>
  <si>
    <t>Монтаж лестницы металлической</t>
  </si>
  <si>
    <t>Лестница металлическая Л1</t>
  </si>
  <si>
    <t>Лестница металлическая Л3</t>
  </si>
  <si>
    <t>Устройство песчаной подсыпки h=50мм под фундамент ВКН-41А</t>
  </si>
  <si>
    <t>устройство монолитной ж.б. плиты фундамента ВКН-41А, толщиной 200мм, бетон В15</t>
  </si>
  <si>
    <t>бетон В15</t>
  </si>
  <si>
    <t>Устройство стен колодца ВКН-41А из блоков бетонных на цементном растворе М100</t>
  </si>
  <si>
    <t>ФБС 24.4.6-т</t>
  </si>
  <si>
    <t>ФБС 12.4.6-т</t>
  </si>
  <si>
    <t>ФБС 9.4.6-т</t>
  </si>
  <si>
    <t>Оснащение колодцев (монтаж оборудования и фасонных элементов)</t>
  </si>
  <si>
    <t>Задвижка чугунная с обрезиненым клином фланцевая ∅200
"Hawle"</t>
  </si>
  <si>
    <t>Задвижка чугунная с обрезиненым клином фланцевая ∅150
"Hawle"</t>
  </si>
  <si>
    <t>Тройник стальной фланцевый ТФ 200х200 ГОСТ 5525-88</t>
  </si>
  <si>
    <t>Пожарная подставка стальная фланцевая ППФ 300х300 ГОСТ 5525-88</t>
  </si>
  <si>
    <t>Гидрант пожарный подземный Н=2.75м "Водоприбор"  ГОСТ 8220-85</t>
  </si>
  <si>
    <t>Гидрант пожарный подземный Н=1,25м "Водоприбор"   ГОСТ 8220-85</t>
  </si>
  <si>
    <t>Стальная гильза ∅300 L=0,25м</t>
  </si>
  <si>
    <t>сетка сварная из арматуры АIII 200х200х8мм</t>
  </si>
  <si>
    <t>Щебёночная подготовка, толщиной 100мм</t>
  </si>
  <si>
    <t>Подключение с куществующим сетям паркинга</t>
  </si>
  <si>
    <t>336</t>
  </si>
  <si>
    <t>337</t>
  </si>
  <si>
    <t>338</t>
  </si>
  <si>
    <t>Устройство бетонных упоров 500х500х500 (альбом СК 2110-88) в местах поворота трубопровода</t>
  </si>
  <si>
    <t>в т.ч. НДС</t>
  </si>
  <si>
    <t>Купить блок фундаментный фбс 12-4-6 в Крыму по низкой цене - Крым.жби-завод.сайт</t>
  </si>
  <si>
    <t>Колодезные кольца КС-7-5 купить в Симферополе - цена от 1 034 руб. от производителя - ТД "УИК"</t>
  </si>
  <si>
    <t>Плита перекрытия колодца ПВГ-20 | «ЖБИ-24»</t>
  </si>
  <si>
    <r>
      <t>Обратная засыпка траншеи местным грунтом  из отвала с повышенной степенью уплотнения К</t>
    </r>
    <r>
      <rPr>
        <vertAlign val="subscript"/>
        <sz val="12"/>
        <rFont val="Times New Roman"/>
        <family val="1"/>
        <charset val="204"/>
      </rPr>
      <t>сот</t>
    </r>
    <r>
      <rPr>
        <sz val="12"/>
        <rFont val="Times New Roman"/>
        <family val="1"/>
        <charset val="204"/>
      </rPr>
      <t>&gt;=0,93</t>
    </r>
  </si>
  <si>
    <r>
      <t>Устройство водопроводных колодцев</t>
    </r>
    <r>
      <rPr>
        <sz val="12"/>
        <rFont val="Times New Roman"/>
        <family val="1"/>
        <charset val="204"/>
      </rPr>
      <t xml:space="preserve"> 
 (ВГ-20 6шт.; ВКН-41А 1шт.)</t>
    </r>
  </si>
  <si>
    <r>
      <t>Обратная засыпка пазух котлована местным грунтом из отвала с повышенной степенью уплотнения К</t>
    </r>
    <r>
      <rPr>
        <vertAlign val="subscript"/>
        <sz val="12"/>
        <rFont val="Times New Roman"/>
        <family val="1"/>
        <charset val="204"/>
      </rPr>
      <t>сот</t>
    </r>
    <r>
      <rPr>
        <sz val="12"/>
        <rFont val="Times New Roman"/>
        <family val="1"/>
        <charset val="204"/>
      </rPr>
      <t>&gt;=0,93</t>
    </r>
  </si>
  <si>
    <t xml:space="preserve">комплекс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</si>
</sst>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u/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wrapText="1"/>
    </xf>
    <xf numFmtId="0" fontId="19" fillId="0" borderId="0" xfId="1" applyFont="1"/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bi-24.ru/kolodec_plita_pvg-20.html" TargetMode="External"/><Relationship Id="rId2" Type="http://schemas.openxmlformats.org/officeDocument/2006/relationships/hyperlink" Target="https://simferopol.uik-rus.ru/product/kolodeznye-kolca-ks-7-5/" TargetMode="External"/><Relationship Id="rId1" Type="http://schemas.openxmlformats.org/officeDocument/2006/relationships/hyperlink" Target="https://www.&#1082;&#1088;&#1099;&#1084;.&#1078;&#1073;&#1080;-&#1079;&#1072;&#1074;&#1086;&#1076;.&#1089;&#1072;&#1081;&#1090;/catalog/fundamentnye-bloki-fbs/blok-fundamentnyy-fbs-12-4-6/?ysclid=m4gyyl20en450363803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8EE5-31D8-454A-B5D5-CE9FB5E5D3F4}">
  <sheetPr>
    <pageSetUpPr fitToPage="1"/>
  </sheetPr>
  <dimension ref="A1:O350"/>
  <sheetViews>
    <sheetView tabSelected="1" view="pageBreakPreview" topLeftCell="A335" zoomScaleNormal="100" zoomScaleSheetLayoutView="100" workbookViewId="0">
      <selection activeCell="C7" sqref="C7:C9"/>
    </sheetView>
  </sheetViews>
  <sheetFormatPr defaultColWidth="8.88671875" defaultRowHeight="15.6" x14ac:dyDescent="0.3"/>
  <cols>
    <col min="1" max="1" width="10.21875" style="60" customWidth="1"/>
    <col min="2" max="2" width="7.5546875" style="58" customWidth="1"/>
    <col min="3" max="3" width="59.44140625" style="59" customWidth="1"/>
    <col min="4" max="4" width="11" style="60" customWidth="1"/>
    <col min="5" max="5" width="12" style="61" customWidth="1"/>
    <col min="6" max="6" width="13.5546875" style="60" bestFit="1" customWidth="1"/>
    <col min="7" max="8" width="12" style="60" customWidth="1"/>
    <col min="9" max="9" width="14.33203125" style="62" customWidth="1"/>
    <col min="10" max="10" width="13.88671875" style="60" customWidth="1"/>
    <col min="11" max="11" width="13" style="60" customWidth="1"/>
    <col min="12" max="12" width="31.33203125" style="60" customWidth="1"/>
    <col min="13" max="16384" width="8.88671875" style="60"/>
  </cols>
  <sheetData>
    <row r="1" spans="2:12" x14ac:dyDescent="0.3">
      <c r="L1" s="63" t="s">
        <v>12</v>
      </c>
    </row>
    <row r="2" spans="2:12" x14ac:dyDescent="0.3">
      <c r="K2" s="100"/>
      <c r="L2" s="100" t="s">
        <v>14</v>
      </c>
    </row>
    <row r="3" spans="2:12" x14ac:dyDescent="0.3">
      <c r="K3" s="104" t="s">
        <v>13</v>
      </c>
      <c r="L3" s="104"/>
    </row>
    <row r="5" spans="2:12" x14ac:dyDescent="0.3">
      <c r="B5" s="103" t="s">
        <v>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2:12" ht="62.25" customHeight="1" x14ac:dyDescent="0.3">
      <c r="B6" s="109" t="s">
        <v>487</v>
      </c>
      <c r="C6" s="109"/>
      <c r="D6" s="109"/>
      <c r="E6" s="109"/>
      <c r="F6" s="109"/>
      <c r="G6" s="109"/>
      <c r="H6" s="109"/>
      <c r="I6" s="109"/>
      <c r="J6" s="109"/>
      <c r="K6" s="109"/>
      <c r="L6" s="101"/>
    </row>
    <row r="7" spans="2:12" x14ac:dyDescent="0.3">
      <c r="B7" s="105" t="s">
        <v>11</v>
      </c>
      <c r="C7" s="106" t="s">
        <v>0</v>
      </c>
      <c r="D7" s="102" t="s">
        <v>1</v>
      </c>
      <c r="E7" s="107" t="s">
        <v>2</v>
      </c>
      <c r="F7" s="102" t="s">
        <v>4</v>
      </c>
      <c r="G7" s="102"/>
      <c r="H7" s="102"/>
      <c r="I7" s="102" t="s">
        <v>5</v>
      </c>
      <c r="J7" s="102"/>
      <c r="K7" s="102"/>
      <c r="L7" s="108" t="s">
        <v>6</v>
      </c>
    </row>
    <row r="8" spans="2:12" x14ac:dyDescent="0.3">
      <c r="B8" s="105"/>
      <c r="C8" s="106"/>
      <c r="D8" s="102"/>
      <c r="E8" s="107"/>
      <c r="F8" s="102" t="s">
        <v>7</v>
      </c>
      <c r="G8" s="102"/>
      <c r="H8" s="102"/>
      <c r="I8" s="102" t="s">
        <v>7</v>
      </c>
      <c r="J8" s="102"/>
      <c r="K8" s="102"/>
      <c r="L8" s="108"/>
    </row>
    <row r="9" spans="2:12" x14ac:dyDescent="0.3">
      <c r="B9" s="105"/>
      <c r="C9" s="106"/>
      <c r="D9" s="102"/>
      <c r="E9" s="107"/>
      <c r="F9" s="64" t="s">
        <v>8</v>
      </c>
      <c r="G9" s="65" t="s">
        <v>9</v>
      </c>
      <c r="H9" s="65" t="s">
        <v>10</v>
      </c>
      <c r="I9" s="65" t="s">
        <v>8</v>
      </c>
      <c r="J9" s="65" t="s">
        <v>9</v>
      </c>
      <c r="K9" s="65" t="s">
        <v>10</v>
      </c>
      <c r="L9" s="108"/>
    </row>
    <row r="10" spans="2:12" s="67" customFormat="1" ht="13.8" x14ac:dyDescent="0.3">
      <c r="B10" s="66">
        <v>1</v>
      </c>
      <c r="C10" s="66">
        <v>2</v>
      </c>
      <c r="D10" s="66">
        <v>3</v>
      </c>
      <c r="E10" s="66">
        <v>4</v>
      </c>
      <c r="F10" s="66">
        <v>8</v>
      </c>
      <c r="G10" s="66">
        <v>9</v>
      </c>
      <c r="H10" s="66">
        <v>10</v>
      </c>
      <c r="I10" s="66">
        <v>11</v>
      </c>
      <c r="J10" s="66">
        <v>12</v>
      </c>
      <c r="K10" s="66">
        <v>13</v>
      </c>
      <c r="L10" s="66">
        <v>14</v>
      </c>
    </row>
    <row r="11" spans="2:12" s="73" customFormat="1" ht="31.2" x14ac:dyDescent="0.3">
      <c r="B11" s="96" t="s">
        <v>152</v>
      </c>
      <c r="C11" s="69" t="s">
        <v>488</v>
      </c>
      <c r="D11" s="99"/>
      <c r="E11" s="97"/>
      <c r="F11" s="98"/>
      <c r="G11" s="98"/>
      <c r="H11" s="98"/>
      <c r="I11" s="98"/>
      <c r="J11" s="98"/>
      <c r="K11" s="98"/>
      <c r="L11" s="72"/>
    </row>
    <row r="12" spans="2:12" s="73" customFormat="1" ht="31.2" x14ac:dyDescent="0.3">
      <c r="B12" s="96" t="s">
        <v>155</v>
      </c>
      <c r="C12" s="69" t="s">
        <v>490</v>
      </c>
      <c r="D12" s="99" t="s">
        <v>23</v>
      </c>
      <c r="E12" s="97">
        <v>5</v>
      </c>
      <c r="F12" s="98"/>
      <c r="G12" s="95"/>
      <c r="H12" s="98"/>
      <c r="I12" s="98"/>
      <c r="J12" s="98"/>
      <c r="K12" s="98"/>
      <c r="L12" s="72"/>
    </row>
    <row r="13" spans="2:12" x14ac:dyDescent="0.3">
      <c r="B13" s="68" t="s">
        <v>153</v>
      </c>
      <c r="C13" s="75" t="s">
        <v>492</v>
      </c>
      <c r="D13" s="64" t="s">
        <v>22</v>
      </c>
      <c r="E13" s="70">
        <v>17.600000000000001</v>
      </c>
      <c r="F13" s="71">
        <v>0</v>
      </c>
      <c r="G13" s="71">
        <v>300</v>
      </c>
      <c r="H13" s="71">
        <f t="shared" ref="H13:H75" si="0">F13+G13</f>
        <v>300</v>
      </c>
      <c r="I13" s="71">
        <f t="shared" ref="I13:I75" si="1">ROUND(F13*E13,2)</f>
        <v>0</v>
      </c>
      <c r="J13" s="71">
        <f t="shared" ref="J13:J75" si="2">ROUND(G13*E13,2)</f>
        <v>5280</v>
      </c>
      <c r="K13" s="71">
        <f t="shared" ref="K13:K75" si="3">I13+J13</f>
        <v>5280</v>
      </c>
      <c r="L13" s="65"/>
    </row>
    <row r="14" spans="2:12" ht="31.2" x14ac:dyDescent="0.3">
      <c r="B14" s="68" t="s">
        <v>484</v>
      </c>
      <c r="C14" s="75" t="s">
        <v>493</v>
      </c>
      <c r="D14" s="64" t="s">
        <v>21</v>
      </c>
      <c r="E14" s="70">
        <f>0.48*E12</f>
        <v>2.4</v>
      </c>
      <c r="F14" s="56">
        <f>1973*0.15</f>
        <v>295.95</v>
      </c>
      <c r="G14" s="56">
        <f>1500*0.15</f>
        <v>225</v>
      </c>
      <c r="H14" s="71">
        <f t="shared" si="0"/>
        <v>520.95000000000005</v>
      </c>
      <c r="I14" s="71">
        <f t="shared" si="1"/>
        <v>710.28</v>
      </c>
      <c r="J14" s="71">
        <f t="shared" si="2"/>
        <v>540</v>
      </c>
      <c r="K14" s="71">
        <f t="shared" si="3"/>
        <v>1250.28</v>
      </c>
      <c r="L14" s="65"/>
    </row>
    <row r="15" spans="2:12" ht="31.2" x14ac:dyDescent="0.3">
      <c r="B15" s="68" t="s">
        <v>154</v>
      </c>
      <c r="C15" s="75" t="s">
        <v>19</v>
      </c>
      <c r="D15" s="64" t="s">
        <v>22</v>
      </c>
      <c r="E15" s="70">
        <f>0.34/10*E12</f>
        <v>0.17</v>
      </c>
      <c r="F15" s="57"/>
      <c r="G15" s="56">
        <v>5860</v>
      </c>
      <c r="H15" s="71">
        <f t="shared" si="0"/>
        <v>5860</v>
      </c>
      <c r="I15" s="71">
        <f t="shared" si="1"/>
        <v>0</v>
      </c>
      <c r="J15" s="71">
        <f t="shared" si="2"/>
        <v>996.2</v>
      </c>
      <c r="K15" s="71">
        <f t="shared" si="3"/>
        <v>996.2</v>
      </c>
      <c r="L15" s="65"/>
    </row>
    <row r="16" spans="2:12" x14ac:dyDescent="0.3">
      <c r="B16" s="68" t="s">
        <v>161</v>
      </c>
      <c r="C16" s="77" t="s">
        <v>150</v>
      </c>
      <c r="D16" s="64" t="s">
        <v>22</v>
      </c>
      <c r="E16" s="70">
        <f>E15*1.02</f>
        <v>0.17340000000000003</v>
      </c>
      <c r="F16" s="57">
        <v>6700</v>
      </c>
      <c r="G16" s="76"/>
      <c r="H16" s="71">
        <f t="shared" si="0"/>
        <v>6700</v>
      </c>
      <c r="I16" s="71">
        <f t="shared" si="1"/>
        <v>1161.78</v>
      </c>
      <c r="J16" s="71">
        <f t="shared" si="2"/>
        <v>0</v>
      </c>
      <c r="K16" s="71">
        <f t="shared" si="3"/>
        <v>1161.78</v>
      </c>
      <c r="L16" s="65"/>
    </row>
    <row r="17" spans="2:12" x14ac:dyDescent="0.3">
      <c r="B17" s="68" t="s">
        <v>160</v>
      </c>
      <c r="C17" s="75" t="s">
        <v>494</v>
      </c>
      <c r="D17" s="64" t="s">
        <v>22</v>
      </c>
      <c r="E17" s="70">
        <f>E12*0.48*0.1</f>
        <v>0.24</v>
      </c>
      <c r="F17" s="57"/>
      <c r="G17" s="56">
        <v>5860</v>
      </c>
      <c r="H17" s="71">
        <f t="shared" si="0"/>
        <v>5860</v>
      </c>
      <c r="I17" s="71">
        <f t="shared" si="1"/>
        <v>0</v>
      </c>
      <c r="J17" s="71">
        <f t="shared" si="2"/>
        <v>1406.4</v>
      </c>
      <c r="K17" s="71">
        <f t="shared" si="3"/>
        <v>1406.4</v>
      </c>
      <c r="L17" s="65"/>
    </row>
    <row r="18" spans="2:12" x14ac:dyDescent="0.3">
      <c r="B18" s="68" t="s">
        <v>162</v>
      </c>
      <c r="C18" s="77" t="s">
        <v>25</v>
      </c>
      <c r="D18" s="64" t="s">
        <v>22</v>
      </c>
      <c r="E18" s="70">
        <f>E17*1.02</f>
        <v>0.24479999999999999</v>
      </c>
      <c r="F18" s="57">
        <v>7100</v>
      </c>
      <c r="G18" s="76"/>
      <c r="H18" s="71">
        <f t="shared" si="0"/>
        <v>7100</v>
      </c>
      <c r="I18" s="71">
        <f t="shared" si="1"/>
        <v>1738.08</v>
      </c>
      <c r="J18" s="71">
        <f t="shared" si="2"/>
        <v>0</v>
      </c>
      <c r="K18" s="71">
        <f t="shared" si="3"/>
        <v>1738.08</v>
      </c>
      <c r="L18" s="65"/>
    </row>
    <row r="19" spans="2:12" x14ac:dyDescent="0.3">
      <c r="B19" s="68" t="s">
        <v>163</v>
      </c>
      <c r="C19" s="75" t="s">
        <v>151</v>
      </c>
      <c r="D19" s="64" t="s">
        <v>23</v>
      </c>
      <c r="E19" s="78">
        <v>5</v>
      </c>
      <c r="F19" s="57"/>
      <c r="G19" s="56">
        <v>2928</v>
      </c>
      <c r="H19" s="71">
        <f t="shared" si="0"/>
        <v>2928</v>
      </c>
      <c r="I19" s="71">
        <f t="shared" si="1"/>
        <v>0</v>
      </c>
      <c r="J19" s="71">
        <f t="shared" si="2"/>
        <v>14640</v>
      </c>
      <c r="K19" s="71">
        <f t="shared" si="3"/>
        <v>14640</v>
      </c>
      <c r="L19" s="65"/>
    </row>
    <row r="20" spans="2:12" ht="31.2" x14ac:dyDescent="0.3">
      <c r="B20" s="68" t="s">
        <v>159</v>
      </c>
      <c r="C20" s="79" t="s">
        <v>489</v>
      </c>
      <c r="D20" s="64" t="s">
        <v>23</v>
      </c>
      <c r="E20" s="78">
        <f>E19*1.1</f>
        <v>5.5</v>
      </c>
      <c r="F20" s="57">
        <v>2195</v>
      </c>
      <c r="G20" s="56"/>
      <c r="H20" s="71">
        <f t="shared" si="0"/>
        <v>2195</v>
      </c>
      <c r="I20" s="71">
        <f t="shared" si="1"/>
        <v>12072.5</v>
      </c>
      <c r="J20" s="71">
        <f t="shared" si="2"/>
        <v>0</v>
      </c>
      <c r="K20" s="71">
        <f t="shared" si="3"/>
        <v>12072.5</v>
      </c>
      <c r="L20" s="65"/>
    </row>
    <row r="21" spans="2:12" x14ac:dyDescent="0.3">
      <c r="B21" s="68" t="s">
        <v>164</v>
      </c>
      <c r="C21" s="75" t="s">
        <v>553</v>
      </c>
      <c r="D21" s="64" t="s">
        <v>565</v>
      </c>
      <c r="E21" s="70">
        <v>1</v>
      </c>
      <c r="F21" s="57"/>
      <c r="G21" s="56">
        <v>10000</v>
      </c>
      <c r="H21" s="71">
        <f t="shared" si="0"/>
        <v>10000</v>
      </c>
      <c r="I21" s="71">
        <f t="shared" si="1"/>
        <v>0</v>
      </c>
      <c r="J21" s="71">
        <f t="shared" si="2"/>
        <v>10000</v>
      </c>
      <c r="K21" s="71">
        <f t="shared" si="3"/>
        <v>10000</v>
      </c>
      <c r="L21" s="65"/>
    </row>
    <row r="22" spans="2:12" ht="33.6" x14ac:dyDescent="0.3">
      <c r="B22" s="68" t="s">
        <v>165</v>
      </c>
      <c r="C22" s="75" t="s">
        <v>562</v>
      </c>
      <c r="D22" s="80" t="s">
        <v>22</v>
      </c>
      <c r="E22" s="70">
        <v>1.51</v>
      </c>
      <c r="F22" s="57"/>
      <c r="G22" s="56">
        <v>439</v>
      </c>
      <c r="H22" s="71">
        <f t="shared" si="0"/>
        <v>439</v>
      </c>
      <c r="I22" s="71">
        <f t="shared" si="1"/>
        <v>0</v>
      </c>
      <c r="J22" s="71">
        <f t="shared" si="2"/>
        <v>662.89</v>
      </c>
      <c r="K22" s="71">
        <f t="shared" si="3"/>
        <v>662.89</v>
      </c>
      <c r="L22" s="65"/>
    </row>
    <row r="23" spans="2:12" ht="31.2" x14ac:dyDescent="0.3">
      <c r="B23" s="96" t="s">
        <v>166</v>
      </c>
      <c r="C23" s="69" t="s">
        <v>491</v>
      </c>
      <c r="D23" s="99" t="s">
        <v>23</v>
      </c>
      <c r="E23" s="97">
        <v>7</v>
      </c>
      <c r="F23" s="98"/>
      <c r="G23" s="95"/>
      <c r="H23" s="98"/>
      <c r="I23" s="98"/>
      <c r="J23" s="98"/>
      <c r="K23" s="98"/>
      <c r="L23" s="65"/>
    </row>
    <row r="24" spans="2:12" x14ac:dyDescent="0.3">
      <c r="B24" s="68" t="s">
        <v>167</v>
      </c>
      <c r="C24" s="75" t="s">
        <v>492</v>
      </c>
      <c r="D24" s="64" t="s">
        <v>22</v>
      </c>
      <c r="E24" s="70">
        <v>17.600000000000001</v>
      </c>
      <c r="F24" s="71">
        <v>0</v>
      </c>
      <c r="G24" s="71">
        <v>300</v>
      </c>
      <c r="H24" s="71">
        <f t="shared" si="0"/>
        <v>300</v>
      </c>
      <c r="I24" s="71">
        <f t="shared" si="1"/>
        <v>0</v>
      </c>
      <c r="J24" s="71">
        <f t="shared" si="2"/>
        <v>5280</v>
      </c>
      <c r="K24" s="71">
        <f t="shared" si="3"/>
        <v>5280</v>
      </c>
      <c r="L24" s="65"/>
    </row>
    <row r="25" spans="2:12" ht="31.2" x14ac:dyDescent="0.3">
      <c r="B25" s="68" t="s">
        <v>485</v>
      </c>
      <c r="C25" s="75" t="s">
        <v>493</v>
      </c>
      <c r="D25" s="64" t="s">
        <v>21</v>
      </c>
      <c r="E25" s="70">
        <f>0.48*E23</f>
        <v>3.36</v>
      </c>
      <c r="F25" s="56">
        <f>1973*0.15</f>
        <v>295.95</v>
      </c>
      <c r="G25" s="56">
        <f>1500*0.15</f>
        <v>225</v>
      </c>
      <c r="H25" s="71">
        <f t="shared" si="0"/>
        <v>520.95000000000005</v>
      </c>
      <c r="I25" s="71">
        <f t="shared" si="1"/>
        <v>994.39</v>
      </c>
      <c r="J25" s="71">
        <f t="shared" si="2"/>
        <v>756</v>
      </c>
      <c r="K25" s="71">
        <f t="shared" si="3"/>
        <v>1750.3899999999999</v>
      </c>
      <c r="L25" s="65"/>
    </row>
    <row r="26" spans="2:12" ht="31.2" x14ac:dyDescent="0.3">
      <c r="B26" s="68" t="s">
        <v>168</v>
      </c>
      <c r="C26" s="75" t="s">
        <v>19</v>
      </c>
      <c r="D26" s="64" t="s">
        <v>22</v>
      </c>
      <c r="E26" s="70">
        <f>0.34/10*E23</f>
        <v>0.23800000000000002</v>
      </c>
      <c r="F26" s="57"/>
      <c r="G26" s="56">
        <v>5860</v>
      </c>
      <c r="H26" s="71">
        <f t="shared" si="0"/>
        <v>5860</v>
      </c>
      <c r="I26" s="71">
        <f t="shared" si="1"/>
        <v>0</v>
      </c>
      <c r="J26" s="71">
        <f t="shared" si="2"/>
        <v>1394.68</v>
      </c>
      <c r="K26" s="71">
        <f t="shared" si="3"/>
        <v>1394.68</v>
      </c>
      <c r="L26" s="65"/>
    </row>
    <row r="27" spans="2:12" x14ac:dyDescent="0.3">
      <c r="B27" s="68" t="s">
        <v>486</v>
      </c>
      <c r="C27" s="77" t="s">
        <v>150</v>
      </c>
      <c r="D27" s="64" t="s">
        <v>22</v>
      </c>
      <c r="E27" s="70">
        <f>E26*1.02</f>
        <v>0.24276000000000003</v>
      </c>
      <c r="F27" s="57">
        <v>6700</v>
      </c>
      <c r="G27" s="76"/>
      <c r="H27" s="71">
        <f t="shared" si="0"/>
        <v>6700</v>
      </c>
      <c r="I27" s="71">
        <f t="shared" si="1"/>
        <v>1626.49</v>
      </c>
      <c r="J27" s="71">
        <f t="shared" si="2"/>
        <v>0</v>
      </c>
      <c r="K27" s="71">
        <f t="shared" si="3"/>
        <v>1626.49</v>
      </c>
      <c r="L27" s="65"/>
    </row>
    <row r="28" spans="2:12" x14ac:dyDescent="0.3">
      <c r="B28" s="68" t="s">
        <v>466</v>
      </c>
      <c r="C28" s="75" t="s">
        <v>24</v>
      </c>
      <c r="D28" s="64" t="s">
        <v>22</v>
      </c>
      <c r="E28" s="70">
        <f>E23*0.48*0.1</f>
        <v>0.33600000000000002</v>
      </c>
      <c r="F28" s="57"/>
      <c r="G28" s="56">
        <v>5860</v>
      </c>
      <c r="H28" s="71">
        <f t="shared" si="0"/>
        <v>5860</v>
      </c>
      <c r="I28" s="71">
        <f t="shared" si="1"/>
        <v>0</v>
      </c>
      <c r="J28" s="71">
        <f t="shared" si="2"/>
        <v>1968.96</v>
      </c>
      <c r="K28" s="71">
        <f t="shared" si="3"/>
        <v>1968.96</v>
      </c>
      <c r="L28" s="65"/>
    </row>
    <row r="29" spans="2:12" x14ac:dyDescent="0.3">
      <c r="B29" s="68" t="s">
        <v>169</v>
      </c>
      <c r="C29" s="77" t="s">
        <v>25</v>
      </c>
      <c r="D29" s="64" t="s">
        <v>22</v>
      </c>
      <c r="E29" s="70">
        <f>E28*1.02</f>
        <v>0.34272000000000002</v>
      </c>
      <c r="F29" s="57">
        <v>7100</v>
      </c>
      <c r="G29" s="76"/>
      <c r="H29" s="71">
        <f t="shared" si="0"/>
        <v>7100</v>
      </c>
      <c r="I29" s="71">
        <f t="shared" si="1"/>
        <v>2433.31</v>
      </c>
      <c r="J29" s="71">
        <f t="shared" si="2"/>
        <v>0</v>
      </c>
      <c r="K29" s="71">
        <f t="shared" si="3"/>
        <v>2433.31</v>
      </c>
      <c r="L29" s="65"/>
    </row>
    <row r="30" spans="2:12" x14ac:dyDescent="0.3">
      <c r="B30" s="68" t="s">
        <v>156</v>
      </c>
      <c r="C30" s="75" t="s">
        <v>151</v>
      </c>
      <c r="D30" s="64" t="s">
        <v>23</v>
      </c>
      <c r="E30" s="70">
        <f>E23</f>
        <v>7</v>
      </c>
      <c r="F30" s="57"/>
      <c r="G30" s="56">
        <v>2928</v>
      </c>
      <c r="H30" s="71">
        <f t="shared" si="0"/>
        <v>2928</v>
      </c>
      <c r="I30" s="71">
        <f t="shared" si="1"/>
        <v>0</v>
      </c>
      <c r="J30" s="71">
        <f t="shared" si="2"/>
        <v>20496</v>
      </c>
      <c r="K30" s="71">
        <f t="shared" si="3"/>
        <v>20496</v>
      </c>
      <c r="L30" s="65"/>
    </row>
    <row r="31" spans="2:12" ht="31.2" x14ac:dyDescent="0.3">
      <c r="B31" s="68" t="s">
        <v>467</v>
      </c>
      <c r="C31" s="79" t="s">
        <v>489</v>
      </c>
      <c r="D31" s="64" t="s">
        <v>23</v>
      </c>
      <c r="E31" s="70">
        <f>E30*1.1</f>
        <v>7.7000000000000011</v>
      </c>
      <c r="F31" s="57">
        <v>2195</v>
      </c>
      <c r="G31" s="56"/>
      <c r="H31" s="71">
        <f t="shared" si="0"/>
        <v>2195</v>
      </c>
      <c r="I31" s="71">
        <f t="shared" si="1"/>
        <v>16901.5</v>
      </c>
      <c r="J31" s="71">
        <f t="shared" si="2"/>
        <v>0</v>
      </c>
      <c r="K31" s="71">
        <f t="shared" si="3"/>
        <v>16901.5</v>
      </c>
      <c r="L31" s="65"/>
    </row>
    <row r="32" spans="2:12" ht="31.2" x14ac:dyDescent="0.3">
      <c r="B32" s="96" t="s">
        <v>468</v>
      </c>
      <c r="C32" s="69" t="s">
        <v>495</v>
      </c>
      <c r="D32" s="99" t="s">
        <v>23</v>
      </c>
      <c r="E32" s="97">
        <v>31.9</v>
      </c>
      <c r="F32" s="98"/>
      <c r="G32" s="95"/>
      <c r="H32" s="98"/>
      <c r="I32" s="98"/>
      <c r="J32" s="98"/>
      <c r="K32" s="98"/>
      <c r="L32" s="65"/>
    </row>
    <row r="33" spans="2:15" x14ac:dyDescent="0.3">
      <c r="B33" s="68" t="s">
        <v>170</v>
      </c>
      <c r="C33" s="75" t="s">
        <v>492</v>
      </c>
      <c r="D33" s="64" t="s">
        <v>22</v>
      </c>
      <c r="E33" s="70">
        <v>176.3</v>
      </c>
      <c r="F33" s="71">
        <v>0</v>
      </c>
      <c r="G33" s="71">
        <v>300</v>
      </c>
      <c r="H33" s="71">
        <f t="shared" si="0"/>
        <v>300</v>
      </c>
      <c r="I33" s="71">
        <f t="shared" si="1"/>
        <v>0</v>
      </c>
      <c r="J33" s="71">
        <f t="shared" si="2"/>
        <v>52890</v>
      </c>
      <c r="K33" s="71">
        <f t="shared" si="3"/>
        <v>52890</v>
      </c>
      <c r="L33" s="65"/>
    </row>
    <row r="34" spans="2:15" ht="31.2" x14ac:dyDescent="0.3">
      <c r="B34" s="68" t="s">
        <v>171</v>
      </c>
      <c r="C34" s="75" t="s">
        <v>493</v>
      </c>
      <c r="D34" s="64" t="s">
        <v>21</v>
      </c>
      <c r="E34" s="70">
        <f>0.48*E32</f>
        <v>15.311999999999999</v>
      </c>
      <c r="F34" s="56">
        <f>1973*0.15</f>
        <v>295.95</v>
      </c>
      <c r="G34" s="56">
        <f>1500*0.15</f>
        <v>225</v>
      </c>
      <c r="H34" s="71">
        <f t="shared" si="0"/>
        <v>520.95000000000005</v>
      </c>
      <c r="I34" s="71">
        <f t="shared" si="1"/>
        <v>4531.59</v>
      </c>
      <c r="J34" s="71">
        <f t="shared" si="2"/>
        <v>3445.2</v>
      </c>
      <c r="K34" s="71">
        <f t="shared" si="3"/>
        <v>7976.79</v>
      </c>
      <c r="L34" s="65"/>
      <c r="N34" s="60">
        <f>E34*0.15</f>
        <v>2.2967999999999997</v>
      </c>
      <c r="O34" s="60">
        <f>N34*1973</f>
        <v>4531.5863999999992</v>
      </c>
    </row>
    <row r="35" spans="2:15" ht="31.2" x14ac:dyDescent="0.3">
      <c r="B35" s="68" t="s">
        <v>172</v>
      </c>
      <c r="C35" s="75" t="s">
        <v>19</v>
      </c>
      <c r="D35" s="64" t="s">
        <v>22</v>
      </c>
      <c r="E35" s="70">
        <f>0.34/10*E32</f>
        <v>1.0846</v>
      </c>
      <c r="F35" s="57"/>
      <c r="G35" s="56">
        <v>5860</v>
      </c>
      <c r="H35" s="71">
        <f t="shared" si="0"/>
        <v>5860</v>
      </c>
      <c r="I35" s="71">
        <f t="shared" si="1"/>
        <v>0</v>
      </c>
      <c r="J35" s="71">
        <f t="shared" si="2"/>
        <v>6355.76</v>
      </c>
      <c r="K35" s="71">
        <f t="shared" si="3"/>
        <v>6355.76</v>
      </c>
      <c r="L35" s="65"/>
    </row>
    <row r="36" spans="2:15" x14ac:dyDescent="0.3">
      <c r="B36" s="68" t="s">
        <v>173</v>
      </c>
      <c r="C36" s="77" t="s">
        <v>150</v>
      </c>
      <c r="D36" s="64" t="s">
        <v>22</v>
      </c>
      <c r="E36" s="70">
        <f>E35*1.02</f>
        <v>1.1062920000000001</v>
      </c>
      <c r="F36" s="57">
        <v>6700</v>
      </c>
      <c r="G36" s="76"/>
      <c r="H36" s="71">
        <f t="shared" si="0"/>
        <v>6700</v>
      </c>
      <c r="I36" s="71">
        <f t="shared" si="1"/>
        <v>7412.16</v>
      </c>
      <c r="J36" s="71">
        <f t="shared" si="2"/>
        <v>0</v>
      </c>
      <c r="K36" s="71">
        <f t="shared" si="3"/>
        <v>7412.16</v>
      </c>
      <c r="L36" s="65"/>
    </row>
    <row r="37" spans="2:15" x14ac:dyDescent="0.3">
      <c r="B37" s="68" t="s">
        <v>174</v>
      </c>
      <c r="C37" s="75" t="s">
        <v>24</v>
      </c>
      <c r="D37" s="64" t="s">
        <v>22</v>
      </c>
      <c r="E37" s="70">
        <f>E32*0.48*0.1</f>
        <v>1.5312000000000001</v>
      </c>
      <c r="F37" s="57"/>
      <c r="G37" s="56">
        <v>5860</v>
      </c>
      <c r="H37" s="71">
        <f t="shared" si="0"/>
        <v>5860</v>
      </c>
      <c r="I37" s="71">
        <f t="shared" si="1"/>
        <v>0</v>
      </c>
      <c r="J37" s="71">
        <f t="shared" si="2"/>
        <v>8972.83</v>
      </c>
      <c r="K37" s="71">
        <f t="shared" si="3"/>
        <v>8972.83</v>
      </c>
      <c r="L37" s="65"/>
    </row>
    <row r="38" spans="2:15" x14ac:dyDescent="0.3">
      <c r="B38" s="68" t="s">
        <v>175</v>
      </c>
      <c r="C38" s="77" t="s">
        <v>25</v>
      </c>
      <c r="D38" s="64" t="s">
        <v>22</v>
      </c>
      <c r="E38" s="70">
        <f>E37*1.02</f>
        <v>1.5618240000000001</v>
      </c>
      <c r="F38" s="57">
        <v>7100</v>
      </c>
      <c r="G38" s="76"/>
      <c r="H38" s="71">
        <f t="shared" si="0"/>
        <v>7100</v>
      </c>
      <c r="I38" s="71">
        <f t="shared" si="1"/>
        <v>11088.95</v>
      </c>
      <c r="J38" s="71">
        <f t="shared" si="2"/>
        <v>0</v>
      </c>
      <c r="K38" s="71">
        <f t="shared" si="3"/>
        <v>11088.95</v>
      </c>
      <c r="L38" s="65"/>
    </row>
    <row r="39" spans="2:15" x14ac:dyDescent="0.3">
      <c r="B39" s="68" t="s">
        <v>176</v>
      </c>
      <c r="C39" s="75" t="s">
        <v>151</v>
      </c>
      <c r="D39" s="64" t="s">
        <v>23</v>
      </c>
      <c r="E39" s="70">
        <f>E32</f>
        <v>31.9</v>
      </c>
      <c r="F39" s="57"/>
      <c r="G39" s="56">
        <v>2928</v>
      </c>
      <c r="H39" s="71">
        <f t="shared" si="0"/>
        <v>2928</v>
      </c>
      <c r="I39" s="71">
        <f t="shared" si="1"/>
        <v>0</v>
      </c>
      <c r="J39" s="71">
        <f t="shared" si="2"/>
        <v>93403.199999999997</v>
      </c>
      <c r="K39" s="71">
        <f t="shared" si="3"/>
        <v>93403.199999999997</v>
      </c>
      <c r="L39" s="65"/>
    </row>
    <row r="40" spans="2:15" ht="31.2" x14ac:dyDescent="0.3">
      <c r="B40" s="68" t="s">
        <v>177</v>
      </c>
      <c r="C40" s="79" t="s">
        <v>489</v>
      </c>
      <c r="D40" s="64" t="s">
        <v>23</v>
      </c>
      <c r="E40" s="70">
        <f>E39*1.1</f>
        <v>35.090000000000003</v>
      </c>
      <c r="F40" s="57">
        <v>2195</v>
      </c>
      <c r="G40" s="56"/>
      <c r="H40" s="71">
        <f t="shared" si="0"/>
        <v>2195</v>
      </c>
      <c r="I40" s="71">
        <f t="shared" si="1"/>
        <v>77022.55</v>
      </c>
      <c r="J40" s="71">
        <f t="shared" si="2"/>
        <v>0</v>
      </c>
      <c r="K40" s="71">
        <f t="shared" si="3"/>
        <v>77022.55</v>
      </c>
      <c r="L40" s="65"/>
    </row>
    <row r="41" spans="2:15" ht="31.2" x14ac:dyDescent="0.3">
      <c r="B41" s="96" t="s">
        <v>469</v>
      </c>
      <c r="C41" s="69" t="s">
        <v>496</v>
      </c>
      <c r="D41" s="99" t="s">
        <v>23</v>
      </c>
      <c r="E41" s="97">
        <v>38.9</v>
      </c>
      <c r="F41" s="98"/>
      <c r="G41" s="95"/>
      <c r="H41" s="98"/>
      <c r="I41" s="98"/>
      <c r="J41" s="98"/>
      <c r="K41" s="98"/>
      <c r="L41" s="65"/>
    </row>
    <row r="42" spans="2:15" x14ac:dyDescent="0.3">
      <c r="B42" s="68" t="s">
        <v>470</v>
      </c>
      <c r="C42" s="75" t="s">
        <v>492</v>
      </c>
      <c r="D42" s="64" t="s">
        <v>22</v>
      </c>
      <c r="E42" s="70">
        <v>126.18</v>
      </c>
      <c r="F42" s="71">
        <v>0</v>
      </c>
      <c r="G42" s="71">
        <v>300</v>
      </c>
      <c r="H42" s="71">
        <f t="shared" si="0"/>
        <v>300</v>
      </c>
      <c r="I42" s="71">
        <f t="shared" si="1"/>
        <v>0</v>
      </c>
      <c r="J42" s="71">
        <f t="shared" si="2"/>
        <v>37854</v>
      </c>
      <c r="K42" s="71">
        <f t="shared" si="3"/>
        <v>37854</v>
      </c>
      <c r="L42" s="65"/>
    </row>
    <row r="43" spans="2:15" x14ac:dyDescent="0.3">
      <c r="B43" s="68" t="s">
        <v>471</v>
      </c>
      <c r="C43" s="81" t="s">
        <v>497</v>
      </c>
      <c r="D43" s="64" t="s">
        <v>22</v>
      </c>
      <c r="E43" s="70">
        <v>2.5</v>
      </c>
      <c r="F43" s="57"/>
      <c r="G43" s="56">
        <v>300</v>
      </c>
      <c r="H43" s="71">
        <f t="shared" si="0"/>
        <v>300</v>
      </c>
      <c r="I43" s="71">
        <f t="shared" si="1"/>
        <v>0</v>
      </c>
      <c r="J43" s="71">
        <f t="shared" si="2"/>
        <v>750</v>
      </c>
      <c r="K43" s="71">
        <f t="shared" si="3"/>
        <v>750</v>
      </c>
      <c r="L43" s="65"/>
    </row>
    <row r="44" spans="2:15" ht="31.2" x14ac:dyDescent="0.3">
      <c r="B44" s="68" t="s">
        <v>178</v>
      </c>
      <c r="C44" s="75" t="s">
        <v>493</v>
      </c>
      <c r="D44" s="64" t="s">
        <v>21</v>
      </c>
      <c r="E44" s="70">
        <f>0.48*E41</f>
        <v>18.671999999999997</v>
      </c>
      <c r="F44" s="56">
        <f>1973*0.15</f>
        <v>295.95</v>
      </c>
      <c r="G44" s="56">
        <f>1500*0.15</f>
        <v>225</v>
      </c>
      <c r="H44" s="71">
        <f t="shared" si="0"/>
        <v>520.95000000000005</v>
      </c>
      <c r="I44" s="71">
        <f t="shared" si="1"/>
        <v>5525.98</v>
      </c>
      <c r="J44" s="71">
        <f t="shared" si="2"/>
        <v>4201.2</v>
      </c>
      <c r="K44" s="71">
        <f t="shared" si="3"/>
        <v>9727.18</v>
      </c>
      <c r="L44" s="65"/>
    </row>
    <row r="45" spans="2:15" ht="31.2" x14ac:dyDescent="0.3">
      <c r="B45" s="68" t="s">
        <v>179</v>
      </c>
      <c r="C45" s="75" t="s">
        <v>19</v>
      </c>
      <c r="D45" s="64" t="s">
        <v>22</v>
      </c>
      <c r="E45" s="70">
        <f>0.34/10*E41</f>
        <v>1.3226</v>
      </c>
      <c r="F45" s="57"/>
      <c r="G45" s="56">
        <v>5860</v>
      </c>
      <c r="H45" s="71">
        <f t="shared" si="0"/>
        <v>5860</v>
      </c>
      <c r="I45" s="71">
        <f t="shared" si="1"/>
        <v>0</v>
      </c>
      <c r="J45" s="71">
        <f t="shared" si="2"/>
        <v>7750.44</v>
      </c>
      <c r="K45" s="71">
        <f t="shared" si="3"/>
        <v>7750.44</v>
      </c>
      <c r="L45" s="65"/>
    </row>
    <row r="46" spans="2:15" x14ac:dyDescent="0.3">
      <c r="B46" s="68" t="s">
        <v>180</v>
      </c>
      <c r="C46" s="77" t="s">
        <v>150</v>
      </c>
      <c r="D46" s="64" t="s">
        <v>22</v>
      </c>
      <c r="E46" s="70">
        <f>E45*1.02</f>
        <v>1.3490519999999999</v>
      </c>
      <c r="F46" s="57">
        <v>6700</v>
      </c>
      <c r="G46" s="76"/>
      <c r="H46" s="71">
        <f t="shared" si="0"/>
        <v>6700</v>
      </c>
      <c r="I46" s="71">
        <f t="shared" si="1"/>
        <v>9038.65</v>
      </c>
      <c r="J46" s="71">
        <f t="shared" si="2"/>
        <v>0</v>
      </c>
      <c r="K46" s="71">
        <f t="shared" si="3"/>
        <v>9038.65</v>
      </c>
      <c r="L46" s="65"/>
    </row>
    <row r="47" spans="2:15" x14ac:dyDescent="0.3">
      <c r="B47" s="68" t="s">
        <v>181</v>
      </c>
      <c r="C47" s="75" t="s">
        <v>24</v>
      </c>
      <c r="D47" s="64" t="s">
        <v>22</v>
      </c>
      <c r="E47" s="70">
        <f>E41*0.48*0.1</f>
        <v>1.8671999999999997</v>
      </c>
      <c r="F47" s="57"/>
      <c r="G47" s="56">
        <v>5860</v>
      </c>
      <c r="H47" s="71">
        <f t="shared" si="0"/>
        <v>5860</v>
      </c>
      <c r="I47" s="71">
        <f t="shared" si="1"/>
        <v>0</v>
      </c>
      <c r="J47" s="71">
        <f t="shared" si="2"/>
        <v>10941.79</v>
      </c>
      <c r="K47" s="71">
        <f t="shared" si="3"/>
        <v>10941.79</v>
      </c>
      <c r="L47" s="65"/>
    </row>
    <row r="48" spans="2:15" x14ac:dyDescent="0.3">
      <c r="B48" s="68" t="s">
        <v>182</v>
      </c>
      <c r="C48" s="77" t="s">
        <v>25</v>
      </c>
      <c r="D48" s="64" t="s">
        <v>22</v>
      </c>
      <c r="E48" s="70">
        <f>E47*1.02</f>
        <v>1.9045439999999998</v>
      </c>
      <c r="F48" s="57">
        <v>7100</v>
      </c>
      <c r="G48" s="76"/>
      <c r="H48" s="71">
        <f t="shared" si="0"/>
        <v>7100</v>
      </c>
      <c r="I48" s="71">
        <f t="shared" si="1"/>
        <v>13522.26</v>
      </c>
      <c r="J48" s="71">
        <f t="shared" si="2"/>
        <v>0</v>
      </c>
      <c r="K48" s="71">
        <f t="shared" si="3"/>
        <v>13522.26</v>
      </c>
      <c r="L48" s="65"/>
    </row>
    <row r="49" spans="2:12" x14ac:dyDescent="0.3">
      <c r="B49" s="68" t="s">
        <v>183</v>
      </c>
      <c r="C49" s="75" t="s">
        <v>151</v>
      </c>
      <c r="D49" s="64" t="s">
        <v>23</v>
      </c>
      <c r="E49" s="70">
        <f>E41</f>
        <v>38.9</v>
      </c>
      <c r="F49" s="57"/>
      <c r="G49" s="56">
        <v>2928</v>
      </c>
      <c r="H49" s="71">
        <f t="shared" si="0"/>
        <v>2928</v>
      </c>
      <c r="I49" s="71">
        <f t="shared" si="1"/>
        <v>0</v>
      </c>
      <c r="J49" s="71">
        <f t="shared" si="2"/>
        <v>113899.2</v>
      </c>
      <c r="K49" s="71">
        <f t="shared" si="3"/>
        <v>113899.2</v>
      </c>
      <c r="L49" s="65"/>
    </row>
    <row r="50" spans="2:12" ht="31.2" x14ac:dyDescent="0.3">
      <c r="B50" s="68" t="s">
        <v>184</v>
      </c>
      <c r="C50" s="79" t="s">
        <v>489</v>
      </c>
      <c r="D50" s="64" t="s">
        <v>23</v>
      </c>
      <c r="E50" s="70">
        <f>E49*1.1</f>
        <v>42.79</v>
      </c>
      <c r="F50" s="57">
        <v>2195</v>
      </c>
      <c r="G50" s="56"/>
      <c r="H50" s="71">
        <f t="shared" si="0"/>
        <v>2195</v>
      </c>
      <c r="I50" s="71">
        <f t="shared" si="1"/>
        <v>93924.05</v>
      </c>
      <c r="J50" s="71">
        <f t="shared" si="2"/>
        <v>0</v>
      </c>
      <c r="K50" s="71">
        <f t="shared" si="3"/>
        <v>93924.05</v>
      </c>
      <c r="L50" s="65"/>
    </row>
    <row r="51" spans="2:12" ht="31.2" x14ac:dyDescent="0.3">
      <c r="B51" s="96" t="s">
        <v>185</v>
      </c>
      <c r="C51" s="69" t="s">
        <v>498</v>
      </c>
      <c r="D51" s="99" t="s">
        <v>23</v>
      </c>
      <c r="E51" s="97">
        <v>2.9</v>
      </c>
      <c r="F51" s="98"/>
      <c r="G51" s="95"/>
      <c r="H51" s="98"/>
      <c r="I51" s="98"/>
      <c r="J51" s="98"/>
      <c r="K51" s="98"/>
      <c r="L51" s="65"/>
    </row>
    <row r="52" spans="2:12" x14ac:dyDescent="0.3">
      <c r="B52" s="68" t="s">
        <v>186</v>
      </c>
      <c r="C52" s="81" t="s">
        <v>497</v>
      </c>
      <c r="D52" s="64" t="s">
        <v>22</v>
      </c>
      <c r="E52" s="70">
        <v>3.88</v>
      </c>
      <c r="F52" s="57"/>
      <c r="G52" s="56">
        <v>300</v>
      </c>
      <c r="H52" s="71">
        <f t="shared" si="0"/>
        <v>300</v>
      </c>
      <c r="I52" s="71">
        <f t="shared" si="1"/>
        <v>0</v>
      </c>
      <c r="J52" s="71">
        <f t="shared" si="2"/>
        <v>1164</v>
      </c>
      <c r="K52" s="71">
        <f t="shared" si="3"/>
        <v>1164</v>
      </c>
      <c r="L52" s="65"/>
    </row>
    <row r="53" spans="2:12" ht="31.2" x14ac:dyDescent="0.3">
      <c r="B53" s="68" t="s">
        <v>187</v>
      </c>
      <c r="C53" s="75" t="s">
        <v>493</v>
      </c>
      <c r="D53" s="64" t="s">
        <v>21</v>
      </c>
      <c r="E53" s="70">
        <f>0.48*E51</f>
        <v>1.3919999999999999</v>
      </c>
      <c r="F53" s="56">
        <f>1973*0.15</f>
        <v>295.95</v>
      </c>
      <c r="G53" s="56">
        <f>1500*0.15</f>
        <v>225</v>
      </c>
      <c r="H53" s="71">
        <f t="shared" si="0"/>
        <v>520.95000000000005</v>
      </c>
      <c r="I53" s="71">
        <f t="shared" si="1"/>
        <v>411.96</v>
      </c>
      <c r="J53" s="71">
        <f t="shared" si="2"/>
        <v>313.2</v>
      </c>
      <c r="K53" s="71">
        <f t="shared" si="3"/>
        <v>725.16</v>
      </c>
      <c r="L53" s="65"/>
    </row>
    <row r="54" spans="2:12" ht="31.2" x14ac:dyDescent="0.3">
      <c r="B54" s="68" t="s">
        <v>188</v>
      </c>
      <c r="C54" s="75" t="s">
        <v>19</v>
      </c>
      <c r="D54" s="64" t="s">
        <v>22</v>
      </c>
      <c r="E54" s="70">
        <f>0.34/10*E51</f>
        <v>9.8600000000000007E-2</v>
      </c>
      <c r="F54" s="57"/>
      <c r="G54" s="56">
        <v>5860</v>
      </c>
      <c r="H54" s="71">
        <f t="shared" si="0"/>
        <v>5860</v>
      </c>
      <c r="I54" s="71">
        <f t="shared" si="1"/>
        <v>0</v>
      </c>
      <c r="J54" s="71">
        <f t="shared" si="2"/>
        <v>577.79999999999995</v>
      </c>
      <c r="K54" s="71">
        <f t="shared" si="3"/>
        <v>577.79999999999995</v>
      </c>
      <c r="L54" s="65"/>
    </row>
    <row r="55" spans="2:12" x14ac:dyDescent="0.3">
      <c r="B55" s="68" t="s">
        <v>189</v>
      </c>
      <c r="C55" s="77" t="s">
        <v>150</v>
      </c>
      <c r="D55" s="64" t="s">
        <v>22</v>
      </c>
      <c r="E55" s="70">
        <f>E54*1.02</f>
        <v>0.10057200000000001</v>
      </c>
      <c r="F55" s="57">
        <v>6700</v>
      </c>
      <c r="G55" s="76"/>
      <c r="H55" s="71">
        <f t="shared" si="0"/>
        <v>6700</v>
      </c>
      <c r="I55" s="71">
        <f t="shared" si="1"/>
        <v>673.83</v>
      </c>
      <c r="J55" s="71">
        <f t="shared" si="2"/>
        <v>0</v>
      </c>
      <c r="K55" s="71">
        <f t="shared" si="3"/>
        <v>673.83</v>
      </c>
      <c r="L55" s="65"/>
    </row>
    <row r="56" spans="2:12" x14ac:dyDescent="0.3">
      <c r="B56" s="68" t="s">
        <v>190</v>
      </c>
      <c r="C56" s="75" t="s">
        <v>24</v>
      </c>
      <c r="D56" s="64" t="s">
        <v>22</v>
      </c>
      <c r="E56" s="70">
        <f>E51*0.48*0.1</f>
        <v>0.13919999999999999</v>
      </c>
      <c r="F56" s="57"/>
      <c r="G56" s="56">
        <v>5860</v>
      </c>
      <c r="H56" s="71">
        <f t="shared" si="0"/>
        <v>5860</v>
      </c>
      <c r="I56" s="71">
        <f t="shared" si="1"/>
        <v>0</v>
      </c>
      <c r="J56" s="71">
        <f t="shared" si="2"/>
        <v>815.71</v>
      </c>
      <c r="K56" s="71">
        <f t="shared" si="3"/>
        <v>815.71</v>
      </c>
      <c r="L56" s="65"/>
    </row>
    <row r="57" spans="2:12" x14ac:dyDescent="0.3">
      <c r="B57" s="68" t="s">
        <v>191</v>
      </c>
      <c r="C57" s="77" t="s">
        <v>25</v>
      </c>
      <c r="D57" s="64" t="s">
        <v>22</v>
      </c>
      <c r="E57" s="70">
        <f>E56*1.02</f>
        <v>0.141984</v>
      </c>
      <c r="F57" s="57">
        <v>7100</v>
      </c>
      <c r="G57" s="76"/>
      <c r="H57" s="71">
        <f t="shared" si="0"/>
        <v>7100</v>
      </c>
      <c r="I57" s="71">
        <f t="shared" si="1"/>
        <v>1008.09</v>
      </c>
      <c r="J57" s="71">
        <f t="shared" si="2"/>
        <v>0</v>
      </c>
      <c r="K57" s="71">
        <f t="shared" si="3"/>
        <v>1008.09</v>
      </c>
      <c r="L57" s="65"/>
    </row>
    <row r="58" spans="2:12" x14ac:dyDescent="0.3">
      <c r="B58" s="68" t="s">
        <v>192</v>
      </c>
      <c r="C58" s="75" t="s">
        <v>151</v>
      </c>
      <c r="D58" s="64" t="s">
        <v>23</v>
      </c>
      <c r="E58" s="70">
        <f>E51</f>
        <v>2.9</v>
      </c>
      <c r="F58" s="57"/>
      <c r="G58" s="56">
        <v>2928</v>
      </c>
      <c r="H58" s="71">
        <f t="shared" si="0"/>
        <v>2928</v>
      </c>
      <c r="I58" s="71">
        <f t="shared" si="1"/>
        <v>0</v>
      </c>
      <c r="J58" s="71">
        <f t="shared" si="2"/>
        <v>8491.2000000000007</v>
      </c>
      <c r="K58" s="71">
        <f t="shared" si="3"/>
        <v>8491.2000000000007</v>
      </c>
      <c r="L58" s="65"/>
    </row>
    <row r="59" spans="2:12" ht="31.2" x14ac:dyDescent="0.3">
      <c r="B59" s="68" t="s">
        <v>193</v>
      </c>
      <c r="C59" s="79" t="s">
        <v>489</v>
      </c>
      <c r="D59" s="64" t="s">
        <v>23</v>
      </c>
      <c r="E59" s="70">
        <f>E58*1.1</f>
        <v>3.19</v>
      </c>
      <c r="F59" s="57">
        <v>2195</v>
      </c>
      <c r="G59" s="56"/>
      <c r="H59" s="71">
        <f t="shared" si="0"/>
        <v>2195</v>
      </c>
      <c r="I59" s="71">
        <f t="shared" si="1"/>
        <v>7002.05</v>
      </c>
      <c r="J59" s="71">
        <f t="shared" si="2"/>
        <v>0</v>
      </c>
      <c r="K59" s="71">
        <f t="shared" si="3"/>
        <v>7002.05</v>
      </c>
      <c r="L59" s="65"/>
    </row>
    <row r="60" spans="2:12" ht="33.6" x14ac:dyDescent="0.3">
      <c r="B60" s="68" t="s">
        <v>194</v>
      </c>
      <c r="C60" s="75" t="s">
        <v>562</v>
      </c>
      <c r="D60" s="80" t="s">
        <v>22</v>
      </c>
      <c r="E60" s="70">
        <v>0.53</v>
      </c>
      <c r="F60" s="57"/>
      <c r="G60" s="56">
        <v>439</v>
      </c>
      <c r="H60" s="71">
        <f t="shared" si="0"/>
        <v>439</v>
      </c>
      <c r="I60" s="71">
        <f t="shared" si="1"/>
        <v>0</v>
      </c>
      <c r="J60" s="71">
        <f t="shared" si="2"/>
        <v>232.67</v>
      </c>
      <c r="K60" s="71">
        <f t="shared" si="3"/>
        <v>232.67</v>
      </c>
      <c r="L60" s="65"/>
    </row>
    <row r="61" spans="2:12" ht="31.2" x14ac:dyDescent="0.3">
      <c r="B61" s="96" t="s">
        <v>195</v>
      </c>
      <c r="C61" s="69" t="s">
        <v>499</v>
      </c>
      <c r="D61" s="99" t="s">
        <v>23</v>
      </c>
      <c r="E61" s="97">
        <v>21.6</v>
      </c>
      <c r="F61" s="98"/>
      <c r="G61" s="95"/>
      <c r="H61" s="98"/>
      <c r="I61" s="98"/>
      <c r="J61" s="98"/>
      <c r="K61" s="98"/>
      <c r="L61" s="65"/>
    </row>
    <row r="62" spans="2:12" x14ac:dyDescent="0.3">
      <c r="B62" s="68" t="s">
        <v>196</v>
      </c>
      <c r="C62" s="81" t="s">
        <v>497</v>
      </c>
      <c r="D62" s="64" t="s">
        <v>22</v>
      </c>
      <c r="E62" s="70">
        <v>160.44999999999999</v>
      </c>
      <c r="F62" s="57"/>
      <c r="G62" s="56">
        <v>300</v>
      </c>
      <c r="H62" s="71">
        <f t="shared" si="0"/>
        <v>300</v>
      </c>
      <c r="I62" s="71">
        <f t="shared" si="1"/>
        <v>0</v>
      </c>
      <c r="J62" s="71">
        <f t="shared" si="2"/>
        <v>48135</v>
      </c>
      <c r="K62" s="71">
        <f t="shared" si="3"/>
        <v>48135</v>
      </c>
      <c r="L62" s="65"/>
    </row>
    <row r="63" spans="2:12" ht="31.2" x14ac:dyDescent="0.3">
      <c r="B63" s="68" t="s">
        <v>197</v>
      </c>
      <c r="C63" s="75" t="s">
        <v>493</v>
      </c>
      <c r="D63" s="64" t="s">
        <v>21</v>
      </c>
      <c r="E63" s="70">
        <f>0.48*E61</f>
        <v>10.368</v>
      </c>
      <c r="F63" s="56">
        <f>1973*0.15</f>
        <v>295.95</v>
      </c>
      <c r="G63" s="56">
        <f>1500*0.15</f>
        <v>225</v>
      </c>
      <c r="H63" s="71">
        <f t="shared" si="0"/>
        <v>520.95000000000005</v>
      </c>
      <c r="I63" s="71">
        <f t="shared" si="1"/>
        <v>3068.41</v>
      </c>
      <c r="J63" s="71">
        <f t="shared" si="2"/>
        <v>2332.8000000000002</v>
      </c>
      <c r="K63" s="71">
        <f t="shared" si="3"/>
        <v>5401.21</v>
      </c>
      <c r="L63" s="65"/>
    </row>
    <row r="64" spans="2:12" ht="31.2" x14ac:dyDescent="0.3">
      <c r="B64" s="68" t="s">
        <v>198</v>
      </c>
      <c r="C64" s="75" t="s">
        <v>19</v>
      </c>
      <c r="D64" s="64" t="s">
        <v>22</v>
      </c>
      <c r="E64" s="70">
        <f>0.34/10*E61</f>
        <v>0.73440000000000005</v>
      </c>
      <c r="F64" s="57"/>
      <c r="G64" s="56">
        <v>5860</v>
      </c>
      <c r="H64" s="71">
        <f t="shared" si="0"/>
        <v>5860</v>
      </c>
      <c r="I64" s="71">
        <f t="shared" si="1"/>
        <v>0</v>
      </c>
      <c r="J64" s="71">
        <f t="shared" si="2"/>
        <v>4303.58</v>
      </c>
      <c r="K64" s="71">
        <f t="shared" si="3"/>
        <v>4303.58</v>
      </c>
      <c r="L64" s="65"/>
    </row>
    <row r="65" spans="2:12" x14ac:dyDescent="0.3">
      <c r="B65" s="68" t="s">
        <v>199</v>
      </c>
      <c r="C65" s="77" t="s">
        <v>150</v>
      </c>
      <c r="D65" s="64" t="s">
        <v>22</v>
      </c>
      <c r="E65" s="70">
        <f>E64*1.02</f>
        <v>0.74908800000000009</v>
      </c>
      <c r="F65" s="57">
        <v>6700</v>
      </c>
      <c r="G65" s="76"/>
      <c r="H65" s="71">
        <f t="shared" si="0"/>
        <v>6700</v>
      </c>
      <c r="I65" s="71">
        <f t="shared" si="1"/>
        <v>5018.8900000000003</v>
      </c>
      <c r="J65" s="71">
        <f t="shared" si="2"/>
        <v>0</v>
      </c>
      <c r="K65" s="71">
        <f t="shared" si="3"/>
        <v>5018.8900000000003</v>
      </c>
      <c r="L65" s="65"/>
    </row>
    <row r="66" spans="2:12" x14ac:dyDescent="0.3">
      <c r="B66" s="68" t="s">
        <v>200</v>
      </c>
      <c r="C66" s="75" t="s">
        <v>24</v>
      </c>
      <c r="D66" s="64" t="s">
        <v>22</v>
      </c>
      <c r="E66" s="70">
        <f>E61*0.48*0.1</f>
        <v>1.0368000000000002</v>
      </c>
      <c r="F66" s="57"/>
      <c r="G66" s="56">
        <v>5860</v>
      </c>
      <c r="H66" s="71">
        <f t="shared" si="0"/>
        <v>5860</v>
      </c>
      <c r="I66" s="71">
        <f t="shared" si="1"/>
        <v>0</v>
      </c>
      <c r="J66" s="71">
        <f t="shared" si="2"/>
        <v>6075.65</v>
      </c>
      <c r="K66" s="71">
        <f t="shared" si="3"/>
        <v>6075.65</v>
      </c>
      <c r="L66" s="65"/>
    </row>
    <row r="67" spans="2:12" x14ac:dyDescent="0.3">
      <c r="B67" s="68" t="s">
        <v>201</v>
      </c>
      <c r="C67" s="77" t="s">
        <v>25</v>
      </c>
      <c r="D67" s="64" t="s">
        <v>22</v>
      </c>
      <c r="E67" s="70">
        <f>E66*1.02</f>
        <v>1.0575360000000003</v>
      </c>
      <c r="F67" s="57">
        <v>7100</v>
      </c>
      <c r="G67" s="76"/>
      <c r="H67" s="71">
        <f t="shared" si="0"/>
        <v>7100</v>
      </c>
      <c r="I67" s="71">
        <f t="shared" si="1"/>
        <v>7508.51</v>
      </c>
      <c r="J67" s="71">
        <f t="shared" si="2"/>
        <v>0</v>
      </c>
      <c r="K67" s="71">
        <f t="shared" si="3"/>
        <v>7508.51</v>
      </c>
      <c r="L67" s="65"/>
    </row>
    <row r="68" spans="2:12" x14ac:dyDescent="0.3">
      <c r="B68" s="68" t="s">
        <v>202</v>
      </c>
      <c r="C68" s="75" t="s">
        <v>151</v>
      </c>
      <c r="D68" s="64" t="s">
        <v>23</v>
      </c>
      <c r="E68" s="78">
        <f>E61</f>
        <v>21.6</v>
      </c>
      <c r="F68" s="57"/>
      <c r="G68" s="56">
        <v>2928</v>
      </c>
      <c r="H68" s="71">
        <f t="shared" si="0"/>
        <v>2928</v>
      </c>
      <c r="I68" s="71">
        <f t="shared" si="1"/>
        <v>0</v>
      </c>
      <c r="J68" s="71">
        <f t="shared" si="2"/>
        <v>63244.800000000003</v>
      </c>
      <c r="K68" s="71">
        <f t="shared" si="3"/>
        <v>63244.800000000003</v>
      </c>
      <c r="L68" s="65"/>
    </row>
    <row r="69" spans="2:12" ht="31.2" x14ac:dyDescent="0.3">
      <c r="B69" s="68" t="s">
        <v>203</v>
      </c>
      <c r="C69" s="79" t="s">
        <v>489</v>
      </c>
      <c r="D69" s="64" t="s">
        <v>23</v>
      </c>
      <c r="E69" s="78">
        <f>E68*1.1</f>
        <v>23.760000000000005</v>
      </c>
      <c r="F69" s="57">
        <v>2195</v>
      </c>
      <c r="G69" s="56"/>
      <c r="H69" s="71">
        <f t="shared" si="0"/>
        <v>2195</v>
      </c>
      <c r="I69" s="71">
        <f t="shared" si="1"/>
        <v>52153.2</v>
      </c>
      <c r="J69" s="71">
        <f t="shared" si="2"/>
        <v>0</v>
      </c>
      <c r="K69" s="71">
        <f t="shared" si="3"/>
        <v>52153.2</v>
      </c>
      <c r="L69" s="65"/>
    </row>
    <row r="70" spans="2:12" ht="33.6" x14ac:dyDescent="0.3">
      <c r="B70" s="68" t="s">
        <v>204</v>
      </c>
      <c r="C70" s="75" t="s">
        <v>562</v>
      </c>
      <c r="D70" s="80" t="s">
        <v>22</v>
      </c>
      <c r="E70" s="70">
        <v>177.18</v>
      </c>
      <c r="F70" s="57"/>
      <c r="G70" s="56">
        <v>439</v>
      </c>
      <c r="H70" s="71">
        <f t="shared" si="0"/>
        <v>439</v>
      </c>
      <c r="I70" s="71">
        <f t="shared" si="1"/>
        <v>0</v>
      </c>
      <c r="J70" s="71">
        <f t="shared" si="2"/>
        <v>77782.02</v>
      </c>
      <c r="K70" s="71">
        <f t="shared" si="3"/>
        <v>77782.02</v>
      </c>
      <c r="L70" s="65"/>
    </row>
    <row r="71" spans="2:12" ht="31.2" x14ac:dyDescent="0.3">
      <c r="B71" s="96" t="s">
        <v>205</v>
      </c>
      <c r="C71" s="69" t="s">
        <v>500</v>
      </c>
      <c r="D71" s="99" t="s">
        <v>23</v>
      </c>
      <c r="E71" s="97">
        <v>36.200000000000003</v>
      </c>
      <c r="F71" s="98"/>
      <c r="G71" s="95"/>
      <c r="H71" s="98"/>
      <c r="I71" s="98"/>
      <c r="J71" s="98"/>
      <c r="K71" s="98"/>
      <c r="L71" s="65"/>
    </row>
    <row r="72" spans="2:12" x14ac:dyDescent="0.3">
      <c r="B72" s="68" t="s">
        <v>206</v>
      </c>
      <c r="C72" s="81" t="s">
        <v>492</v>
      </c>
      <c r="D72" s="64" t="s">
        <v>22</v>
      </c>
      <c r="E72" s="70">
        <v>7.45</v>
      </c>
      <c r="F72" s="71">
        <v>0</v>
      </c>
      <c r="G72" s="71">
        <v>300</v>
      </c>
      <c r="H72" s="71">
        <f t="shared" si="0"/>
        <v>300</v>
      </c>
      <c r="I72" s="71">
        <f t="shared" si="1"/>
        <v>0</v>
      </c>
      <c r="J72" s="71">
        <f t="shared" si="2"/>
        <v>2235</v>
      </c>
      <c r="K72" s="71">
        <f t="shared" si="3"/>
        <v>2235</v>
      </c>
      <c r="L72" s="65"/>
    </row>
    <row r="73" spans="2:12" x14ac:dyDescent="0.3">
      <c r="B73" s="68" t="s">
        <v>207</v>
      </c>
      <c r="C73" s="81" t="s">
        <v>497</v>
      </c>
      <c r="D73" s="64" t="s">
        <v>22</v>
      </c>
      <c r="E73" s="70">
        <v>348.35</v>
      </c>
      <c r="F73" s="57"/>
      <c r="G73" s="56">
        <v>300</v>
      </c>
      <c r="H73" s="71">
        <f t="shared" si="0"/>
        <v>300</v>
      </c>
      <c r="I73" s="71">
        <f t="shared" si="1"/>
        <v>0</v>
      </c>
      <c r="J73" s="71">
        <f t="shared" si="2"/>
        <v>104505</v>
      </c>
      <c r="K73" s="71">
        <f t="shared" si="3"/>
        <v>104505</v>
      </c>
      <c r="L73" s="65"/>
    </row>
    <row r="74" spans="2:12" ht="31.2" x14ac:dyDescent="0.3">
      <c r="B74" s="68" t="s">
        <v>208</v>
      </c>
      <c r="C74" s="75" t="s">
        <v>493</v>
      </c>
      <c r="D74" s="64" t="s">
        <v>21</v>
      </c>
      <c r="E74" s="70">
        <f>0.48*E71</f>
        <v>17.376000000000001</v>
      </c>
      <c r="F74" s="56">
        <f>1973*0.15</f>
        <v>295.95</v>
      </c>
      <c r="G74" s="56">
        <f>1500*0.15</f>
        <v>225</v>
      </c>
      <c r="H74" s="71">
        <f t="shared" si="0"/>
        <v>520.95000000000005</v>
      </c>
      <c r="I74" s="71">
        <f t="shared" si="1"/>
        <v>5142.43</v>
      </c>
      <c r="J74" s="71">
        <f t="shared" si="2"/>
        <v>3909.6</v>
      </c>
      <c r="K74" s="71">
        <f t="shared" si="3"/>
        <v>9052.0300000000007</v>
      </c>
      <c r="L74" s="65"/>
    </row>
    <row r="75" spans="2:12" ht="31.2" x14ac:dyDescent="0.3">
      <c r="B75" s="68" t="s">
        <v>209</v>
      </c>
      <c r="C75" s="75" t="s">
        <v>19</v>
      </c>
      <c r="D75" s="64" t="s">
        <v>22</v>
      </c>
      <c r="E75" s="70">
        <f>0.34/10*E71</f>
        <v>1.2308000000000001</v>
      </c>
      <c r="F75" s="57"/>
      <c r="G75" s="56">
        <v>5860</v>
      </c>
      <c r="H75" s="71">
        <f t="shared" si="0"/>
        <v>5860</v>
      </c>
      <c r="I75" s="71">
        <f t="shared" si="1"/>
        <v>0</v>
      </c>
      <c r="J75" s="71">
        <f t="shared" si="2"/>
        <v>7212.49</v>
      </c>
      <c r="K75" s="71">
        <f t="shared" si="3"/>
        <v>7212.49</v>
      </c>
      <c r="L75" s="65"/>
    </row>
    <row r="76" spans="2:12" x14ac:dyDescent="0.3">
      <c r="B76" s="68" t="s">
        <v>210</v>
      </c>
      <c r="C76" s="77" t="s">
        <v>150</v>
      </c>
      <c r="D76" s="64" t="s">
        <v>22</v>
      </c>
      <c r="E76" s="70">
        <f>E75*1.02</f>
        <v>1.2554160000000001</v>
      </c>
      <c r="F76" s="57">
        <v>6700</v>
      </c>
      <c r="G76" s="76"/>
      <c r="H76" s="71">
        <f t="shared" ref="H76:H138" si="4">F76+G76</f>
        <v>6700</v>
      </c>
      <c r="I76" s="71">
        <f t="shared" ref="I76:I138" si="5">ROUND(F76*E76,2)</f>
        <v>8411.2900000000009</v>
      </c>
      <c r="J76" s="71">
        <f t="shared" ref="J76:J138" si="6">ROUND(G76*E76,2)</f>
        <v>0</v>
      </c>
      <c r="K76" s="71">
        <f t="shared" ref="K76:K138" si="7">I76+J76</f>
        <v>8411.2900000000009</v>
      </c>
      <c r="L76" s="65"/>
    </row>
    <row r="77" spans="2:12" x14ac:dyDescent="0.3">
      <c r="B77" s="68" t="s">
        <v>211</v>
      </c>
      <c r="C77" s="75" t="s">
        <v>24</v>
      </c>
      <c r="D77" s="64" t="s">
        <v>22</v>
      </c>
      <c r="E77" s="70">
        <f>E71*0.48*0.1</f>
        <v>1.7376000000000003</v>
      </c>
      <c r="F77" s="57"/>
      <c r="G77" s="56">
        <v>5860</v>
      </c>
      <c r="H77" s="71">
        <f t="shared" si="4"/>
        <v>5860</v>
      </c>
      <c r="I77" s="71">
        <f t="shared" si="5"/>
        <v>0</v>
      </c>
      <c r="J77" s="71">
        <f t="shared" si="6"/>
        <v>10182.34</v>
      </c>
      <c r="K77" s="71">
        <f t="shared" si="7"/>
        <v>10182.34</v>
      </c>
      <c r="L77" s="65"/>
    </row>
    <row r="78" spans="2:12" x14ac:dyDescent="0.3">
      <c r="B78" s="68" t="s">
        <v>472</v>
      </c>
      <c r="C78" s="77" t="s">
        <v>25</v>
      </c>
      <c r="D78" s="64" t="s">
        <v>22</v>
      </c>
      <c r="E78" s="70">
        <f>E77*1.02</f>
        <v>1.7723520000000004</v>
      </c>
      <c r="F78" s="57">
        <v>7100</v>
      </c>
      <c r="G78" s="76"/>
      <c r="H78" s="71">
        <f t="shared" si="4"/>
        <v>7100</v>
      </c>
      <c r="I78" s="71">
        <f t="shared" si="5"/>
        <v>12583.7</v>
      </c>
      <c r="J78" s="71">
        <f t="shared" si="6"/>
        <v>0</v>
      </c>
      <c r="K78" s="71">
        <f t="shared" si="7"/>
        <v>12583.7</v>
      </c>
      <c r="L78" s="65"/>
    </row>
    <row r="79" spans="2:12" x14ac:dyDescent="0.3">
      <c r="B79" s="68" t="s">
        <v>212</v>
      </c>
      <c r="C79" s="75" t="s">
        <v>151</v>
      </c>
      <c r="D79" s="64" t="s">
        <v>23</v>
      </c>
      <c r="E79" s="70">
        <f>E71</f>
        <v>36.200000000000003</v>
      </c>
      <c r="F79" s="57"/>
      <c r="G79" s="56">
        <v>2928</v>
      </c>
      <c r="H79" s="71">
        <f t="shared" si="4"/>
        <v>2928</v>
      </c>
      <c r="I79" s="71">
        <f t="shared" si="5"/>
        <v>0</v>
      </c>
      <c r="J79" s="71">
        <f t="shared" si="6"/>
        <v>105993.60000000001</v>
      </c>
      <c r="K79" s="71">
        <f t="shared" si="7"/>
        <v>105993.60000000001</v>
      </c>
      <c r="L79" s="65"/>
    </row>
    <row r="80" spans="2:12" ht="31.2" x14ac:dyDescent="0.3">
      <c r="B80" s="68" t="s">
        <v>213</v>
      </c>
      <c r="C80" s="79" t="s">
        <v>489</v>
      </c>
      <c r="D80" s="64" t="s">
        <v>23</v>
      </c>
      <c r="E80" s="70">
        <f>E79*1.1</f>
        <v>39.820000000000007</v>
      </c>
      <c r="F80" s="57">
        <v>2195</v>
      </c>
      <c r="G80" s="56"/>
      <c r="H80" s="71">
        <f t="shared" si="4"/>
        <v>2195</v>
      </c>
      <c r="I80" s="71">
        <f t="shared" si="5"/>
        <v>87404.9</v>
      </c>
      <c r="J80" s="71">
        <f t="shared" si="6"/>
        <v>0</v>
      </c>
      <c r="K80" s="71">
        <f t="shared" si="7"/>
        <v>87404.9</v>
      </c>
      <c r="L80" s="65"/>
    </row>
    <row r="81" spans="2:12" ht="33.6" x14ac:dyDescent="0.3">
      <c r="B81" s="68" t="s">
        <v>214</v>
      </c>
      <c r="C81" s="75" t="s">
        <v>562</v>
      </c>
      <c r="D81" s="80" t="s">
        <v>22</v>
      </c>
      <c r="E81" s="70">
        <v>501.6</v>
      </c>
      <c r="F81" s="57"/>
      <c r="G81" s="56">
        <v>439</v>
      </c>
      <c r="H81" s="71">
        <f t="shared" si="4"/>
        <v>439</v>
      </c>
      <c r="I81" s="71">
        <f t="shared" si="5"/>
        <v>0</v>
      </c>
      <c r="J81" s="71">
        <f t="shared" si="6"/>
        <v>220202.4</v>
      </c>
      <c r="K81" s="71">
        <f t="shared" si="7"/>
        <v>220202.4</v>
      </c>
      <c r="L81" s="65"/>
    </row>
    <row r="82" spans="2:12" ht="31.2" x14ac:dyDescent="0.3">
      <c r="B82" s="96" t="s">
        <v>215</v>
      </c>
      <c r="C82" s="69" t="s">
        <v>501</v>
      </c>
      <c r="D82" s="99" t="s">
        <v>23</v>
      </c>
      <c r="E82" s="97">
        <v>14.5</v>
      </c>
      <c r="F82" s="98"/>
      <c r="G82" s="95"/>
      <c r="H82" s="98"/>
      <c r="I82" s="98"/>
      <c r="J82" s="98"/>
      <c r="K82" s="98"/>
      <c r="L82" s="65"/>
    </row>
    <row r="83" spans="2:12" x14ac:dyDescent="0.3">
      <c r="B83" s="68" t="s">
        <v>216</v>
      </c>
      <c r="C83" s="81" t="s">
        <v>492</v>
      </c>
      <c r="D83" s="64" t="s">
        <v>22</v>
      </c>
      <c r="E83" s="70">
        <v>15.2</v>
      </c>
      <c r="F83" s="71">
        <v>0</v>
      </c>
      <c r="G83" s="71">
        <v>300</v>
      </c>
      <c r="H83" s="71">
        <f t="shared" si="4"/>
        <v>300</v>
      </c>
      <c r="I83" s="71">
        <f t="shared" si="5"/>
        <v>0</v>
      </c>
      <c r="J83" s="71">
        <f t="shared" si="6"/>
        <v>4560</v>
      </c>
      <c r="K83" s="71">
        <f t="shared" si="7"/>
        <v>4560</v>
      </c>
      <c r="L83" s="65"/>
    </row>
    <row r="84" spans="2:12" x14ac:dyDescent="0.3">
      <c r="B84" s="68" t="s">
        <v>217</v>
      </c>
      <c r="C84" s="81" t="s">
        <v>497</v>
      </c>
      <c r="D84" s="64" t="s">
        <v>22</v>
      </c>
      <c r="E84" s="70">
        <v>1.93</v>
      </c>
      <c r="F84" s="57"/>
      <c r="G84" s="56">
        <v>300</v>
      </c>
      <c r="H84" s="71">
        <f t="shared" si="4"/>
        <v>300</v>
      </c>
      <c r="I84" s="71">
        <f t="shared" si="5"/>
        <v>0</v>
      </c>
      <c r="J84" s="71">
        <f t="shared" si="6"/>
        <v>579</v>
      </c>
      <c r="K84" s="71">
        <f t="shared" si="7"/>
        <v>579</v>
      </c>
      <c r="L84" s="65"/>
    </row>
    <row r="85" spans="2:12" ht="31.2" x14ac:dyDescent="0.3">
      <c r="B85" s="68" t="s">
        <v>218</v>
      </c>
      <c r="C85" s="75" t="s">
        <v>493</v>
      </c>
      <c r="D85" s="64" t="s">
        <v>21</v>
      </c>
      <c r="E85" s="70">
        <f>0.48*E82</f>
        <v>6.96</v>
      </c>
      <c r="F85" s="56">
        <f>1973*0.15</f>
        <v>295.95</v>
      </c>
      <c r="G85" s="56">
        <f>1500*0.15</f>
        <v>225</v>
      </c>
      <c r="H85" s="71">
        <f t="shared" si="4"/>
        <v>520.95000000000005</v>
      </c>
      <c r="I85" s="71">
        <f t="shared" si="5"/>
        <v>2059.81</v>
      </c>
      <c r="J85" s="71">
        <f t="shared" si="6"/>
        <v>1566</v>
      </c>
      <c r="K85" s="71">
        <f t="shared" si="7"/>
        <v>3625.81</v>
      </c>
      <c r="L85" s="65"/>
    </row>
    <row r="86" spans="2:12" ht="31.2" x14ac:dyDescent="0.3">
      <c r="B86" s="68" t="s">
        <v>219</v>
      </c>
      <c r="C86" s="75" t="s">
        <v>19</v>
      </c>
      <c r="D86" s="64" t="s">
        <v>22</v>
      </c>
      <c r="E86" s="70">
        <f>0.34/10*E82</f>
        <v>0.49300000000000005</v>
      </c>
      <c r="F86" s="57"/>
      <c r="G86" s="56">
        <v>5860</v>
      </c>
      <c r="H86" s="71">
        <f t="shared" si="4"/>
        <v>5860</v>
      </c>
      <c r="I86" s="71">
        <f t="shared" si="5"/>
        <v>0</v>
      </c>
      <c r="J86" s="71">
        <f t="shared" si="6"/>
        <v>2888.98</v>
      </c>
      <c r="K86" s="71">
        <f t="shared" si="7"/>
        <v>2888.98</v>
      </c>
      <c r="L86" s="65"/>
    </row>
    <row r="87" spans="2:12" x14ac:dyDescent="0.3">
      <c r="B87" s="68" t="s">
        <v>220</v>
      </c>
      <c r="C87" s="77" t="s">
        <v>150</v>
      </c>
      <c r="D87" s="64" t="s">
        <v>22</v>
      </c>
      <c r="E87" s="70">
        <f>E86*1.02</f>
        <v>0.50286000000000008</v>
      </c>
      <c r="F87" s="57">
        <v>6700</v>
      </c>
      <c r="G87" s="76"/>
      <c r="H87" s="71">
        <f t="shared" si="4"/>
        <v>6700</v>
      </c>
      <c r="I87" s="71">
        <f t="shared" si="5"/>
        <v>3369.16</v>
      </c>
      <c r="J87" s="71">
        <f t="shared" si="6"/>
        <v>0</v>
      </c>
      <c r="K87" s="71">
        <f t="shared" si="7"/>
        <v>3369.16</v>
      </c>
      <c r="L87" s="65"/>
    </row>
    <row r="88" spans="2:12" x14ac:dyDescent="0.3">
      <c r="B88" s="68" t="s">
        <v>221</v>
      </c>
      <c r="C88" s="75" t="s">
        <v>24</v>
      </c>
      <c r="D88" s="64" t="s">
        <v>22</v>
      </c>
      <c r="E88" s="70">
        <f>E82*0.48*0.1</f>
        <v>0.69600000000000006</v>
      </c>
      <c r="F88" s="57"/>
      <c r="G88" s="56">
        <v>5860</v>
      </c>
      <c r="H88" s="71">
        <f t="shared" si="4"/>
        <v>5860</v>
      </c>
      <c r="I88" s="71">
        <f t="shared" si="5"/>
        <v>0</v>
      </c>
      <c r="J88" s="71">
        <f t="shared" si="6"/>
        <v>4078.56</v>
      </c>
      <c r="K88" s="71">
        <f t="shared" si="7"/>
        <v>4078.56</v>
      </c>
      <c r="L88" s="65"/>
    </row>
    <row r="89" spans="2:12" x14ac:dyDescent="0.3">
      <c r="B89" s="68" t="s">
        <v>222</v>
      </c>
      <c r="C89" s="77" t="s">
        <v>25</v>
      </c>
      <c r="D89" s="64" t="s">
        <v>22</v>
      </c>
      <c r="E89" s="70">
        <f>E88*1.02</f>
        <v>0.70992000000000011</v>
      </c>
      <c r="F89" s="57">
        <v>7100</v>
      </c>
      <c r="G89" s="76"/>
      <c r="H89" s="71">
        <f t="shared" si="4"/>
        <v>7100</v>
      </c>
      <c r="I89" s="71">
        <f t="shared" si="5"/>
        <v>5040.43</v>
      </c>
      <c r="J89" s="71">
        <f t="shared" si="6"/>
        <v>0</v>
      </c>
      <c r="K89" s="71">
        <f t="shared" si="7"/>
        <v>5040.43</v>
      </c>
      <c r="L89" s="65"/>
    </row>
    <row r="90" spans="2:12" x14ac:dyDescent="0.3">
      <c r="B90" s="68" t="s">
        <v>223</v>
      </c>
      <c r="C90" s="75" t="s">
        <v>151</v>
      </c>
      <c r="D90" s="64" t="s">
        <v>23</v>
      </c>
      <c r="E90" s="70">
        <f>E82</f>
        <v>14.5</v>
      </c>
      <c r="F90" s="57"/>
      <c r="G90" s="56">
        <v>2928</v>
      </c>
      <c r="H90" s="71">
        <f t="shared" si="4"/>
        <v>2928</v>
      </c>
      <c r="I90" s="71">
        <f t="shared" si="5"/>
        <v>0</v>
      </c>
      <c r="J90" s="71">
        <f t="shared" si="6"/>
        <v>42456</v>
      </c>
      <c r="K90" s="71">
        <f t="shared" si="7"/>
        <v>42456</v>
      </c>
      <c r="L90" s="65"/>
    </row>
    <row r="91" spans="2:12" ht="31.2" x14ac:dyDescent="0.3">
      <c r="B91" s="68" t="s">
        <v>473</v>
      </c>
      <c r="C91" s="79" t="s">
        <v>489</v>
      </c>
      <c r="D91" s="64" t="s">
        <v>23</v>
      </c>
      <c r="E91" s="70">
        <f>E90*1.1</f>
        <v>15.950000000000001</v>
      </c>
      <c r="F91" s="57">
        <v>2195</v>
      </c>
      <c r="G91" s="56"/>
      <c r="H91" s="71">
        <f t="shared" si="4"/>
        <v>2195</v>
      </c>
      <c r="I91" s="71">
        <f t="shared" si="5"/>
        <v>35010.25</v>
      </c>
      <c r="J91" s="71">
        <f t="shared" si="6"/>
        <v>0</v>
      </c>
      <c r="K91" s="71">
        <f t="shared" si="7"/>
        <v>35010.25</v>
      </c>
      <c r="L91" s="65"/>
    </row>
    <row r="92" spans="2:12" ht="33.6" x14ac:dyDescent="0.3">
      <c r="B92" s="68" t="s">
        <v>474</v>
      </c>
      <c r="C92" s="75" t="s">
        <v>562</v>
      </c>
      <c r="D92" s="80" t="s">
        <v>22</v>
      </c>
      <c r="E92" s="70">
        <v>116.5</v>
      </c>
      <c r="F92" s="57"/>
      <c r="G92" s="56">
        <v>439</v>
      </c>
      <c r="H92" s="71">
        <f t="shared" si="4"/>
        <v>439</v>
      </c>
      <c r="I92" s="71">
        <f t="shared" si="5"/>
        <v>0</v>
      </c>
      <c r="J92" s="71">
        <f t="shared" si="6"/>
        <v>51143.5</v>
      </c>
      <c r="K92" s="71">
        <f t="shared" si="7"/>
        <v>51143.5</v>
      </c>
      <c r="L92" s="65"/>
    </row>
    <row r="93" spans="2:12" ht="31.2" x14ac:dyDescent="0.3">
      <c r="B93" s="96" t="s">
        <v>475</v>
      </c>
      <c r="C93" s="69" t="s">
        <v>502</v>
      </c>
      <c r="D93" s="99" t="s">
        <v>23</v>
      </c>
      <c r="E93" s="97">
        <v>4</v>
      </c>
      <c r="F93" s="98"/>
      <c r="G93" s="95"/>
      <c r="H93" s="98"/>
      <c r="I93" s="98"/>
      <c r="J93" s="98"/>
      <c r="K93" s="98"/>
      <c r="L93" s="65"/>
    </row>
    <row r="94" spans="2:12" x14ac:dyDescent="0.3">
      <c r="B94" s="68" t="s">
        <v>476</v>
      </c>
      <c r="C94" s="81" t="s">
        <v>497</v>
      </c>
      <c r="D94" s="64" t="s">
        <v>22</v>
      </c>
      <c r="E94" s="70">
        <v>3.62</v>
      </c>
      <c r="F94" s="57"/>
      <c r="G94" s="56">
        <v>300</v>
      </c>
      <c r="H94" s="71">
        <f t="shared" si="4"/>
        <v>300</v>
      </c>
      <c r="I94" s="71">
        <f t="shared" si="5"/>
        <v>0</v>
      </c>
      <c r="J94" s="71">
        <f t="shared" si="6"/>
        <v>1086</v>
      </c>
      <c r="K94" s="71">
        <f t="shared" si="7"/>
        <v>1086</v>
      </c>
      <c r="L94" s="65"/>
    </row>
    <row r="95" spans="2:12" ht="31.2" x14ac:dyDescent="0.3">
      <c r="B95" s="68" t="s">
        <v>224</v>
      </c>
      <c r="C95" s="75" t="s">
        <v>493</v>
      </c>
      <c r="D95" s="64" t="s">
        <v>21</v>
      </c>
      <c r="E95" s="70">
        <f>0.48*E93</f>
        <v>1.92</v>
      </c>
      <c r="F95" s="56">
        <f>1973*0.15</f>
        <v>295.95</v>
      </c>
      <c r="G95" s="56">
        <f>1500*0.15</f>
        <v>225</v>
      </c>
      <c r="H95" s="71">
        <f t="shared" si="4"/>
        <v>520.95000000000005</v>
      </c>
      <c r="I95" s="71">
        <f t="shared" si="5"/>
        <v>568.22</v>
      </c>
      <c r="J95" s="71">
        <f t="shared" si="6"/>
        <v>432</v>
      </c>
      <c r="K95" s="71">
        <f t="shared" si="7"/>
        <v>1000.22</v>
      </c>
      <c r="L95" s="65"/>
    </row>
    <row r="96" spans="2:12" ht="31.2" x14ac:dyDescent="0.3">
      <c r="B96" s="68" t="s">
        <v>225</v>
      </c>
      <c r="C96" s="75" t="s">
        <v>19</v>
      </c>
      <c r="D96" s="64" t="s">
        <v>22</v>
      </c>
      <c r="E96" s="70">
        <f>0.34/10*E93</f>
        <v>0.13600000000000001</v>
      </c>
      <c r="F96" s="57"/>
      <c r="G96" s="56">
        <v>5860</v>
      </c>
      <c r="H96" s="71">
        <f t="shared" si="4"/>
        <v>5860</v>
      </c>
      <c r="I96" s="71">
        <f t="shared" si="5"/>
        <v>0</v>
      </c>
      <c r="J96" s="71">
        <f t="shared" si="6"/>
        <v>796.96</v>
      </c>
      <c r="K96" s="71">
        <f t="shared" si="7"/>
        <v>796.96</v>
      </c>
      <c r="L96" s="65"/>
    </row>
    <row r="97" spans="2:12" x14ac:dyDescent="0.3">
      <c r="B97" s="68" t="s">
        <v>226</v>
      </c>
      <c r="C97" s="77" t="s">
        <v>150</v>
      </c>
      <c r="D97" s="64" t="s">
        <v>22</v>
      </c>
      <c r="E97" s="70">
        <f>E96*1.02</f>
        <v>0.13872000000000001</v>
      </c>
      <c r="F97" s="57">
        <v>6700</v>
      </c>
      <c r="G97" s="76"/>
      <c r="H97" s="71">
        <f t="shared" si="4"/>
        <v>6700</v>
      </c>
      <c r="I97" s="71">
        <f t="shared" si="5"/>
        <v>929.42</v>
      </c>
      <c r="J97" s="71">
        <f t="shared" si="6"/>
        <v>0</v>
      </c>
      <c r="K97" s="71">
        <f t="shared" si="7"/>
        <v>929.42</v>
      </c>
      <c r="L97" s="65"/>
    </row>
    <row r="98" spans="2:12" x14ac:dyDescent="0.3">
      <c r="B98" s="68" t="s">
        <v>227</v>
      </c>
      <c r="C98" s="75" t="s">
        <v>24</v>
      </c>
      <c r="D98" s="64" t="s">
        <v>22</v>
      </c>
      <c r="E98" s="70">
        <f>E93*0.48*0.1</f>
        <v>0.192</v>
      </c>
      <c r="F98" s="57"/>
      <c r="G98" s="56">
        <v>5860</v>
      </c>
      <c r="H98" s="71">
        <f t="shared" si="4"/>
        <v>5860</v>
      </c>
      <c r="I98" s="71">
        <f t="shared" si="5"/>
        <v>0</v>
      </c>
      <c r="J98" s="71">
        <f t="shared" si="6"/>
        <v>1125.1199999999999</v>
      </c>
      <c r="K98" s="71">
        <f t="shared" si="7"/>
        <v>1125.1199999999999</v>
      </c>
      <c r="L98" s="65"/>
    </row>
    <row r="99" spans="2:12" x14ac:dyDescent="0.3">
      <c r="B99" s="68" t="s">
        <v>228</v>
      </c>
      <c r="C99" s="77" t="s">
        <v>25</v>
      </c>
      <c r="D99" s="64" t="s">
        <v>22</v>
      </c>
      <c r="E99" s="70">
        <f>E98*1.02</f>
        <v>0.19584000000000001</v>
      </c>
      <c r="F99" s="57">
        <v>7100</v>
      </c>
      <c r="G99" s="76"/>
      <c r="H99" s="71">
        <f t="shared" si="4"/>
        <v>7100</v>
      </c>
      <c r="I99" s="71">
        <f t="shared" si="5"/>
        <v>1390.46</v>
      </c>
      <c r="J99" s="71">
        <f t="shared" si="6"/>
        <v>0</v>
      </c>
      <c r="K99" s="71">
        <f t="shared" si="7"/>
        <v>1390.46</v>
      </c>
      <c r="L99" s="65"/>
    </row>
    <row r="100" spans="2:12" x14ac:dyDescent="0.3">
      <c r="B100" s="68" t="s">
        <v>229</v>
      </c>
      <c r="C100" s="75" t="s">
        <v>151</v>
      </c>
      <c r="D100" s="64" t="s">
        <v>23</v>
      </c>
      <c r="E100" s="70">
        <f>E93</f>
        <v>4</v>
      </c>
      <c r="F100" s="57"/>
      <c r="G100" s="56">
        <v>2928</v>
      </c>
      <c r="H100" s="71">
        <f t="shared" si="4"/>
        <v>2928</v>
      </c>
      <c r="I100" s="71">
        <f t="shared" si="5"/>
        <v>0</v>
      </c>
      <c r="J100" s="71">
        <f t="shared" si="6"/>
        <v>11712</v>
      </c>
      <c r="K100" s="71">
        <f t="shared" si="7"/>
        <v>11712</v>
      </c>
      <c r="L100" s="65"/>
    </row>
    <row r="101" spans="2:12" ht="31.2" x14ac:dyDescent="0.3">
      <c r="B101" s="68" t="s">
        <v>230</v>
      </c>
      <c r="C101" s="79" t="s">
        <v>489</v>
      </c>
      <c r="D101" s="64" t="s">
        <v>23</v>
      </c>
      <c r="E101" s="70">
        <f>E100*1.1</f>
        <v>4.4000000000000004</v>
      </c>
      <c r="F101" s="57">
        <v>2195</v>
      </c>
      <c r="G101" s="56"/>
      <c r="H101" s="71">
        <f t="shared" si="4"/>
        <v>2195</v>
      </c>
      <c r="I101" s="71">
        <f t="shared" si="5"/>
        <v>9658</v>
      </c>
      <c r="J101" s="71">
        <f t="shared" si="6"/>
        <v>0</v>
      </c>
      <c r="K101" s="71">
        <f t="shared" si="7"/>
        <v>9658</v>
      </c>
      <c r="L101" s="65"/>
    </row>
    <row r="102" spans="2:12" ht="33.6" x14ac:dyDescent="0.3">
      <c r="B102" s="68" t="s">
        <v>231</v>
      </c>
      <c r="C102" s="75" t="s">
        <v>562</v>
      </c>
      <c r="D102" s="80" t="s">
        <v>22</v>
      </c>
      <c r="E102" s="70">
        <v>1.17</v>
      </c>
      <c r="F102" s="57"/>
      <c r="G102" s="56">
        <v>439</v>
      </c>
      <c r="H102" s="71">
        <f t="shared" si="4"/>
        <v>439</v>
      </c>
      <c r="I102" s="71">
        <f t="shared" si="5"/>
        <v>0</v>
      </c>
      <c r="J102" s="71">
        <f t="shared" si="6"/>
        <v>513.63</v>
      </c>
      <c r="K102" s="71">
        <f t="shared" si="7"/>
        <v>513.63</v>
      </c>
      <c r="L102" s="65"/>
    </row>
    <row r="103" spans="2:12" ht="31.2" x14ac:dyDescent="0.3">
      <c r="B103" s="96" t="s">
        <v>232</v>
      </c>
      <c r="C103" s="69" t="s">
        <v>503</v>
      </c>
      <c r="D103" s="99" t="s">
        <v>23</v>
      </c>
      <c r="E103" s="97">
        <v>14.9</v>
      </c>
      <c r="F103" s="98"/>
      <c r="G103" s="95"/>
      <c r="H103" s="98"/>
      <c r="I103" s="98"/>
      <c r="J103" s="98"/>
      <c r="K103" s="98"/>
      <c r="L103" s="65"/>
    </row>
    <row r="104" spans="2:12" x14ac:dyDescent="0.3">
      <c r="B104" s="68" t="s">
        <v>233</v>
      </c>
      <c r="C104" s="81" t="s">
        <v>497</v>
      </c>
      <c r="D104" s="64" t="s">
        <v>22</v>
      </c>
      <c r="E104" s="70">
        <v>35.47</v>
      </c>
      <c r="F104" s="57"/>
      <c r="G104" s="56">
        <v>300</v>
      </c>
      <c r="H104" s="71">
        <f t="shared" si="4"/>
        <v>300</v>
      </c>
      <c r="I104" s="71">
        <f t="shared" si="5"/>
        <v>0</v>
      </c>
      <c r="J104" s="71">
        <f t="shared" si="6"/>
        <v>10641</v>
      </c>
      <c r="K104" s="71">
        <f t="shared" si="7"/>
        <v>10641</v>
      </c>
      <c r="L104" s="65"/>
    </row>
    <row r="105" spans="2:12" ht="31.2" x14ac:dyDescent="0.3">
      <c r="B105" s="68" t="s">
        <v>234</v>
      </c>
      <c r="C105" s="75" t="s">
        <v>493</v>
      </c>
      <c r="D105" s="64" t="s">
        <v>21</v>
      </c>
      <c r="E105" s="70">
        <f>0.48*E103</f>
        <v>7.1520000000000001</v>
      </c>
      <c r="F105" s="56">
        <f>1973*0.15</f>
        <v>295.95</v>
      </c>
      <c r="G105" s="56">
        <f>1500*0.15</f>
        <v>225</v>
      </c>
      <c r="H105" s="71">
        <f t="shared" si="4"/>
        <v>520.95000000000005</v>
      </c>
      <c r="I105" s="71">
        <f t="shared" si="5"/>
        <v>2116.63</v>
      </c>
      <c r="J105" s="71">
        <f t="shared" si="6"/>
        <v>1609.2</v>
      </c>
      <c r="K105" s="71">
        <f t="shared" si="7"/>
        <v>3725.83</v>
      </c>
      <c r="L105" s="65"/>
    </row>
    <row r="106" spans="2:12" ht="31.2" x14ac:dyDescent="0.3">
      <c r="B106" s="68" t="s">
        <v>235</v>
      </c>
      <c r="C106" s="75" t="s">
        <v>19</v>
      </c>
      <c r="D106" s="64" t="s">
        <v>22</v>
      </c>
      <c r="E106" s="70">
        <f>0.34/10*E103</f>
        <v>0.50660000000000005</v>
      </c>
      <c r="F106" s="57"/>
      <c r="G106" s="56">
        <v>5860</v>
      </c>
      <c r="H106" s="71">
        <f t="shared" si="4"/>
        <v>5860</v>
      </c>
      <c r="I106" s="71">
        <f t="shared" si="5"/>
        <v>0</v>
      </c>
      <c r="J106" s="71">
        <f t="shared" si="6"/>
        <v>2968.68</v>
      </c>
      <c r="K106" s="71">
        <f t="shared" si="7"/>
        <v>2968.68</v>
      </c>
      <c r="L106" s="65"/>
    </row>
    <row r="107" spans="2:12" x14ac:dyDescent="0.3">
      <c r="B107" s="68" t="s">
        <v>236</v>
      </c>
      <c r="C107" s="77" t="s">
        <v>150</v>
      </c>
      <c r="D107" s="64" t="s">
        <v>22</v>
      </c>
      <c r="E107" s="70">
        <f>E106*1.02</f>
        <v>0.51673200000000008</v>
      </c>
      <c r="F107" s="57">
        <v>6700</v>
      </c>
      <c r="G107" s="76"/>
      <c r="H107" s="71">
        <f t="shared" si="4"/>
        <v>6700</v>
      </c>
      <c r="I107" s="71">
        <f t="shared" si="5"/>
        <v>3462.1</v>
      </c>
      <c r="J107" s="71">
        <f t="shared" si="6"/>
        <v>0</v>
      </c>
      <c r="K107" s="71">
        <f t="shared" si="7"/>
        <v>3462.1</v>
      </c>
      <c r="L107" s="65"/>
    </row>
    <row r="108" spans="2:12" x14ac:dyDescent="0.3">
      <c r="B108" s="68" t="s">
        <v>237</v>
      </c>
      <c r="C108" s="75" t="s">
        <v>24</v>
      </c>
      <c r="D108" s="64" t="s">
        <v>22</v>
      </c>
      <c r="E108" s="70">
        <f>E103*0.48*0.1</f>
        <v>0.71520000000000006</v>
      </c>
      <c r="F108" s="57"/>
      <c r="G108" s="56">
        <v>5860</v>
      </c>
      <c r="H108" s="71">
        <f t="shared" si="4"/>
        <v>5860</v>
      </c>
      <c r="I108" s="71">
        <f t="shared" si="5"/>
        <v>0</v>
      </c>
      <c r="J108" s="71">
        <f t="shared" si="6"/>
        <v>4191.07</v>
      </c>
      <c r="K108" s="71">
        <f t="shared" si="7"/>
        <v>4191.07</v>
      </c>
      <c r="L108" s="65"/>
    </row>
    <row r="109" spans="2:12" x14ac:dyDescent="0.3">
      <c r="B109" s="68" t="s">
        <v>238</v>
      </c>
      <c r="C109" s="77" t="s">
        <v>25</v>
      </c>
      <c r="D109" s="64" t="s">
        <v>22</v>
      </c>
      <c r="E109" s="70">
        <f>E108*1.02</f>
        <v>0.72950400000000004</v>
      </c>
      <c r="F109" s="57">
        <v>7100</v>
      </c>
      <c r="G109" s="76"/>
      <c r="H109" s="71">
        <f t="shared" si="4"/>
        <v>7100</v>
      </c>
      <c r="I109" s="71">
        <f t="shared" si="5"/>
        <v>5179.4799999999996</v>
      </c>
      <c r="J109" s="71">
        <f t="shared" si="6"/>
        <v>0</v>
      </c>
      <c r="K109" s="71">
        <f t="shared" si="7"/>
        <v>5179.4799999999996</v>
      </c>
      <c r="L109" s="65"/>
    </row>
    <row r="110" spans="2:12" x14ac:dyDescent="0.3">
      <c r="B110" s="68" t="s">
        <v>157</v>
      </c>
      <c r="C110" s="75" t="s">
        <v>151</v>
      </c>
      <c r="D110" s="64" t="s">
        <v>23</v>
      </c>
      <c r="E110" s="70">
        <f>E103</f>
        <v>14.9</v>
      </c>
      <c r="F110" s="57"/>
      <c r="G110" s="56">
        <v>2928</v>
      </c>
      <c r="H110" s="71">
        <f t="shared" si="4"/>
        <v>2928</v>
      </c>
      <c r="I110" s="71">
        <f t="shared" si="5"/>
        <v>0</v>
      </c>
      <c r="J110" s="71">
        <f t="shared" si="6"/>
        <v>43627.199999999997</v>
      </c>
      <c r="K110" s="71">
        <f t="shared" si="7"/>
        <v>43627.199999999997</v>
      </c>
      <c r="L110" s="65"/>
    </row>
    <row r="111" spans="2:12" ht="31.2" x14ac:dyDescent="0.3">
      <c r="B111" s="68" t="s">
        <v>239</v>
      </c>
      <c r="C111" s="79" t="s">
        <v>489</v>
      </c>
      <c r="D111" s="64" t="s">
        <v>23</v>
      </c>
      <c r="E111" s="70">
        <f>E110*1.1</f>
        <v>16.39</v>
      </c>
      <c r="F111" s="57">
        <v>2195</v>
      </c>
      <c r="G111" s="56"/>
      <c r="H111" s="71">
        <f t="shared" si="4"/>
        <v>2195</v>
      </c>
      <c r="I111" s="71">
        <f t="shared" si="5"/>
        <v>35976.050000000003</v>
      </c>
      <c r="J111" s="71">
        <f t="shared" si="6"/>
        <v>0</v>
      </c>
      <c r="K111" s="71">
        <f t="shared" si="7"/>
        <v>35976.050000000003</v>
      </c>
      <c r="L111" s="65"/>
    </row>
    <row r="112" spans="2:12" ht="31.2" x14ac:dyDescent="0.3">
      <c r="B112" s="96" t="s">
        <v>240</v>
      </c>
      <c r="C112" s="69" t="s">
        <v>504</v>
      </c>
      <c r="D112" s="99" t="s">
        <v>23</v>
      </c>
      <c r="E112" s="97">
        <v>5.5</v>
      </c>
      <c r="F112" s="98"/>
      <c r="G112" s="95"/>
      <c r="H112" s="98"/>
      <c r="I112" s="98"/>
      <c r="J112" s="98"/>
      <c r="K112" s="98"/>
      <c r="L112" s="65"/>
    </row>
    <row r="113" spans="2:12" x14ac:dyDescent="0.3">
      <c r="B113" s="68" t="s">
        <v>241</v>
      </c>
      <c r="C113" s="81" t="s">
        <v>497</v>
      </c>
      <c r="D113" s="64" t="s">
        <v>22</v>
      </c>
      <c r="E113" s="70">
        <v>8.58</v>
      </c>
      <c r="F113" s="57"/>
      <c r="G113" s="56">
        <v>300</v>
      </c>
      <c r="H113" s="71">
        <f t="shared" si="4"/>
        <v>300</v>
      </c>
      <c r="I113" s="71">
        <f t="shared" si="5"/>
        <v>0</v>
      </c>
      <c r="J113" s="71">
        <f t="shared" si="6"/>
        <v>2574</v>
      </c>
      <c r="K113" s="71">
        <f t="shared" si="7"/>
        <v>2574</v>
      </c>
      <c r="L113" s="65"/>
    </row>
    <row r="114" spans="2:12" ht="31.2" x14ac:dyDescent="0.3">
      <c r="B114" s="68" t="s">
        <v>242</v>
      </c>
      <c r="C114" s="75" t="s">
        <v>493</v>
      </c>
      <c r="D114" s="64" t="s">
        <v>21</v>
      </c>
      <c r="E114" s="70">
        <f>0.48*E112</f>
        <v>2.6399999999999997</v>
      </c>
      <c r="F114" s="56">
        <f>1973*0.15</f>
        <v>295.95</v>
      </c>
      <c r="G114" s="56">
        <f>1500*0.15</f>
        <v>225</v>
      </c>
      <c r="H114" s="71">
        <f t="shared" si="4"/>
        <v>520.95000000000005</v>
      </c>
      <c r="I114" s="71">
        <f t="shared" si="5"/>
        <v>781.31</v>
      </c>
      <c r="J114" s="71">
        <f t="shared" si="6"/>
        <v>594</v>
      </c>
      <c r="K114" s="71">
        <f t="shared" si="7"/>
        <v>1375.31</v>
      </c>
      <c r="L114" s="65"/>
    </row>
    <row r="115" spans="2:12" ht="31.2" x14ac:dyDescent="0.3">
      <c r="B115" s="68" t="s">
        <v>243</v>
      </c>
      <c r="C115" s="75" t="s">
        <v>19</v>
      </c>
      <c r="D115" s="64" t="s">
        <v>22</v>
      </c>
      <c r="E115" s="70">
        <f>0.34/10*E112</f>
        <v>0.187</v>
      </c>
      <c r="F115" s="57"/>
      <c r="G115" s="56">
        <v>5860</v>
      </c>
      <c r="H115" s="71">
        <f t="shared" si="4"/>
        <v>5860</v>
      </c>
      <c r="I115" s="71">
        <f t="shared" si="5"/>
        <v>0</v>
      </c>
      <c r="J115" s="71">
        <f t="shared" si="6"/>
        <v>1095.82</v>
      </c>
      <c r="K115" s="71">
        <f t="shared" si="7"/>
        <v>1095.82</v>
      </c>
      <c r="L115" s="65"/>
    </row>
    <row r="116" spans="2:12" x14ac:dyDescent="0.3">
      <c r="B116" s="68" t="s">
        <v>244</v>
      </c>
      <c r="C116" s="77" t="s">
        <v>150</v>
      </c>
      <c r="D116" s="64" t="s">
        <v>22</v>
      </c>
      <c r="E116" s="70">
        <f>E115*1.02</f>
        <v>0.19073999999999999</v>
      </c>
      <c r="F116" s="57">
        <v>6700</v>
      </c>
      <c r="G116" s="76"/>
      <c r="H116" s="71">
        <f t="shared" si="4"/>
        <v>6700</v>
      </c>
      <c r="I116" s="71">
        <f t="shared" si="5"/>
        <v>1277.96</v>
      </c>
      <c r="J116" s="71">
        <f t="shared" si="6"/>
        <v>0</v>
      </c>
      <c r="K116" s="71">
        <f t="shared" si="7"/>
        <v>1277.96</v>
      </c>
      <c r="L116" s="65"/>
    </row>
    <row r="117" spans="2:12" x14ac:dyDescent="0.3">
      <c r="B117" s="68" t="s">
        <v>245</v>
      </c>
      <c r="C117" s="75" t="s">
        <v>24</v>
      </c>
      <c r="D117" s="64" t="s">
        <v>22</v>
      </c>
      <c r="E117" s="70">
        <f>E112*0.48*0.1</f>
        <v>0.26399999999999996</v>
      </c>
      <c r="F117" s="57"/>
      <c r="G117" s="56">
        <v>5860</v>
      </c>
      <c r="H117" s="71">
        <f t="shared" si="4"/>
        <v>5860</v>
      </c>
      <c r="I117" s="71">
        <f t="shared" si="5"/>
        <v>0</v>
      </c>
      <c r="J117" s="71">
        <f t="shared" si="6"/>
        <v>1547.04</v>
      </c>
      <c r="K117" s="71">
        <f t="shared" si="7"/>
        <v>1547.04</v>
      </c>
      <c r="L117" s="65"/>
    </row>
    <row r="118" spans="2:12" x14ac:dyDescent="0.3">
      <c r="B118" s="68" t="s">
        <v>246</v>
      </c>
      <c r="C118" s="77" t="s">
        <v>25</v>
      </c>
      <c r="D118" s="64" t="s">
        <v>22</v>
      </c>
      <c r="E118" s="70">
        <f>E117*1.02</f>
        <v>0.26927999999999996</v>
      </c>
      <c r="F118" s="57">
        <v>7100</v>
      </c>
      <c r="G118" s="76"/>
      <c r="H118" s="71">
        <f t="shared" si="4"/>
        <v>7100</v>
      </c>
      <c r="I118" s="71">
        <f t="shared" si="5"/>
        <v>1911.89</v>
      </c>
      <c r="J118" s="71">
        <f t="shared" si="6"/>
        <v>0</v>
      </c>
      <c r="K118" s="71">
        <f t="shared" si="7"/>
        <v>1911.89</v>
      </c>
      <c r="L118" s="65"/>
    </row>
    <row r="119" spans="2:12" x14ac:dyDescent="0.3">
      <c r="B119" s="68" t="s">
        <v>247</v>
      </c>
      <c r="C119" s="75" t="s">
        <v>151</v>
      </c>
      <c r="D119" s="64" t="s">
        <v>23</v>
      </c>
      <c r="E119" s="70">
        <f>E112</f>
        <v>5.5</v>
      </c>
      <c r="F119" s="57"/>
      <c r="G119" s="56">
        <v>2928</v>
      </c>
      <c r="H119" s="71">
        <f t="shared" si="4"/>
        <v>2928</v>
      </c>
      <c r="I119" s="71">
        <f t="shared" si="5"/>
        <v>0</v>
      </c>
      <c r="J119" s="71">
        <f t="shared" si="6"/>
        <v>16104</v>
      </c>
      <c r="K119" s="71">
        <f t="shared" si="7"/>
        <v>16104</v>
      </c>
      <c r="L119" s="65"/>
    </row>
    <row r="120" spans="2:12" ht="31.2" x14ac:dyDescent="0.3">
      <c r="B120" s="68" t="s">
        <v>248</v>
      </c>
      <c r="C120" s="79" t="s">
        <v>489</v>
      </c>
      <c r="D120" s="64" t="s">
        <v>23</v>
      </c>
      <c r="E120" s="70">
        <f>E119*1.1</f>
        <v>6.0500000000000007</v>
      </c>
      <c r="F120" s="57">
        <v>2195</v>
      </c>
      <c r="G120" s="56"/>
      <c r="H120" s="71">
        <f t="shared" si="4"/>
        <v>2195</v>
      </c>
      <c r="I120" s="71">
        <f t="shared" si="5"/>
        <v>13279.75</v>
      </c>
      <c r="J120" s="71">
        <f t="shared" si="6"/>
        <v>0</v>
      </c>
      <c r="K120" s="71">
        <f t="shared" si="7"/>
        <v>13279.75</v>
      </c>
      <c r="L120" s="65"/>
    </row>
    <row r="121" spans="2:12" ht="31.2" x14ac:dyDescent="0.3">
      <c r="B121" s="96" t="s">
        <v>249</v>
      </c>
      <c r="C121" s="69" t="s">
        <v>505</v>
      </c>
      <c r="D121" s="99" t="s">
        <v>23</v>
      </c>
      <c r="E121" s="97">
        <v>23.2</v>
      </c>
      <c r="F121" s="98"/>
      <c r="G121" s="95"/>
      <c r="H121" s="98"/>
      <c r="I121" s="98"/>
      <c r="J121" s="98"/>
      <c r="K121" s="98"/>
      <c r="L121" s="65"/>
    </row>
    <row r="122" spans="2:12" x14ac:dyDescent="0.3">
      <c r="B122" s="68" t="s">
        <v>250</v>
      </c>
      <c r="C122" s="81" t="s">
        <v>497</v>
      </c>
      <c r="D122" s="64" t="s">
        <v>22</v>
      </c>
      <c r="E122" s="70">
        <v>65.28</v>
      </c>
      <c r="F122" s="57"/>
      <c r="G122" s="56">
        <v>300</v>
      </c>
      <c r="H122" s="71">
        <f t="shared" si="4"/>
        <v>300</v>
      </c>
      <c r="I122" s="71">
        <f t="shared" si="5"/>
        <v>0</v>
      </c>
      <c r="J122" s="71">
        <f t="shared" si="6"/>
        <v>19584</v>
      </c>
      <c r="K122" s="71">
        <f t="shared" si="7"/>
        <v>19584</v>
      </c>
      <c r="L122" s="65"/>
    </row>
    <row r="123" spans="2:12" ht="31.2" x14ac:dyDescent="0.3">
      <c r="B123" s="68" t="s">
        <v>251</v>
      </c>
      <c r="C123" s="75" t="s">
        <v>493</v>
      </c>
      <c r="D123" s="64" t="s">
        <v>21</v>
      </c>
      <c r="E123" s="70">
        <f>0.48*E121</f>
        <v>11.135999999999999</v>
      </c>
      <c r="F123" s="56">
        <f>1973*0.15</f>
        <v>295.95</v>
      </c>
      <c r="G123" s="56">
        <f>1500*0.15</f>
        <v>225</v>
      </c>
      <c r="H123" s="71">
        <f t="shared" si="4"/>
        <v>520.95000000000005</v>
      </c>
      <c r="I123" s="71">
        <f t="shared" si="5"/>
        <v>3295.7</v>
      </c>
      <c r="J123" s="71">
        <f t="shared" si="6"/>
        <v>2505.6</v>
      </c>
      <c r="K123" s="71">
        <f t="shared" si="7"/>
        <v>5801.2999999999993</v>
      </c>
      <c r="L123" s="65"/>
    </row>
    <row r="124" spans="2:12" ht="31.2" x14ac:dyDescent="0.3">
      <c r="B124" s="68" t="s">
        <v>252</v>
      </c>
      <c r="C124" s="75" t="s">
        <v>19</v>
      </c>
      <c r="D124" s="64" t="s">
        <v>22</v>
      </c>
      <c r="E124" s="70">
        <f>0.34/10*E121</f>
        <v>0.78880000000000006</v>
      </c>
      <c r="F124" s="57"/>
      <c r="G124" s="56">
        <v>5860</v>
      </c>
      <c r="H124" s="71">
        <f t="shared" si="4"/>
        <v>5860</v>
      </c>
      <c r="I124" s="71">
        <f t="shared" si="5"/>
        <v>0</v>
      </c>
      <c r="J124" s="71">
        <f t="shared" si="6"/>
        <v>4622.37</v>
      </c>
      <c r="K124" s="71">
        <f t="shared" si="7"/>
        <v>4622.37</v>
      </c>
      <c r="L124" s="65"/>
    </row>
    <row r="125" spans="2:12" x14ac:dyDescent="0.3">
      <c r="B125" s="68" t="s">
        <v>477</v>
      </c>
      <c r="C125" s="77" t="s">
        <v>150</v>
      </c>
      <c r="D125" s="64" t="s">
        <v>22</v>
      </c>
      <c r="E125" s="70">
        <f>E124*1.02</f>
        <v>0.80457600000000007</v>
      </c>
      <c r="F125" s="57">
        <v>6700</v>
      </c>
      <c r="G125" s="76"/>
      <c r="H125" s="71">
        <f t="shared" si="4"/>
        <v>6700</v>
      </c>
      <c r="I125" s="71">
        <f t="shared" si="5"/>
        <v>5390.66</v>
      </c>
      <c r="J125" s="71">
        <f t="shared" si="6"/>
        <v>0</v>
      </c>
      <c r="K125" s="71">
        <f t="shared" si="7"/>
        <v>5390.66</v>
      </c>
      <c r="L125" s="65"/>
    </row>
    <row r="126" spans="2:12" x14ac:dyDescent="0.3">
      <c r="B126" s="68" t="s">
        <v>253</v>
      </c>
      <c r="C126" s="75" t="s">
        <v>24</v>
      </c>
      <c r="D126" s="64" t="s">
        <v>22</v>
      </c>
      <c r="E126" s="70">
        <f>E121*0.48*0.1</f>
        <v>1.1135999999999999</v>
      </c>
      <c r="F126" s="57"/>
      <c r="G126" s="56">
        <v>5860</v>
      </c>
      <c r="H126" s="71">
        <f t="shared" si="4"/>
        <v>5860</v>
      </c>
      <c r="I126" s="71">
        <f t="shared" si="5"/>
        <v>0</v>
      </c>
      <c r="J126" s="71">
        <f t="shared" si="6"/>
        <v>6525.7</v>
      </c>
      <c r="K126" s="71">
        <f t="shared" si="7"/>
        <v>6525.7</v>
      </c>
      <c r="L126" s="65"/>
    </row>
    <row r="127" spans="2:12" x14ac:dyDescent="0.3">
      <c r="B127" s="68" t="s">
        <v>254</v>
      </c>
      <c r="C127" s="77" t="s">
        <v>25</v>
      </c>
      <c r="D127" s="64" t="s">
        <v>22</v>
      </c>
      <c r="E127" s="70">
        <f>E126*1.02</f>
        <v>1.135872</v>
      </c>
      <c r="F127" s="57">
        <v>7100</v>
      </c>
      <c r="G127" s="76"/>
      <c r="H127" s="71">
        <f t="shared" si="4"/>
        <v>7100</v>
      </c>
      <c r="I127" s="71">
        <f t="shared" si="5"/>
        <v>8064.69</v>
      </c>
      <c r="J127" s="71">
        <f t="shared" si="6"/>
        <v>0</v>
      </c>
      <c r="K127" s="71">
        <f t="shared" si="7"/>
        <v>8064.69</v>
      </c>
      <c r="L127" s="65"/>
    </row>
    <row r="128" spans="2:12" x14ac:dyDescent="0.3">
      <c r="B128" s="68" t="s">
        <v>255</v>
      </c>
      <c r="C128" s="75" t="s">
        <v>151</v>
      </c>
      <c r="D128" s="64" t="s">
        <v>23</v>
      </c>
      <c r="E128" s="70">
        <f>E121</f>
        <v>23.2</v>
      </c>
      <c r="F128" s="57"/>
      <c r="G128" s="56">
        <v>2928</v>
      </c>
      <c r="H128" s="71">
        <f t="shared" si="4"/>
        <v>2928</v>
      </c>
      <c r="I128" s="71">
        <f t="shared" si="5"/>
        <v>0</v>
      </c>
      <c r="J128" s="71">
        <f t="shared" si="6"/>
        <v>67929.600000000006</v>
      </c>
      <c r="K128" s="71">
        <f t="shared" si="7"/>
        <v>67929.600000000006</v>
      </c>
      <c r="L128" s="65"/>
    </row>
    <row r="129" spans="2:12" ht="31.2" x14ac:dyDescent="0.3">
      <c r="B129" s="68" t="s">
        <v>256</v>
      </c>
      <c r="C129" s="79" t="s">
        <v>489</v>
      </c>
      <c r="D129" s="64" t="s">
        <v>23</v>
      </c>
      <c r="E129" s="70">
        <f>E128*1.1</f>
        <v>25.52</v>
      </c>
      <c r="F129" s="57">
        <v>2195</v>
      </c>
      <c r="G129" s="56"/>
      <c r="H129" s="71">
        <f t="shared" si="4"/>
        <v>2195</v>
      </c>
      <c r="I129" s="71">
        <f t="shared" si="5"/>
        <v>56016.4</v>
      </c>
      <c r="J129" s="71">
        <f t="shared" si="6"/>
        <v>0</v>
      </c>
      <c r="K129" s="71">
        <f t="shared" si="7"/>
        <v>56016.4</v>
      </c>
      <c r="L129" s="65"/>
    </row>
    <row r="130" spans="2:12" ht="31.2" x14ac:dyDescent="0.3">
      <c r="B130" s="96" t="s">
        <v>257</v>
      </c>
      <c r="C130" s="69" t="s">
        <v>506</v>
      </c>
      <c r="D130" s="99" t="s">
        <v>23</v>
      </c>
      <c r="E130" s="97">
        <v>11.3</v>
      </c>
      <c r="F130" s="98"/>
      <c r="G130" s="95"/>
      <c r="H130" s="98"/>
      <c r="I130" s="98"/>
      <c r="J130" s="98"/>
      <c r="K130" s="98"/>
      <c r="L130" s="65"/>
    </row>
    <row r="131" spans="2:12" x14ac:dyDescent="0.3">
      <c r="B131" s="68" t="s">
        <v>258</v>
      </c>
      <c r="C131" s="81" t="s">
        <v>497</v>
      </c>
      <c r="D131" s="64" t="s">
        <v>22</v>
      </c>
      <c r="E131" s="70">
        <v>24.56</v>
      </c>
      <c r="F131" s="57"/>
      <c r="G131" s="56">
        <v>300</v>
      </c>
      <c r="H131" s="71">
        <f t="shared" si="4"/>
        <v>300</v>
      </c>
      <c r="I131" s="71">
        <f t="shared" si="5"/>
        <v>0</v>
      </c>
      <c r="J131" s="71">
        <f t="shared" si="6"/>
        <v>7368</v>
      </c>
      <c r="K131" s="71">
        <f t="shared" si="7"/>
        <v>7368</v>
      </c>
      <c r="L131" s="65"/>
    </row>
    <row r="132" spans="2:12" ht="31.2" x14ac:dyDescent="0.3">
      <c r="B132" s="68" t="s">
        <v>259</v>
      </c>
      <c r="C132" s="75" t="s">
        <v>493</v>
      </c>
      <c r="D132" s="64" t="s">
        <v>21</v>
      </c>
      <c r="E132" s="70">
        <f>0.48*E130</f>
        <v>5.4240000000000004</v>
      </c>
      <c r="F132" s="56">
        <f>1973*0.15</f>
        <v>295.95</v>
      </c>
      <c r="G132" s="56">
        <f>1500*0.15</f>
        <v>225</v>
      </c>
      <c r="H132" s="71">
        <f t="shared" si="4"/>
        <v>520.95000000000005</v>
      </c>
      <c r="I132" s="71">
        <f t="shared" si="5"/>
        <v>1605.23</v>
      </c>
      <c r="J132" s="71">
        <f t="shared" si="6"/>
        <v>1220.4000000000001</v>
      </c>
      <c r="K132" s="71">
        <f t="shared" si="7"/>
        <v>2825.63</v>
      </c>
      <c r="L132" s="65"/>
    </row>
    <row r="133" spans="2:12" ht="31.2" x14ac:dyDescent="0.3">
      <c r="B133" s="68" t="s">
        <v>260</v>
      </c>
      <c r="C133" s="75" t="s">
        <v>19</v>
      </c>
      <c r="D133" s="64" t="s">
        <v>22</v>
      </c>
      <c r="E133" s="70">
        <f>0.34/10*E130</f>
        <v>0.38420000000000004</v>
      </c>
      <c r="F133" s="57"/>
      <c r="G133" s="56">
        <v>5860</v>
      </c>
      <c r="H133" s="71">
        <f t="shared" si="4"/>
        <v>5860</v>
      </c>
      <c r="I133" s="71">
        <f t="shared" si="5"/>
        <v>0</v>
      </c>
      <c r="J133" s="71">
        <f t="shared" si="6"/>
        <v>2251.41</v>
      </c>
      <c r="K133" s="71">
        <f t="shared" si="7"/>
        <v>2251.41</v>
      </c>
      <c r="L133" s="65"/>
    </row>
    <row r="134" spans="2:12" x14ac:dyDescent="0.3">
      <c r="B134" s="68" t="s">
        <v>261</v>
      </c>
      <c r="C134" s="77" t="s">
        <v>150</v>
      </c>
      <c r="D134" s="64" t="s">
        <v>22</v>
      </c>
      <c r="E134" s="70">
        <f>E133*1.02</f>
        <v>0.39188400000000007</v>
      </c>
      <c r="F134" s="57">
        <v>6700</v>
      </c>
      <c r="G134" s="76"/>
      <c r="H134" s="71">
        <f t="shared" si="4"/>
        <v>6700</v>
      </c>
      <c r="I134" s="71">
        <f t="shared" si="5"/>
        <v>2625.62</v>
      </c>
      <c r="J134" s="71">
        <f t="shared" si="6"/>
        <v>0</v>
      </c>
      <c r="K134" s="71">
        <f t="shared" si="7"/>
        <v>2625.62</v>
      </c>
      <c r="L134" s="65"/>
    </row>
    <row r="135" spans="2:12" x14ac:dyDescent="0.3">
      <c r="B135" s="68" t="s">
        <v>262</v>
      </c>
      <c r="C135" s="75" t="s">
        <v>24</v>
      </c>
      <c r="D135" s="64" t="s">
        <v>22</v>
      </c>
      <c r="E135" s="70">
        <f>E130*0.48*0.1</f>
        <v>0.5424000000000001</v>
      </c>
      <c r="F135" s="57"/>
      <c r="G135" s="56">
        <v>5860</v>
      </c>
      <c r="H135" s="71">
        <f t="shared" si="4"/>
        <v>5860</v>
      </c>
      <c r="I135" s="71">
        <f t="shared" si="5"/>
        <v>0</v>
      </c>
      <c r="J135" s="71">
        <f t="shared" si="6"/>
        <v>3178.46</v>
      </c>
      <c r="K135" s="71">
        <f t="shared" si="7"/>
        <v>3178.46</v>
      </c>
      <c r="L135" s="65"/>
    </row>
    <row r="136" spans="2:12" x14ac:dyDescent="0.3">
      <c r="B136" s="68" t="s">
        <v>263</v>
      </c>
      <c r="C136" s="77" t="s">
        <v>25</v>
      </c>
      <c r="D136" s="64" t="s">
        <v>22</v>
      </c>
      <c r="E136" s="70">
        <f>E135*1.02</f>
        <v>0.55324800000000007</v>
      </c>
      <c r="F136" s="57">
        <v>7100</v>
      </c>
      <c r="G136" s="76"/>
      <c r="H136" s="71">
        <f t="shared" si="4"/>
        <v>7100</v>
      </c>
      <c r="I136" s="71">
        <f t="shared" si="5"/>
        <v>3928.06</v>
      </c>
      <c r="J136" s="71">
        <f t="shared" si="6"/>
        <v>0</v>
      </c>
      <c r="K136" s="71">
        <f t="shared" si="7"/>
        <v>3928.06</v>
      </c>
      <c r="L136" s="65"/>
    </row>
    <row r="137" spans="2:12" x14ac:dyDescent="0.3">
      <c r="B137" s="68" t="s">
        <v>264</v>
      </c>
      <c r="C137" s="75" t="s">
        <v>151</v>
      </c>
      <c r="D137" s="64" t="s">
        <v>23</v>
      </c>
      <c r="E137" s="70">
        <f>E130</f>
        <v>11.3</v>
      </c>
      <c r="F137" s="57"/>
      <c r="G137" s="56">
        <v>2928</v>
      </c>
      <c r="H137" s="71">
        <f t="shared" si="4"/>
        <v>2928</v>
      </c>
      <c r="I137" s="71">
        <f t="shared" si="5"/>
        <v>0</v>
      </c>
      <c r="J137" s="71">
        <f t="shared" si="6"/>
        <v>33086.400000000001</v>
      </c>
      <c r="K137" s="71">
        <f t="shared" si="7"/>
        <v>33086.400000000001</v>
      </c>
      <c r="L137" s="65"/>
    </row>
    <row r="138" spans="2:12" ht="31.2" x14ac:dyDescent="0.3">
      <c r="B138" s="68" t="s">
        <v>265</v>
      </c>
      <c r="C138" s="79" t="s">
        <v>489</v>
      </c>
      <c r="D138" s="64" t="s">
        <v>23</v>
      </c>
      <c r="E138" s="70">
        <f>E137*1.1</f>
        <v>12.430000000000001</v>
      </c>
      <c r="F138" s="57">
        <v>2195</v>
      </c>
      <c r="G138" s="56"/>
      <c r="H138" s="71">
        <f t="shared" si="4"/>
        <v>2195</v>
      </c>
      <c r="I138" s="71">
        <f t="shared" si="5"/>
        <v>27283.85</v>
      </c>
      <c r="J138" s="71">
        <f t="shared" si="6"/>
        <v>0</v>
      </c>
      <c r="K138" s="71">
        <f t="shared" si="7"/>
        <v>27283.85</v>
      </c>
      <c r="L138" s="65"/>
    </row>
    <row r="139" spans="2:12" ht="31.2" x14ac:dyDescent="0.3">
      <c r="B139" s="96" t="s">
        <v>266</v>
      </c>
      <c r="C139" s="69" t="s">
        <v>507</v>
      </c>
      <c r="D139" s="99" t="s">
        <v>23</v>
      </c>
      <c r="E139" s="97">
        <v>25.6</v>
      </c>
      <c r="F139" s="98"/>
      <c r="G139" s="95"/>
      <c r="H139" s="98"/>
      <c r="I139" s="98"/>
      <c r="J139" s="98"/>
      <c r="K139" s="98"/>
      <c r="L139" s="65"/>
    </row>
    <row r="140" spans="2:12" x14ac:dyDescent="0.3">
      <c r="B140" s="68" t="s">
        <v>267</v>
      </c>
      <c r="C140" s="81" t="s">
        <v>497</v>
      </c>
      <c r="D140" s="64" t="s">
        <v>22</v>
      </c>
      <c r="E140" s="70">
        <v>24.34</v>
      </c>
      <c r="F140" s="57"/>
      <c r="G140" s="56">
        <v>300</v>
      </c>
      <c r="H140" s="71">
        <f t="shared" ref="H140:H203" si="8">F140+G140</f>
        <v>300</v>
      </c>
      <c r="I140" s="71">
        <f t="shared" ref="I140:I203" si="9">ROUND(F140*E140,2)</f>
        <v>0</v>
      </c>
      <c r="J140" s="71">
        <f t="shared" ref="J140:J203" si="10">ROUND(G140*E140,2)</f>
        <v>7302</v>
      </c>
      <c r="K140" s="71">
        <f t="shared" ref="K140:K203" si="11">I140+J140</f>
        <v>7302</v>
      </c>
      <c r="L140" s="65"/>
    </row>
    <row r="141" spans="2:12" ht="31.2" x14ac:dyDescent="0.3">
      <c r="B141" s="68" t="s">
        <v>268</v>
      </c>
      <c r="C141" s="75" t="s">
        <v>493</v>
      </c>
      <c r="D141" s="64" t="s">
        <v>21</v>
      </c>
      <c r="E141" s="70">
        <f>0.48*E139</f>
        <v>12.288</v>
      </c>
      <c r="F141" s="56">
        <f>1973*0.15</f>
        <v>295.95</v>
      </c>
      <c r="G141" s="56">
        <f>1500*0.15</f>
        <v>225</v>
      </c>
      <c r="H141" s="71">
        <f t="shared" si="8"/>
        <v>520.95000000000005</v>
      </c>
      <c r="I141" s="71">
        <f t="shared" si="9"/>
        <v>3636.63</v>
      </c>
      <c r="J141" s="71">
        <f t="shared" si="10"/>
        <v>2764.8</v>
      </c>
      <c r="K141" s="71">
        <f t="shared" si="11"/>
        <v>6401.43</v>
      </c>
      <c r="L141" s="65"/>
    </row>
    <row r="142" spans="2:12" ht="31.2" x14ac:dyDescent="0.3">
      <c r="B142" s="68" t="s">
        <v>269</v>
      </c>
      <c r="C142" s="75" t="s">
        <v>19</v>
      </c>
      <c r="D142" s="64" t="s">
        <v>22</v>
      </c>
      <c r="E142" s="70">
        <f>0.34/10*E139</f>
        <v>0.87040000000000006</v>
      </c>
      <c r="F142" s="57"/>
      <c r="G142" s="56">
        <v>5860</v>
      </c>
      <c r="H142" s="71">
        <f t="shared" si="8"/>
        <v>5860</v>
      </c>
      <c r="I142" s="71">
        <f t="shared" si="9"/>
        <v>0</v>
      </c>
      <c r="J142" s="71">
        <f t="shared" si="10"/>
        <v>5100.54</v>
      </c>
      <c r="K142" s="71">
        <f t="shared" si="11"/>
        <v>5100.54</v>
      </c>
      <c r="L142" s="65"/>
    </row>
    <row r="143" spans="2:12" x14ac:dyDescent="0.3">
      <c r="B143" s="68" t="s">
        <v>270</v>
      </c>
      <c r="C143" s="77" t="s">
        <v>150</v>
      </c>
      <c r="D143" s="64" t="s">
        <v>22</v>
      </c>
      <c r="E143" s="70">
        <f>E142*1.02</f>
        <v>0.88780800000000004</v>
      </c>
      <c r="F143" s="57">
        <v>6700</v>
      </c>
      <c r="G143" s="76"/>
      <c r="H143" s="71">
        <f t="shared" si="8"/>
        <v>6700</v>
      </c>
      <c r="I143" s="71">
        <f t="shared" si="9"/>
        <v>5948.31</v>
      </c>
      <c r="J143" s="71">
        <f t="shared" si="10"/>
        <v>0</v>
      </c>
      <c r="K143" s="71">
        <f t="shared" si="11"/>
        <v>5948.31</v>
      </c>
      <c r="L143" s="65"/>
    </row>
    <row r="144" spans="2:12" x14ac:dyDescent="0.3">
      <c r="B144" s="68" t="s">
        <v>271</v>
      </c>
      <c r="C144" s="75" t="s">
        <v>24</v>
      </c>
      <c r="D144" s="64" t="s">
        <v>22</v>
      </c>
      <c r="E144" s="70">
        <f>E139*0.48*0.1</f>
        <v>1.2288000000000001</v>
      </c>
      <c r="F144" s="57"/>
      <c r="G144" s="56">
        <v>5860</v>
      </c>
      <c r="H144" s="71">
        <f t="shared" si="8"/>
        <v>5860</v>
      </c>
      <c r="I144" s="71">
        <f t="shared" si="9"/>
        <v>0</v>
      </c>
      <c r="J144" s="71">
        <f t="shared" si="10"/>
        <v>7200.77</v>
      </c>
      <c r="K144" s="71">
        <f t="shared" si="11"/>
        <v>7200.77</v>
      </c>
      <c r="L144" s="65"/>
    </row>
    <row r="145" spans="2:12" x14ac:dyDescent="0.3">
      <c r="B145" s="68" t="s">
        <v>272</v>
      </c>
      <c r="C145" s="77" t="s">
        <v>25</v>
      </c>
      <c r="D145" s="64" t="s">
        <v>22</v>
      </c>
      <c r="E145" s="70">
        <f>E144*1.02</f>
        <v>1.253376</v>
      </c>
      <c r="F145" s="57">
        <v>7100</v>
      </c>
      <c r="G145" s="76"/>
      <c r="H145" s="71">
        <f t="shared" si="8"/>
        <v>7100</v>
      </c>
      <c r="I145" s="71">
        <f t="shared" si="9"/>
        <v>8898.9699999999993</v>
      </c>
      <c r="J145" s="71">
        <f t="shared" si="10"/>
        <v>0</v>
      </c>
      <c r="K145" s="71">
        <f t="shared" si="11"/>
        <v>8898.9699999999993</v>
      </c>
      <c r="L145" s="65"/>
    </row>
    <row r="146" spans="2:12" x14ac:dyDescent="0.3">
      <c r="B146" s="68" t="s">
        <v>273</v>
      </c>
      <c r="C146" s="75" t="s">
        <v>151</v>
      </c>
      <c r="D146" s="64" t="s">
        <v>23</v>
      </c>
      <c r="E146" s="70">
        <f>E139</f>
        <v>25.6</v>
      </c>
      <c r="F146" s="57"/>
      <c r="G146" s="56">
        <v>2928</v>
      </c>
      <c r="H146" s="71">
        <f t="shared" si="8"/>
        <v>2928</v>
      </c>
      <c r="I146" s="71">
        <f t="shared" si="9"/>
        <v>0</v>
      </c>
      <c r="J146" s="71">
        <f t="shared" si="10"/>
        <v>74956.800000000003</v>
      </c>
      <c r="K146" s="71">
        <f t="shared" si="11"/>
        <v>74956.800000000003</v>
      </c>
      <c r="L146" s="65"/>
    </row>
    <row r="147" spans="2:12" ht="31.2" x14ac:dyDescent="0.3">
      <c r="B147" s="68" t="s">
        <v>274</v>
      </c>
      <c r="C147" s="79" t="s">
        <v>489</v>
      </c>
      <c r="D147" s="64" t="s">
        <v>23</v>
      </c>
      <c r="E147" s="70">
        <f>E146*1.1</f>
        <v>28.160000000000004</v>
      </c>
      <c r="F147" s="57">
        <v>2195</v>
      </c>
      <c r="G147" s="56"/>
      <c r="H147" s="71">
        <f t="shared" si="8"/>
        <v>2195</v>
      </c>
      <c r="I147" s="71">
        <f t="shared" si="9"/>
        <v>61811.199999999997</v>
      </c>
      <c r="J147" s="71">
        <f t="shared" si="10"/>
        <v>0</v>
      </c>
      <c r="K147" s="71">
        <f t="shared" si="11"/>
        <v>61811.199999999997</v>
      </c>
      <c r="L147" s="65"/>
    </row>
    <row r="148" spans="2:12" ht="31.2" x14ac:dyDescent="0.3">
      <c r="B148" s="96" t="s">
        <v>275</v>
      </c>
      <c r="C148" s="69" t="s">
        <v>508</v>
      </c>
      <c r="D148" s="99" t="s">
        <v>23</v>
      </c>
      <c r="E148" s="97">
        <v>27.4</v>
      </c>
      <c r="F148" s="98"/>
      <c r="G148" s="95"/>
      <c r="H148" s="98"/>
      <c r="I148" s="98"/>
      <c r="J148" s="98"/>
      <c r="K148" s="98"/>
      <c r="L148" s="65"/>
    </row>
    <row r="149" spans="2:12" x14ac:dyDescent="0.3">
      <c r="B149" s="68" t="s">
        <v>276</v>
      </c>
      <c r="C149" s="81" t="s">
        <v>497</v>
      </c>
      <c r="D149" s="64" t="s">
        <v>22</v>
      </c>
      <c r="E149" s="70">
        <v>68.260000000000005</v>
      </c>
      <c r="F149" s="57"/>
      <c r="G149" s="56">
        <v>300</v>
      </c>
      <c r="H149" s="71">
        <f t="shared" si="8"/>
        <v>300</v>
      </c>
      <c r="I149" s="71">
        <f t="shared" si="9"/>
        <v>0</v>
      </c>
      <c r="J149" s="71">
        <f t="shared" si="10"/>
        <v>20478</v>
      </c>
      <c r="K149" s="71">
        <f t="shared" si="11"/>
        <v>20478</v>
      </c>
      <c r="L149" s="65"/>
    </row>
    <row r="150" spans="2:12" ht="31.2" x14ac:dyDescent="0.3">
      <c r="B150" s="68" t="s">
        <v>277</v>
      </c>
      <c r="C150" s="75" t="s">
        <v>493</v>
      </c>
      <c r="D150" s="64" t="s">
        <v>21</v>
      </c>
      <c r="E150" s="70">
        <f>0.48*E148</f>
        <v>13.151999999999999</v>
      </c>
      <c r="F150" s="56">
        <f>1973*0.15</f>
        <v>295.95</v>
      </c>
      <c r="G150" s="56">
        <f>1500*0.15</f>
        <v>225</v>
      </c>
      <c r="H150" s="71">
        <f t="shared" si="8"/>
        <v>520.95000000000005</v>
      </c>
      <c r="I150" s="71">
        <f t="shared" si="9"/>
        <v>3892.33</v>
      </c>
      <c r="J150" s="71">
        <f t="shared" si="10"/>
        <v>2959.2</v>
      </c>
      <c r="K150" s="71">
        <f t="shared" si="11"/>
        <v>6851.53</v>
      </c>
      <c r="L150" s="65"/>
    </row>
    <row r="151" spans="2:12" ht="31.2" x14ac:dyDescent="0.3">
      <c r="B151" s="68" t="s">
        <v>278</v>
      </c>
      <c r="C151" s="75" t="s">
        <v>19</v>
      </c>
      <c r="D151" s="64" t="s">
        <v>22</v>
      </c>
      <c r="E151" s="70">
        <f>0.34/10*E148</f>
        <v>0.93159999999999998</v>
      </c>
      <c r="F151" s="57"/>
      <c r="G151" s="56">
        <v>5860</v>
      </c>
      <c r="H151" s="71">
        <f t="shared" si="8"/>
        <v>5860</v>
      </c>
      <c r="I151" s="71">
        <f t="shared" si="9"/>
        <v>0</v>
      </c>
      <c r="J151" s="71">
        <f t="shared" si="10"/>
        <v>5459.18</v>
      </c>
      <c r="K151" s="71">
        <f t="shared" si="11"/>
        <v>5459.18</v>
      </c>
      <c r="L151" s="65"/>
    </row>
    <row r="152" spans="2:12" x14ac:dyDescent="0.3">
      <c r="B152" s="68" t="s">
        <v>279</v>
      </c>
      <c r="C152" s="77" t="s">
        <v>150</v>
      </c>
      <c r="D152" s="64" t="s">
        <v>22</v>
      </c>
      <c r="E152" s="70">
        <f>E151*1.02</f>
        <v>0.95023199999999997</v>
      </c>
      <c r="F152" s="57">
        <v>6700</v>
      </c>
      <c r="G152" s="76"/>
      <c r="H152" s="71">
        <f t="shared" si="8"/>
        <v>6700</v>
      </c>
      <c r="I152" s="71">
        <f t="shared" si="9"/>
        <v>6366.55</v>
      </c>
      <c r="J152" s="71">
        <f t="shared" si="10"/>
        <v>0</v>
      </c>
      <c r="K152" s="71">
        <f t="shared" si="11"/>
        <v>6366.55</v>
      </c>
      <c r="L152" s="65"/>
    </row>
    <row r="153" spans="2:12" x14ac:dyDescent="0.3">
      <c r="B153" s="68" t="s">
        <v>280</v>
      </c>
      <c r="C153" s="75" t="s">
        <v>24</v>
      </c>
      <c r="D153" s="64" t="s">
        <v>22</v>
      </c>
      <c r="E153" s="70">
        <f>E148*0.48*0.1</f>
        <v>1.3151999999999999</v>
      </c>
      <c r="F153" s="57"/>
      <c r="G153" s="56">
        <v>5860</v>
      </c>
      <c r="H153" s="71">
        <f t="shared" si="8"/>
        <v>5860</v>
      </c>
      <c r="I153" s="71">
        <f t="shared" si="9"/>
        <v>0</v>
      </c>
      <c r="J153" s="71">
        <f t="shared" si="10"/>
        <v>7707.07</v>
      </c>
      <c r="K153" s="71">
        <f t="shared" si="11"/>
        <v>7707.07</v>
      </c>
      <c r="L153" s="65"/>
    </row>
    <row r="154" spans="2:12" x14ac:dyDescent="0.3">
      <c r="B154" s="68" t="s">
        <v>281</v>
      </c>
      <c r="C154" s="77" t="s">
        <v>25</v>
      </c>
      <c r="D154" s="64" t="s">
        <v>22</v>
      </c>
      <c r="E154" s="70">
        <f>E153*1.02</f>
        <v>1.341504</v>
      </c>
      <c r="F154" s="57">
        <v>7100</v>
      </c>
      <c r="G154" s="76"/>
      <c r="H154" s="71">
        <f t="shared" si="8"/>
        <v>7100</v>
      </c>
      <c r="I154" s="71">
        <f t="shared" si="9"/>
        <v>9524.68</v>
      </c>
      <c r="J154" s="71">
        <f t="shared" si="10"/>
        <v>0</v>
      </c>
      <c r="K154" s="71">
        <f t="shared" si="11"/>
        <v>9524.68</v>
      </c>
      <c r="L154" s="65"/>
    </row>
    <row r="155" spans="2:12" x14ac:dyDescent="0.3">
      <c r="B155" s="68" t="s">
        <v>282</v>
      </c>
      <c r="C155" s="75" t="s">
        <v>151</v>
      </c>
      <c r="D155" s="64" t="s">
        <v>23</v>
      </c>
      <c r="E155" s="70">
        <f>E148</f>
        <v>27.4</v>
      </c>
      <c r="F155" s="57"/>
      <c r="G155" s="56">
        <v>2928</v>
      </c>
      <c r="H155" s="71">
        <f t="shared" si="8"/>
        <v>2928</v>
      </c>
      <c r="I155" s="71">
        <f t="shared" si="9"/>
        <v>0</v>
      </c>
      <c r="J155" s="71">
        <f t="shared" si="10"/>
        <v>80227.199999999997</v>
      </c>
      <c r="K155" s="71">
        <f t="shared" si="11"/>
        <v>80227.199999999997</v>
      </c>
      <c r="L155" s="65"/>
    </row>
    <row r="156" spans="2:12" ht="31.2" x14ac:dyDescent="0.3">
      <c r="B156" s="68" t="s">
        <v>283</v>
      </c>
      <c r="C156" s="79" t="s">
        <v>489</v>
      </c>
      <c r="D156" s="64" t="s">
        <v>23</v>
      </c>
      <c r="E156" s="70">
        <f>E155*1.1</f>
        <v>30.14</v>
      </c>
      <c r="F156" s="57">
        <v>2195</v>
      </c>
      <c r="G156" s="56"/>
      <c r="H156" s="71">
        <f t="shared" si="8"/>
        <v>2195</v>
      </c>
      <c r="I156" s="71">
        <f t="shared" si="9"/>
        <v>66157.3</v>
      </c>
      <c r="J156" s="71">
        <f t="shared" si="10"/>
        <v>0</v>
      </c>
      <c r="K156" s="71">
        <f t="shared" si="11"/>
        <v>66157.3</v>
      </c>
      <c r="L156" s="65"/>
    </row>
    <row r="157" spans="2:12" ht="31.2" x14ac:dyDescent="0.3">
      <c r="B157" s="96" t="s">
        <v>284</v>
      </c>
      <c r="C157" s="69" t="s">
        <v>509</v>
      </c>
      <c r="D157" s="99" t="s">
        <v>23</v>
      </c>
      <c r="E157" s="97">
        <v>25.8</v>
      </c>
      <c r="F157" s="98"/>
      <c r="G157" s="95"/>
      <c r="H157" s="98"/>
      <c r="I157" s="98"/>
      <c r="J157" s="98"/>
      <c r="K157" s="98"/>
      <c r="L157" s="65"/>
    </row>
    <row r="158" spans="2:12" x14ac:dyDescent="0.3">
      <c r="B158" s="68" t="s">
        <v>285</v>
      </c>
      <c r="C158" s="81" t="s">
        <v>497</v>
      </c>
      <c r="D158" s="64" t="s">
        <v>22</v>
      </c>
      <c r="E158" s="70">
        <v>78.489999999999995</v>
      </c>
      <c r="F158" s="57"/>
      <c r="G158" s="56">
        <v>300</v>
      </c>
      <c r="H158" s="71">
        <f t="shared" si="8"/>
        <v>300</v>
      </c>
      <c r="I158" s="71">
        <f t="shared" si="9"/>
        <v>0</v>
      </c>
      <c r="J158" s="71">
        <f t="shared" si="10"/>
        <v>23547</v>
      </c>
      <c r="K158" s="71">
        <f t="shared" si="11"/>
        <v>23547</v>
      </c>
      <c r="L158" s="65"/>
    </row>
    <row r="159" spans="2:12" ht="31.2" x14ac:dyDescent="0.3">
      <c r="B159" s="68" t="s">
        <v>286</v>
      </c>
      <c r="C159" s="75" t="s">
        <v>493</v>
      </c>
      <c r="D159" s="64" t="s">
        <v>21</v>
      </c>
      <c r="E159" s="70">
        <f>0.48*E157</f>
        <v>12.384</v>
      </c>
      <c r="F159" s="56">
        <f>1973*0.15</f>
        <v>295.95</v>
      </c>
      <c r="G159" s="56">
        <f>1500*0.15</f>
        <v>225</v>
      </c>
      <c r="H159" s="71">
        <f t="shared" si="8"/>
        <v>520.95000000000005</v>
      </c>
      <c r="I159" s="71">
        <f t="shared" si="9"/>
        <v>3665.04</v>
      </c>
      <c r="J159" s="71">
        <f t="shared" si="10"/>
        <v>2786.4</v>
      </c>
      <c r="K159" s="71">
        <f t="shared" si="11"/>
        <v>6451.4400000000005</v>
      </c>
      <c r="L159" s="65"/>
    </row>
    <row r="160" spans="2:12" ht="31.2" x14ac:dyDescent="0.3">
      <c r="B160" s="68" t="s">
        <v>287</v>
      </c>
      <c r="C160" s="75" t="s">
        <v>19</v>
      </c>
      <c r="D160" s="64" t="s">
        <v>22</v>
      </c>
      <c r="E160" s="70">
        <f>0.34/10*E157</f>
        <v>0.87720000000000009</v>
      </c>
      <c r="F160" s="57"/>
      <c r="G160" s="56">
        <v>5860</v>
      </c>
      <c r="H160" s="71">
        <f t="shared" si="8"/>
        <v>5860</v>
      </c>
      <c r="I160" s="71">
        <f t="shared" si="9"/>
        <v>0</v>
      </c>
      <c r="J160" s="71">
        <f t="shared" si="10"/>
        <v>5140.3900000000003</v>
      </c>
      <c r="K160" s="71">
        <f t="shared" si="11"/>
        <v>5140.3900000000003</v>
      </c>
      <c r="L160" s="65"/>
    </row>
    <row r="161" spans="2:12" x14ac:dyDescent="0.3">
      <c r="B161" s="68" t="s">
        <v>288</v>
      </c>
      <c r="C161" s="77" t="s">
        <v>150</v>
      </c>
      <c r="D161" s="64" t="s">
        <v>22</v>
      </c>
      <c r="E161" s="70">
        <f>E160*1.02</f>
        <v>0.89474400000000009</v>
      </c>
      <c r="F161" s="57">
        <v>6700</v>
      </c>
      <c r="G161" s="76"/>
      <c r="H161" s="71">
        <f t="shared" si="8"/>
        <v>6700</v>
      </c>
      <c r="I161" s="71">
        <f t="shared" si="9"/>
        <v>5994.78</v>
      </c>
      <c r="J161" s="71">
        <f t="shared" si="10"/>
        <v>0</v>
      </c>
      <c r="K161" s="71">
        <f t="shared" si="11"/>
        <v>5994.78</v>
      </c>
      <c r="L161" s="65"/>
    </row>
    <row r="162" spans="2:12" x14ac:dyDescent="0.3">
      <c r="B162" s="68" t="s">
        <v>289</v>
      </c>
      <c r="C162" s="75" t="s">
        <v>24</v>
      </c>
      <c r="D162" s="64" t="s">
        <v>22</v>
      </c>
      <c r="E162" s="70">
        <f>E157*0.48*0.1</f>
        <v>1.2384000000000002</v>
      </c>
      <c r="F162" s="57"/>
      <c r="G162" s="56">
        <v>5860</v>
      </c>
      <c r="H162" s="71">
        <f t="shared" si="8"/>
        <v>5860</v>
      </c>
      <c r="I162" s="71">
        <f t="shared" si="9"/>
        <v>0</v>
      </c>
      <c r="J162" s="71">
        <f t="shared" si="10"/>
        <v>7257.02</v>
      </c>
      <c r="K162" s="71">
        <f t="shared" si="11"/>
        <v>7257.02</v>
      </c>
      <c r="L162" s="65"/>
    </row>
    <row r="163" spans="2:12" x14ac:dyDescent="0.3">
      <c r="B163" s="68" t="s">
        <v>290</v>
      </c>
      <c r="C163" s="77" t="s">
        <v>25</v>
      </c>
      <c r="D163" s="64" t="s">
        <v>22</v>
      </c>
      <c r="E163" s="70">
        <f>E162*1.02</f>
        <v>1.2631680000000003</v>
      </c>
      <c r="F163" s="57">
        <v>7100</v>
      </c>
      <c r="G163" s="76"/>
      <c r="H163" s="71">
        <f t="shared" si="8"/>
        <v>7100</v>
      </c>
      <c r="I163" s="71">
        <f t="shared" si="9"/>
        <v>8968.49</v>
      </c>
      <c r="J163" s="71">
        <f t="shared" si="10"/>
        <v>0</v>
      </c>
      <c r="K163" s="71">
        <f t="shared" si="11"/>
        <v>8968.49</v>
      </c>
      <c r="L163" s="65"/>
    </row>
    <row r="164" spans="2:12" x14ac:dyDescent="0.3">
      <c r="B164" s="68" t="s">
        <v>291</v>
      </c>
      <c r="C164" s="75" t="s">
        <v>151</v>
      </c>
      <c r="D164" s="64" t="s">
        <v>23</v>
      </c>
      <c r="E164" s="70">
        <f>E157</f>
        <v>25.8</v>
      </c>
      <c r="F164" s="57"/>
      <c r="G164" s="56">
        <v>2928</v>
      </c>
      <c r="H164" s="71">
        <f t="shared" si="8"/>
        <v>2928</v>
      </c>
      <c r="I164" s="71">
        <f t="shared" si="9"/>
        <v>0</v>
      </c>
      <c r="J164" s="71">
        <f t="shared" si="10"/>
        <v>75542.399999999994</v>
      </c>
      <c r="K164" s="71">
        <f t="shared" si="11"/>
        <v>75542.399999999994</v>
      </c>
      <c r="L164" s="65"/>
    </row>
    <row r="165" spans="2:12" ht="31.2" x14ac:dyDescent="0.3">
      <c r="B165" s="68" t="s">
        <v>292</v>
      </c>
      <c r="C165" s="79" t="s">
        <v>489</v>
      </c>
      <c r="D165" s="64" t="s">
        <v>23</v>
      </c>
      <c r="E165" s="70">
        <f>E164*1.1</f>
        <v>28.380000000000003</v>
      </c>
      <c r="F165" s="57">
        <v>2195</v>
      </c>
      <c r="G165" s="56"/>
      <c r="H165" s="71">
        <f t="shared" si="8"/>
        <v>2195</v>
      </c>
      <c r="I165" s="71">
        <f t="shared" si="9"/>
        <v>62294.1</v>
      </c>
      <c r="J165" s="71">
        <f t="shared" si="10"/>
        <v>0</v>
      </c>
      <c r="K165" s="71">
        <f t="shared" si="11"/>
        <v>62294.1</v>
      </c>
      <c r="L165" s="65"/>
    </row>
    <row r="166" spans="2:12" ht="31.2" x14ac:dyDescent="0.3">
      <c r="B166" s="96" t="s">
        <v>293</v>
      </c>
      <c r="C166" s="69" t="s">
        <v>510</v>
      </c>
      <c r="D166" s="99" t="s">
        <v>23</v>
      </c>
      <c r="E166" s="97">
        <v>16.100000000000001</v>
      </c>
      <c r="F166" s="98"/>
      <c r="G166" s="95"/>
      <c r="H166" s="98"/>
      <c r="I166" s="98"/>
      <c r="J166" s="98"/>
      <c r="K166" s="98"/>
      <c r="L166" s="65"/>
    </row>
    <row r="167" spans="2:12" x14ac:dyDescent="0.3">
      <c r="B167" s="68" t="s">
        <v>294</v>
      </c>
      <c r="C167" s="81" t="s">
        <v>497</v>
      </c>
      <c r="D167" s="64" t="s">
        <v>22</v>
      </c>
      <c r="E167" s="70">
        <v>25.52</v>
      </c>
      <c r="F167" s="57"/>
      <c r="G167" s="56">
        <v>300</v>
      </c>
      <c r="H167" s="71">
        <f t="shared" si="8"/>
        <v>300</v>
      </c>
      <c r="I167" s="71">
        <f t="shared" si="9"/>
        <v>0</v>
      </c>
      <c r="J167" s="71">
        <f t="shared" si="10"/>
        <v>7656</v>
      </c>
      <c r="K167" s="71">
        <f t="shared" si="11"/>
        <v>7656</v>
      </c>
      <c r="L167" s="65"/>
    </row>
    <row r="168" spans="2:12" ht="31.2" x14ac:dyDescent="0.3">
      <c r="B168" s="68" t="s">
        <v>295</v>
      </c>
      <c r="C168" s="75" t="s">
        <v>493</v>
      </c>
      <c r="D168" s="64" t="s">
        <v>21</v>
      </c>
      <c r="E168" s="70">
        <f>0.48*E166</f>
        <v>7.7280000000000006</v>
      </c>
      <c r="F168" s="56">
        <f>1973*0.15</f>
        <v>295.95</v>
      </c>
      <c r="G168" s="56">
        <f>1500*0.15</f>
        <v>225</v>
      </c>
      <c r="H168" s="71">
        <f t="shared" si="8"/>
        <v>520.95000000000005</v>
      </c>
      <c r="I168" s="71">
        <f t="shared" si="9"/>
        <v>2287.1</v>
      </c>
      <c r="J168" s="71">
        <f t="shared" si="10"/>
        <v>1738.8</v>
      </c>
      <c r="K168" s="71">
        <f t="shared" si="11"/>
        <v>4025.8999999999996</v>
      </c>
      <c r="L168" s="65"/>
    </row>
    <row r="169" spans="2:12" ht="31.2" x14ac:dyDescent="0.3">
      <c r="B169" s="68" t="s">
        <v>296</v>
      </c>
      <c r="C169" s="75" t="s">
        <v>19</v>
      </c>
      <c r="D169" s="64" t="s">
        <v>22</v>
      </c>
      <c r="E169" s="70">
        <f>0.34/10*E166</f>
        <v>0.54740000000000011</v>
      </c>
      <c r="F169" s="57"/>
      <c r="G169" s="56">
        <v>5860</v>
      </c>
      <c r="H169" s="71">
        <f t="shared" si="8"/>
        <v>5860</v>
      </c>
      <c r="I169" s="71">
        <f t="shared" si="9"/>
        <v>0</v>
      </c>
      <c r="J169" s="71">
        <f t="shared" si="10"/>
        <v>3207.76</v>
      </c>
      <c r="K169" s="71">
        <f t="shared" si="11"/>
        <v>3207.76</v>
      </c>
      <c r="L169" s="65"/>
    </row>
    <row r="170" spans="2:12" x14ac:dyDescent="0.3">
      <c r="B170" s="68" t="s">
        <v>478</v>
      </c>
      <c r="C170" s="77" t="s">
        <v>150</v>
      </c>
      <c r="D170" s="64" t="s">
        <v>22</v>
      </c>
      <c r="E170" s="70">
        <f>E169*1.02</f>
        <v>0.55834800000000007</v>
      </c>
      <c r="F170" s="57">
        <v>6700</v>
      </c>
      <c r="G170" s="76"/>
      <c r="H170" s="71">
        <f t="shared" si="8"/>
        <v>6700</v>
      </c>
      <c r="I170" s="71">
        <f t="shared" si="9"/>
        <v>3740.93</v>
      </c>
      <c r="J170" s="71">
        <f t="shared" si="10"/>
        <v>0</v>
      </c>
      <c r="K170" s="71">
        <f t="shared" si="11"/>
        <v>3740.93</v>
      </c>
      <c r="L170" s="65"/>
    </row>
    <row r="171" spans="2:12" x14ac:dyDescent="0.3">
      <c r="B171" s="68" t="s">
        <v>297</v>
      </c>
      <c r="C171" s="75" t="s">
        <v>24</v>
      </c>
      <c r="D171" s="64" t="s">
        <v>22</v>
      </c>
      <c r="E171" s="70">
        <f>E166*0.48*0.1</f>
        <v>0.77280000000000015</v>
      </c>
      <c r="F171" s="57"/>
      <c r="G171" s="56">
        <v>5860</v>
      </c>
      <c r="H171" s="71">
        <f t="shared" si="8"/>
        <v>5860</v>
      </c>
      <c r="I171" s="71">
        <f t="shared" si="9"/>
        <v>0</v>
      </c>
      <c r="J171" s="71">
        <f t="shared" si="10"/>
        <v>4528.6099999999997</v>
      </c>
      <c r="K171" s="71">
        <f t="shared" si="11"/>
        <v>4528.6099999999997</v>
      </c>
      <c r="L171" s="65"/>
    </row>
    <row r="172" spans="2:12" x14ac:dyDescent="0.3">
      <c r="B172" s="68" t="s">
        <v>298</v>
      </c>
      <c r="C172" s="77" t="s">
        <v>25</v>
      </c>
      <c r="D172" s="64" t="s">
        <v>22</v>
      </c>
      <c r="E172" s="70">
        <f>E171*1.02</f>
        <v>0.78825600000000018</v>
      </c>
      <c r="F172" s="57">
        <v>7100</v>
      </c>
      <c r="G172" s="76"/>
      <c r="H172" s="71">
        <f t="shared" si="8"/>
        <v>7100</v>
      </c>
      <c r="I172" s="71">
        <f t="shared" si="9"/>
        <v>5596.62</v>
      </c>
      <c r="J172" s="71">
        <f t="shared" si="10"/>
        <v>0</v>
      </c>
      <c r="K172" s="71">
        <f t="shared" si="11"/>
        <v>5596.62</v>
      </c>
      <c r="L172" s="65"/>
    </row>
    <row r="173" spans="2:12" x14ac:dyDescent="0.3">
      <c r="B173" s="68" t="s">
        <v>299</v>
      </c>
      <c r="C173" s="75" t="s">
        <v>151</v>
      </c>
      <c r="D173" s="64" t="s">
        <v>23</v>
      </c>
      <c r="E173" s="70">
        <f>E166</f>
        <v>16.100000000000001</v>
      </c>
      <c r="F173" s="57"/>
      <c r="G173" s="56">
        <v>2928</v>
      </c>
      <c r="H173" s="71">
        <f t="shared" si="8"/>
        <v>2928</v>
      </c>
      <c r="I173" s="71">
        <f t="shared" si="9"/>
        <v>0</v>
      </c>
      <c r="J173" s="71">
        <f t="shared" si="10"/>
        <v>47140.800000000003</v>
      </c>
      <c r="K173" s="71">
        <f t="shared" si="11"/>
        <v>47140.800000000003</v>
      </c>
      <c r="L173" s="65"/>
    </row>
    <row r="174" spans="2:12" ht="31.2" x14ac:dyDescent="0.3">
      <c r="B174" s="68" t="s">
        <v>300</v>
      </c>
      <c r="C174" s="77" t="s">
        <v>489</v>
      </c>
      <c r="D174" s="64" t="s">
        <v>23</v>
      </c>
      <c r="E174" s="70">
        <f>E173*1.1</f>
        <v>17.710000000000004</v>
      </c>
      <c r="F174" s="57">
        <v>2195</v>
      </c>
      <c r="G174" s="56"/>
      <c r="H174" s="71">
        <f t="shared" si="8"/>
        <v>2195</v>
      </c>
      <c r="I174" s="71">
        <f t="shared" si="9"/>
        <v>38873.449999999997</v>
      </c>
      <c r="J174" s="71">
        <f t="shared" si="10"/>
        <v>0</v>
      </c>
      <c r="K174" s="71">
        <f t="shared" si="11"/>
        <v>38873.449999999997</v>
      </c>
      <c r="L174" s="65"/>
    </row>
    <row r="175" spans="2:12" ht="31.2" x14ac:dyDescent="0.3">
      <c r="B175" s="96" t="s">
        <v>301</v>
      </c>
      <c r="C175" s="69" t="s">
        <v>511</v>
      </c>
      <c r="D175" s="99" t="s">
        <v>23</v>
      </c>
      <c r="E175" s="97">
        <v>8.3000000000000007</v>
      </c>
      <c r="F175" s="98"/>
      <c r="G175" s="95"/>
      <c r="H175" s="98"/>
      <c r="I175" s="98"/>
      <c r="J175" s="98"/>
      <c r="K175" s="98"/>
      <c r="L175" s="65"/>
    </row>
    <row r="176" spans="2:12" x14ac:dyDescent="0.3">
      <c r="B176" s="68" t="s">
        <v>302</v>
      </c>
      <c r="C176" s="81" t="s">
        <v>497</v>
      </c>
      <c r="D176" s="64" t="s">
        <v>22</v>
      </c>
      <c r="E176" s="70">
        <v>9.6</v>
      </c>
      <c r="F176" s="57"/>
      <c r="G176" s="56">
        <v>300</v>
      </c>
      <c r="H176" s="71">
        <f t="shared" si="8"/>
        <v>300</v>
      </c>
      <c r="I176" s="71">
        <f t="shared" si="9"/>
        <v>0</v>
      </c>
      <c r="J176" s="71">
        <f t="shared" si="10"/>
        <v>2880</v>
      </c>
      <c r="K176" s="71">
        <f t="shared" si="11"/>
        <v>2880</v>
      </c>
      <c r="L176" s="65"/>
    </row>
    <row r="177" spans="2:12" ht="31.2" x14ac:dyDescent="0.3">
      <c r="B177" s="68" t="s">
        <v>303</v>
      </c>
      <c r="C177" s="75" t="s">
        <v>493</v>
      </c>
      <c r="D177" s="64" t="s">
        <v>21</v>
      </c>
      <c r="E177" s="70">
        <f>0.48*E175</f>
        <v>3.984</v>
      </c>
      <c r="F177" s="56">
        <f>1973*0.15</f>
        <v>295.95</v>
      </c>
      <c r="G177" s="56">
        <f>1500*0.15</f>
        <v>225</v>
      </c>
      <c r="H177" s="71">
        <f t="shared" si="8"/>
        <v>520.95000000000005</v>
      </c>
      <c r="I177" s="71">
        <f t="shared" si="9"/>
        <v>1179.06</v>
      </c>
      <c r="J177" s="71">
        <f t="shared" si="10"/>
        <v>896.4</v>
      </c>
      <c r="K177" s="71">
        <f t="shared" si="11"/>
        <v>2075.46</v>
      </c>
      <c r="L177" s="65"/>
    </row>
    <row r="178" spans="2:12" ht="31.2" x14ac:dyDescent="0.3">
      <c r="B178" s="68" t="s">
        <v>304</v>
      </c>
      <c r="C178" s="75" t="s">
        <v>19</v>
      </c>
      <c r="D178" s="64" t="s">
        <v>22</v>
      </c>
      <c r="E178" s="70">
        <f>0.34/10*E175</f>
        <v>0.28220000000000006</v>
      </c>
      <c r="F178" s="57"/>
      <c r="G178" s="56">
        <v>5860</v>
      </c>
      <c r="H178" s="71">
        <f t="shared" si="8"/>
        <v>5860</v>
      </c>
      <c r="I178" s="71">
        <f t="shared" si="9"/>
        <v>0</v>
      </c>
      <c r="J178" s="71">
        <f t="shared" si="10"/>
        <v>1653.69</v>
      </c>
      <c r="K178" s="71">
        <f t="shared" si="11"/>
        <v>1653.69</v>
      </c>
      <c r="L178" s="65"/>
    </row>
    <row r="179" spans="2:12" x14ac:dyDescent="0.3">
      <c r="B179" s="68" t="s">
        <v>305</v>
      </c>
      <c r="C179" s="77" t="s">
        <v>150</v>
      </c>
      <c r="D179" s="64" t="s">
        <v>22</v>
      </c>
      <c r="E179" s="70">
        <f>E178*1.02</f>
        <v>0.28784400000000004</v>
      </c>
      <c r="F179" s="57">
        <v>6700</v>
      </c>
      <c r="G179" s="76"/>
      <c r="H179" s="71">
        <f t="shared" si="8"/>
        <v>6700</v>
      </c>
      <c r="I179" s="71">
        <f t="shared" si="9"/>
        <v>1928.55</v>
      </c>
      <c r="J179" s="71">
        <f t="shared" si="10"/>
        <v>0</v>
      </c>
      <c r="K179" s="71">
        <f t="shared" si="11"/>
        <v>1928.55</v>
      </c>
      <c r="L179" s="65"/>
    </row>
    <row r="180" spans="2:12" x14ac:dyDescent="0.3">
      <c r="B180" s="68" t="s">
        <v>306</v>
      </c>
      <c r="C180" s="75" t="s">
        <v>24</v>
      </c>
      <c r="D180" s="64" t="s">
        <v>22</v>
      </c>
      <c r="E180" s="70">
        <f>E175*0.48*0.1</f>
        <v>0.39840000000000003</v>
      </c>
      <c r="F180" s="57"/>
      <c r="G180" s="56">
        <v>5860</v>
      </c>
      <c r="H180" s="71">
        <f t="shared" si="8"/>
        <v>5860</v>
      </c>
      <c r="I180" s="71">
        <f t="shared" si="9"/>
        <v>0</v>
      </c>
      <c r="J180" s="71">
        <f t="shared" si="10"/>
        <v>2334.62</v>
      </c>
      <c r="K180" s="71">
        <f t="shared" si="11"/>
        <v>2334.62</v>
      </c>
      <c r="L180" s="65"/>
    </row>
    <row r="181" spans="2:12" x14ac:dyDescent="0.3">
      <c r="B181" s="68" t="s">
        <v>307</v>
      </c>
      <c r="C181" s="77" t="s">
        <v>25</v>
      </c>
      <c r="D181" s="64" t="s">
        <v>22</v>
      </c>
      <c r="E181" s="70">
        <f>E180*1.02</f>
        <v>0.40636800000000006</v>
      </c>
      <c r="F181" s="57">
        <v>7100</v>
      </c>
      <c r="G181" s="76"/>
      <c r="H181" s="71">
        <f t="shared" si="8"/>
        <v>7100</v>
      </c>
      <c r="I181" s="71">
        <f t="shared" si="9"/>
        <v>2885.21</v>
      </c>
      <c r="J181" s="71">
        <f t="shared" si="10"/>
        <v>0</v>
      </c>
      <c r="K181" s="71">
        <f t="shared" si="11"/>
        <v>2885.21</v>
      </c>
      <c r="L181" s="65"/>
    </row>
    <row r="182" spans="2:12" x14ac:dyDescent="0.3">
      <c r="B182" s="68" t="s">
        <v>308</v>
      </c>
      <c r="C182" s="75" t="s">
        <v>151</v>
      </c>
      <c r="D182" s="64" t="s">
        <v>23</v>
      </c>
      <c r="E182" s="70">
        <f>E175</f>
        <v>8.3000000000000007</v>
      </c>
      <c r="F182" s="57"/>
      <c r="G182" s="56">
        <v>2928</v>
      </c>
      <c r="H182" s="71">
        <f t="shared" si="8"/>
        <v>2928</v>
      </c>
      <c r="I182" s="71">
        <f t="shared" si="9"/>
        <v>0</v>
      </c>
      <c r="J182" s="71">
        <f t="shared" si="10"/>
        <v>24302.400000000001</v>
      </c>
      <c r="K182" s="71">
        <f t="shared" si="11"/>
        <v>24302.400000000001</v>
      </c>
      <c r="L182" s="65"/>
    </row>
    <row r="183" spans="2:12" ht="31.2" x14ac:dyDescent="0.3">
      <c r="B183" s="68" t="s">
        <v>479</v>
      </c>
      <c r="C183" s="79" t="s">
        <v>489</v>
      </c>
      <c r="D183" s="64" t="s">
        <v>23</v>
      </c>
      <c r="E183" s="70">
        <f>E182*1.1</f>
        <v>9.1300000000000008</v>
      </c>
      <c r="F183" s="57">
        <v>2195</v>
      </c>
      <c r="G183" s="56"/>
      <c r="H183" s="71">
        <f t="shared" si="8"/>
        <v>2195</v>
      </c>
      <c r="I183" s="71">
        <f t="shared" si="9"/>
        <v>20040.349999999999</v>
      </c>
      <c r="J183" s="71">
        <f t="shared" si="10"/>
        <v>0</v>
      </c>
      <c r="K183" s="71">
        <f t="shared" si="11"/>
        <v>20040.349999999999</v>
      </c>
      <c r="L183" s="65"/>
    </row>
    <row r="184" spans="2:12" ht="31.2" x14ac:dyDescent="0.3">
      <c r="B184" s="96" t="s">
        <v>480</v>
      </c>
      <c r="C184" s="69" t="s">
        <v>512</v>
      </c>
      <c r="D184" s="99" t="s">
        <v>23</v>
      </c>
      <c r="E184" s="97">
        <v>11.8</v>
      </c>
      <c r="F184" s="98"/>
      <c r="G184" s="95"/>
      <c r="H184" s="98"/>
      <c r="I184" s="98"/>
      <c r="J184" s="98"/>
      <c r="K184" s="98"/>
      <c r="L184" s="65"/>
    </row>
    <row r="185" spans="2:12" x14ac:dyDescent="0.3">
      <c r="B185" s="68" t="s">
        <v>481</v>
      </c>
      <c r="C185" s="81" t="s">
        <v>497</v>
      </c>
      <c r="D185" s="64" t="s">
        <v>22</v>
      </c>
      <c r="E185" s="70">
        <v>15.66</v>
      </c>
      <c r="F185" s="57"/>
      <c r="G185" s="56">
        <v>300</v>
      </c>
      <c r="H185" s="71">
        <f t="shared" si="8"/>
        <v>300</v>
      </c>
      <c r="I185" s="71">
        <f t="shared" si="9"/>
        <v>0</v>
      </c>
      <c r="J185" s="71">
        <f t="shared" si="10"/>
        <v>4698</v>
      </c>
      <c r="K185" s="71">
        <f t="shared" si="11"/>
        <v>4698</v>
      </c>
      <c r="L185" s="65"/>
    </row>
    <row r="186" spans="2:12" ht="31.2" x14ac:dyDescent="0.3">
      <c r="B186" s="68" t="s">
        <v>482</v>
      </c>
      <c r="C186" s="75" t="s">
        <v>493</v>
      </c>
      <c r="D186" s="64" t="s">
        <v>21</v>
      </c>
      <c r="E186" s="70">
        <f>0.48*E184</f>
        <v>5.6639999999999997</v>
      </c>
      <c r="F186" s="56">
        <f>1973*0.15</f>
        <v>295.95</v>
      </c>
      <c r="G186" s="56">
        <f>1500*0.15</f>
        <v>225</v>
      </c>
      <c r="H186" s="71">
        <f t="shared" si="8"/>
        <v>520.95000000000005</v>
      </c>
      <c r="I186" s="71">
        <f t="shared" si="9"/>
        <v>1676.26</v>
      </c>
      <c r="J186" s="71">
        <f t="shared" si="10"/>
        <v>1274.4000000000001</v>
      </c>
      <c r="K186" s="71">
        <f t="shared" si="11"/>
        <v>2950.66</v>
      </c>
      <c r="L186" s="65"/>
    </row>
    <row r="187" spans="2:12" ht="31.2" x14ac:dyDescent="0.3">
      <c r="B187" s="68" t="s">
        <v>309</v>
      </c>
      <c r="C187" s="75" t="s">
        <v>19</v>
      </c>
      <c r="D187" s="64" t="s">
        <v>22</v>
      </c>
      <c r="E187" s="70">
        <f>0.34/10*E184</f>
        <v>0.40120000000000006</v>
      </c>
      <c r="F187" s="57"/>
      <c r="G187" s="56">
        <v>5860</v>
      </c>
      <c r="H187" s="71">
        <f t="shared" si="8"/>
        <v>5860</v>
      </c>
      <c r="I187" s="71">
        <f t="shared" si="9"/>
        <v>0</v>
      </c>
      <c r="J187" s="71">
        <f t="shared" si="10"/>
        <v>2351.0300000000002</v>
      </c>
      <c r="K187" s="71">
        <f t="shared" si="11"/>
        <v>2351.0300000000002</v>
      </c>
      <c r="L187" s="65"/>
    </row>
    <row r="188" spans="2:12" x14ac:dyDescent="0.3">
      <c r="B188" s="68" t="s">
        <v>310</v>
      </c>
      <c r="C188" s="77" t="s">
        <v>150</v>
      </c>
      <c r="D188" s="64" t="s">
        <v>22</v>
      </c>
      <c r="E188" s="70">
        <f>E187*1.02</f>
        <v>0.40922400000000009</v>
      </c>
      <c r="F188" s="57">
        <v>6700</v>
      </c>
      <c r="G188" s="76"/>
      <c r="H188" s="71">
        <f t="shared" si="8"/>
        <v>6700</v>
      </c>
      <c r="I188" s="71">
        <f t="shared" si="9"/>
        <v>2741.8</v>
      </c>
      <c r="J188" s="71">
        <f t="shared" si="10"/>
        <v>0</v>
      </c>
      <c r="K188" s="71">
        <f t="shared" si="11"/>
        <v>2741.8</v>
      </c>
      <c r="L188" s="65"/>
    </row>
    <row r="189" spans="2:12" x14ac:dyDescent="0.3">
      <c r="B189" s="68" t="s">
        <v>311</v>
      </c>
      <c r="C189" s="75" t="s">
        <v>24</v>
      </c>
      <c r="D189" s="64" t="s">
        <v>22</v>
      </c>
      <c r="E189" s="70">
        <f>E184*0.48*0.1</f>
        <v>0.56640000000000001</v>
      </c>
      <c r="F189" s="57"/>
      <c r="G189" s="56">
        <v>5860</v>
      </c>
      <c r="H189" s="71">
        <f t="shared" si="8"/>
        <v>5860</v>
      </c>
      <c r="I189" s="71">
        <f t="shared" si="9"/>
        <v>0</v>
      </c>
      <c r="J189" s="71">
        <f t="shared" si="10"/>
        <v>3319.1</v>
      </c>
      <c r="K189" s="71">
        <f t="shared" si="11"/>
        <v>3319.1</v>
      </c>
      <c r="L189" s="65"/>
    </row>
    <row r="190" spans="2:12" x14ac:dyDescent="0.3">
      <c r="B190" s="68" t="s">
        <v>312</v>
      </c>
      <c r="C190" s="77" t="s">
        <v>25</v>
      </c>
      <c r="D190" s="64" t="s">
        <v>22</v>
      </c>
      <c r="E190" s="70">
        <f>E189*1.02</f>
        <v>0.57772800000000002</v>
      </c>
      <c r="F190" s="57">
        <v>7100</v>
      </c>
      <c r="G190" s="76"/>
      <c r="H190" s="71">
        <f t="shared" si="8"/>
        <v>7100</v>
      </c>
      <c r="I190" s="71">
        <f t="shared" si="9"/>
        <v>4101.87</v>
      </c>
      <c r="J190" s="71">
        <f t="shared" si="10"/>
        <v>0</v>
      </c>
      <c r="K190" s="71">
        <f t="shared" si="11"/>
        <v>4101.87</v>
      </c>
      <c r="L190" s="65"/>
    </row>
    <row r="191" spans="2:12" x14ac:dyDescent="0.3">
      <c r="B191" s="68" t="s">
        <v>313</v>
      </c>
      <c r="C191" s="75" t="s">
        <v>151</v>
      </c>
      <c r="D191" s="64" t="s">
        <v>23</v>
      </c>
      <c r="E191" s="70">
        <f>E184</f>
        <v>11.8</v>
      </c>
      <c r="F191" s="57"/>
      <c r="G191" s="56">
        <v>2928</v>
      </c>
      <c r="H191" s="71">
        <f t="shared" si="8"/>
        <v>2928</v>
      </c>
      <c r="I191" s="71">
        <f t="shared" si="9"/>
        <v>0</v>
      </c>
      <c r="J191" s="71">
        <f t="shared" si="10"/>
        <v>34550.400000000001</v>
      </c>
      <c r="K191" s="71">
        <f t="shared" si="11"/>
        <v>34550.400000000001</v>
      </c>
      <c r="L191" s="65"/>
    </row>
    <row r="192" spans="2:12" ht="31.2" x14ac:dyDescent="0.3">
      <c r="B192" s="68" t="s">
        <v>314</v>
      </c>
      <c r="C192" s="79" t="s">
        <v>489</v>
      </c>
      <c r="D192" s="64" t="s">
        <v>23</v>
      </c>
      <c r="E192" s="70">
        <f>E191*1.1</f>
        <v>12.980000000000002</v>
      </c>
      <c r="F192" s="57">
        <v>2195</v>
      </c>
      <c r="G192" s="56"/>
      <c r="H192" s="71">
        <f t="shared" si="8"/>
        <v>2195</v>
      </c>
      <c r="I192" s="71">
        <f t="shared" si="9"/>
        <v>28491.1</v>
      </c>
      <c r="J192" s="71">
        <f t="shared" si="10"/>
        <v>0</v>
      </c>
      <c r="K192" s="71">
        <f t="shared" si="11"/>
        <v>28491.1</v>
      </c>
      <c r="L192" s="65"/>
    </row>
    <row r="193" spans="2:12" ht="31.2" x14ac:dyDescent="0.3">
      <c r="B193" s="96" t="s">
        <v>315</v>
      </c>
      <c r="C193" s="69" t="s">
        <v>513</v>
      </c>
      <c r="D193" s="99" t="s">
        <v>23</v>
      </c>
      <c r="E193" s="97">
        <v>8.6999999999999993</v>
      </c>
      <c r="F193" s="98"/>
      <c r="G193" s="95"/>
      <c r="H193" s="98"/>
      <c r="I193" s="98"/>
      <c r="J193" s="98"/>
      <c r="K193" s="98"/>
      <c r="L193" s="65"/>
    </row>
    <row r="194" spans="2:12" x14ac:dyDescent="0.3">
      <c r="B194" s="68" t="s">
        <v>316</v>
      </c>
      <c r="C194" s="81" t="s">
        <v>497</v>
      </c>
      <c r="D194" s="64" t="s">
        <v>22</v>
      </c>
      <c r="E194" s="70">
        <v>10.79</v>
      </c>
      <c r="F194" s="57"/>
      <c r="G194" s="56">
        <v>300</v>
      </c>
      <c r="H194" s="71">
        <f t="shared" si="8"/>
        <v>300</v>
      </c>
      <c r="I194" s="71">
        <f t="shared" si="9"/>
        <v>0</v>
      </c>
      <c r="J194" s="71">
        <f t="shared" si="10"/>
        <v>3237</v>
      </c>
      <c r="K194" s="71">
        <f t="shared" si="11"/>
        <v>3237</v>
      </c>
      <c r="L194" s="65"/>
    </row>
    <row r="195" spans="2:12" ht="31.2" x14ac:dyDescent="0.3">
      <c r="B195" s="68" t="s">
        <v>317</v>
      </c>
      <c r="C195" s="75" t="s">
        <v>493</v>
      </c>
      <c r="D195" s="64" t="s">
        <v>21</v>
      </c>
      <c r="E195" s="70">
        <f>0.48*E193</f>
        <v>4.1759999999999993</v>
      </c>
      <c r="F195" s="56">
        <f>1973*0.15</f>
        <v>295.95</v>
      </c>
      <c r="G195" s="56">
        <f>1500*0.15</f>
        <v>225</v>
      </c>
      <c r="H195" s="71">
        <f t="shared" si="8"/>
        <v>520.95000000000005</v>
      </c>
      <c r="I195" s="71">
        <f t="shared" si="9"/>
        <v>1235.8900000000001</v>
      </c>
      <c r="J195" s="71">
        <f t="shared" si="10"/>
        <v>939.6</v>
      </c>
      <c r="K195" s="71">
        <f t="shared" si="11"/>
        <v>2175.4900000000002</v>
      </c>
      <c r="L195" s="65"/>
    </row>
    <row r="196" spans="2:12" ht="31.2" x14ac:dyDescent="0.3">
      <c r="B196" s="68" t="s">
        <v>318</v>
      </c>
      <c r="C196" s="75" t="s">
        <v>19</v>
      </c>
      <c r="D196" s="64" t="s">
        <v>22</v>
      </c>
      <c r="E196" s="70">
        <f>0.34/10*E193</f>
        <v>0.29580000000000001</v>
      </c>
      <c r="F196" s="57"/>
      <c r="G196" s="56">
        <v>5860</v>
      </c>
      <c r="H196" s="71">
        <f t="shared" si="8"/>
        <v>5860</v>
      </c>
      <c r="I196" s="71">
        <f t="shared" si="9"/>
        <v>0</v>
      </c>
      <c r="J196" s="71">
        <f t="shared" si="10"/>
        <v>1733.39</v>
      </c>
      <c r="K196" s="71">
        <f t="shared" si="11"/>
        <v>1733.39</v>
      </c>
      <c r="L196" s="65"/>
    </row>
    <row r="197" spans="2:12" x14ac:dyDescent="0.3">
      <c r="B197" s="68" t="s">
        <v>319</v>
      </c>
      <c r="C197" s="77" t="s">
        <v>150</v>
      </c>
      <c r="D197" s="64" t="s">
        <v>22</v>
      </c>
      <c r="E197" s="70">
        <f>E196*1.02</f>
        <v>0.30171600000000004</v>
      </c>
      <c r="F197" s="57">
        <v>6700</v>
      </c>
      <c r="G197" s="76"/>
      <c r="H197" s="71">
        <f t="shared" si="8"/>
        <v>6700</v>
      </c>
      <c r="I197" s="71">
        <f t="shared" si="9"/>
        <v>2021.5</v>
      </c>
      <c r="J197" s="71">
        <f t="shared" si="10"/>
        <v>0</v>
      </c>
      <c r="K197" s="71">
        <f t="shared" si="11"/>
        <v>2021.5</v>
      </c>
      <c r="L197" s="65"/>
    </row>
    <row r="198" spans="2:12" x14ac:dyDescent="0.3">
      <c r="B198" s="68" t="s">
        <v>320</v>
      </c>
      <c r="C198" s="75" t="s">
        <v>24</v>
      </c>
      <c r="D198" s="64" t="s">
        <v>22</v>
      </c>
      <c r="E198" s="70">
        <f>E193*0.48*0.1</f>
        <v>0.41759999999999997</v>
      </c>
      <c r="F198" s="57"/>
      <c r="G198" s="56">
        <v>5860</v>
      </c>
      <c r="H198" s="71">
        <f t="shared" si="8"/>
        <v>5860</v>
      </c>
      <c r="I198" s="71">
        <f t="shared" si="9"/>
        <v>0</v>
      </c>
      <c r="J198" s="71">
        <f t="shared" si="10"/>
        <v>2447.14</v>
      </c>
      <c r="K198" s="71">
        <f t="shared" si="11"/>
        <v>2447.14</v>
      </c>
      <c r="L198" s="65"/>
    </row>
    <row r="199" spans="2:12" x14ac:dyDescent="0.3">
      <c r="B199" s="68" t="s">
        <v>321</v>
      </c>
      <c r="C199" s="77" t="s">
        <v>25</v>
      </c>
      <c r="D199" s="64" t="s">
        <v>22</v>
      </c>
      <c r="E199" s="70">
        <f>E198*1.02</f>
        <v>0.425952</v>
      </c>
      <c r="F199" s="57">
        <v>7100</v>
      </c>
      <c r="G199" s="76"/>
      <c r="H199" s="71">
        <f t="shared" si="8"/>
        <v>7100</v>
      </c>
      <c r="I199" s="71">
        <f t="shared" si="9"/>
        <v>3024.26</v>
      </c>
      <c r="J199" s="71">
        <f t="shared" si="10"/>
        <v>0</v>
      </c>
      <c r="K199" s="71">
        <f t="shared" si="11"/>
        <v>3024.26</v>
      </c>
      <c r="L199" s="65"/>
    </row>
    <row r="200" spans="2:12" x14ac:dyDescent="0.3">
      <c r="B200" s="68" t="s">
        <v>322</v>
      </c>
      <c r="C200" s="75" t="s">
        <v>151</v>
      </c>
      <c r="D200" s="64" t="s">
        <v>23</v>
      </c>
      <c r="E200" s="70">
        <f>E193</f>
        <v>8.6999999999999993</v>
      </c>
      <c r="F200" s="57"/>
      <c r="G200" s="56">
        <v>2928</v>
      </c>
      <c r="H200" s="71">
        <f t="shared" si="8"/>
        <v>2928</v>
      </c>
      <c r="I200" s="71">
        <f t="shared" si="9"/>
        <v>0</v>
      </c>
      <c r="J200" s="71">
        <f t="shared" si="10"/>
        <v>25473.599999999999</v>
      </c>
      <c r="K200" s="71">
        <f t="shared" si="11"/>
        <v>25473.599999999999</v>
      </c>
      <c r="L200" s="65"/>
    </row>
    <row r="201" spans="2:12" ht="31.2" x14ac:dyDescent="0.3">
      <c r="B201" s="68" t="s">
        <v>323</v>
      </c>
      <c r="C201" s="79" t="s">
        <v>489</v>
      </c>
      <c r="D201" s="64" t="s">
        <v>23</v>
      </c>
      <c r="E201" s="70">
        <f>E200*1.1</f>
        <v>9.57</v>
      </c>
      <c r="F201" s="57">
        <v>2195</v>
      </c>
      <c r="G201" s="56"/>
      <c r="H201" s="71">
        <f t="shared" si="8"/>
        <v>2195</v>
      </c>
      <c r="I201" s="71">
        <f t="shared" si="9"/>
        <v>21006.15</v>
      </c>
      <c r="J201" s="71">
        <f t="shared" si="10"/>
        <v>0</v>
      </c>
      <c r="K201" s="71">
        <f t="shared" si="11"/>
        <v>21006.15</v>
      </c>
      <c r="L201" s="65"/>
    </row>
    <row r="202" spans="2:12" ht="31.2" x14ac:dyDescent="0.3">
      <c r="B202" s="96" t="s">
        <v>324</v>
      </c>
      <c r="C202" s="69" t="s">
        <v>514</v>
      </c>
      <c r="D202" s="99" t="s">
        <v>23</v>
      </c>
      <c r="E202" s="97">
        <v>12.8</v>
      </c>
      <c r="F202" s="98"/>
      <c r="G202" s="95"/>
      <c r="H202" s="98"/>
      <c r="I202" s="98"/>
      <c r="J202" s="98"/>
      <c r="K202" s="98"/>
      <c r="L202" s="65"/>
    </row>
    <row r="203" spans="2:12" x14ac:dyDescent="0.3">
      <c r="B203" s="68" t="s">
        <v>325</v>
      </c>
      <c r="C203" s="81" t="s">
        <v>497</v>
      </c>
      <c r="D203" s="64" t="s">
        <v>22</v>
      </c>
      <c r="E203" s="70">
        <v>18.73</v>
      </c>
      <c r="F203" s="57"/>
      <c r="G203" s="56">
        <v>300</v>
      </c>
      <c r="H203" s="71">
        <f t="shared" si="8"/>
        <v>300</v>
      </c>
      <c r="I203" s="71">
        <f t="shared" si="9"/>
        <v>0</v>
      </c>
      <c r="J203" s="71">
        <f t="shared" si="10"/>
        <v>5619</v>
      </c>
      <c r="K203" s="71">
        <f t="shared" si="11"/>
        <v>5619</v>
      </c>
      <c r="L203" s="65"/>
    </row>
    <row r="204" spans="2:12" ht="31.2" x14ac:dyDescent="0.3">
      <c r="B204" s="68" t="s">
        <v>326</v>
      </c>
      <c r="C204" s="75" t="s">
        <v>493</v>
      </c>
      <c r="D204" s="64" t="s">
        <v>21</v>
      </c>
      <c r="E204" s="70">
        <f>0.48*E202</f>
        <v>6.1440000000000001</v>
      </c>
      <c r="F204" s="56">
        <f>1973*0.15</f>
        <v>295.95</v>
      </c>
      <c r="G204" s="56">
        <f>1500*0.15</f>
        <v>225</v>
      </c>
      <c r="H204" s="71">
        <f t="shared" ref="H204:H267" si="12">F204+G204</f>
        <v>520.95000000000005</v>
      </c>
      <c r="I204" s="71">
        <f t="shared" ref="I204:I267" si="13">ROUND(F204*E204,2)</f>
        <v>1818.32</v>
      </c>
      <c r="J204" s="71">
        <f t="shared" ref="J204:J267" si="14">ROUND(G204*E204,2)</f>
        <v>1382.4</v>
      </c>
      <c r="K204" s="71">
        <f t="shared" ref="K204:K267" si="15">I204+J204</f>
        <v>3200.7200000000003</v>
      </c>
      <c r="L204" s="65"/>
    </row>
    <row r="205" spans="2:12" ht="31.2" x14ac:dyDescent="0.3">
      <c r="B205" s="68" t="s">
        <v>327</v>
      </c>
      <c r="C205" s="75" t="s">
        <v>19</v>
      </c>
      <c r="D205" s="64" t="s">
        <v>22</v>
      </c>
      <c r="E205" s="70">
        <f>0.34/10*E202</f>
        <v>0.43520000000000003</v>
      </c>
      <c r="F205" s="57"/>
      <c r="G205" s="56">
        <v>5860</v>
      </c>
      <c r="H205" s="71">
        <f t="shared" si="12"/>
        <v>5860</v>
      </c>
      <c r="I205" s="71">
        <f t="shared" si="13"/>
        <v>0</v>
      </c>
      <c r="J205" s="71">
        <f t="shared" si="14"/>
        <v>2550.27</v>
      </c>
      <c r="K205" s="71">
        <f t="shared" si="15"/>
        <v>2550.27</v>
      </c>
      <c r="L205" s="65"/>
    </row>
    <row r="206" spans="2:12" x14ac:dyDescent="0.3">
      <c r="B206" s="68" t="s">
        <v>328</v>
      </c>
      <c r="C206" s="77" t="s">
        <v>150</v>
      </c>
      <c r="D206" s="64" t="s">
        <v>22</v>
      </c>
      <c r="E206" s="70">
        <f>E205*1.02</f>
        <v>0.44390400000000002</v>
      </c>
      <c r="F206" s="57">
        <v>6700</v>
      </c>
      <c r="G206" s="76"/>
      <c r="H206" s="71">
        <f t="shared" si="12"/>
        <v>6700</v>
      </c>
      <c r="I206" s="71">
        <f t="shared" si="13"/>
        <v>2974.16</v>
      </c>
      <c r="J206" s="71">
        <f t="shared" si="14"/>
        <v>0</v>
      </c>
      <c r="K206" s="71">
        <f t="shared" si="15"/>
        <v>2974.16</v>
      </c>
      <c r="L206" s="65"/>
    </row>
    <row r="207" spans="2:12" x14ac:dyDescent="0.3">
      <c r="B207" s="68" t="s">
        <v>329</v>
      </c>
      <c r="C207" s="75" t="s">
        <v>24</v>
      </c>
      <c r="D207" s="64" t="s">
        <v>22</v>
      </c>
      <c r="E207" s="70">
        <f>E202*0.48*0.1</f>
        <v>0.61440000000000006</v>
      </c>
      <c r="F207" s="57"/>
      <c r="G207" s="56">
        <v>5860</v>
      </c>
      <c r="H207" s="71">
        <f t="shared" si="12"/>
        <v>5860</v>
      </c>
      <c r="I207" s="71">
        <f t="shared" si="13"/>
        <v>0</v>
      </c>
      <c r="J207" s="71">
        <f t="shared" si="14"/>
        <v>3600.38</v>
      </c>
      <c r="K207" s="71">
        <f t="shared" si="15"/>
        <v>3600.38</v>
      </c>
      <c r="L207" s="65"/>
    </row>
    <row r="208" spans="2:12" x14ac:dyDescent="0.3">
      <c r="B208" s="68" t="s">
        <v>330</v>
      </c>
      <c r="C208" s="77" t="s">
        <v>25</v>
      </c>
      <c r="D208" s="64" t="s">
        <v>22</v>
      </c>
      <c r="E208" s="70">
        <f>E207*1.02</f>
        <v>0.62668800000000002</v>
      </c>
      <c r="F208" s="57">
        <v>7100</v>
      </c>
      <c r="G208" s="76"/>
      <c r="H208" s="71">
        <f t="shared" si="12"/>
        <v>7100</v>
      </c>
      <c r="I208" s="71">
        <f t="shared" si="13"/>
        <v>4449.4799999999996</v>
      </c>
      <c r="J208" s="71">
        <f t="shared" si="14"/>
        <v>0</v>
      </c>
      <c r="K208" s="71">
        <f t="shared" si="15"/>
        <v>4449.4799999999996</v>
      </c>
      <c r="L208" s="65"/>
    </row>
    <row r="209" spans="2:12" x14ac:dyDescent="0.3">
      <c r="B209" s="68" t="s">
        <v>331</v>
      </c>
      <c r="C209" s="75" t="s">
        <v>151</v>
      </c>
      <c r="D209" s="64" t="s">
        <v>23</v>
      </c>
      <c r="E209" s="70">
        <f>E202</f>
        <v>12.8</v>
      </c>
      <c r="F209" s="57"/>
      <c r="G209" s="56">
        <v>2928</v>
      </c>
      <c r="H209" s="71">
        <f t="shared" si="12"/>
        <v>2928</v>
      </c>
      <c r="I209" s="71">
        <f t="shared" si="13"/>
        <v>0</v>
      </c>
      <c r="J209" s="71">
        <f t="shared" si="14"/>
        <v>37478.400000000001</v>
      </c>
      <c r="K209" s="71">
        <f t="shared" si="15"/>
        <v>37478.400000000001</v>
      </c>
      <c r="L209" s="65"/>
    </row>
    <row r="210" spans="2:12" ht="31.2" x14ac:dyDescent="0.3">
      <c r="B210" s="68" t="s">
        <v>158</v>
      </c>
      <c r="C210" s="79" t="s">
        <v>489</v>
      </c>
      <c r="D210" s="64" t="s">
        <v>23</v>
      </c>
      <c r="E210" s="70">
        <f>E209*1.1</f>
        <v>14.080000000000002</v>
      </c>
      <c r="F210" s="57">
        <v>2195</v>
      </c>
      <c r="G210" s="56"/>
      <c r="H210" s="71">
        <f t="shared" si="12"/>
        <v>2195</v>
      </c>
      <c r="I210" s="71">
        <f t="shared" si="13"/>
        <v>30905.599999999999</v>
      </c>
      <c r="J210" s="71">
        <f t="shared" si="14"/>
        <v>0</v>
      </c>
      <c r="K210" s="71">
        <f t="shared" si="15"/>
        <v>30905.599999999999</v>
      </c>
      <c r="L210" s="65"/>
    </row>
    <row r="211" spans="2:12" ht="31.2" x14ac:dyDescent="0.3">
      <c r="B211" s="68" t="s">
        <v>332</v>
      </c>
      <c r="C211" s="75" t="s">
        <v>517</v>
      </c>
      <c r="D211" s="64" t="s">
        <v>22</v>
      </c>
      <c r="E211" s="70">
        <v>1.47</v>
      </c>
      <c r="F211" s="57"/>
      <c r="G211" s="56">
        <v>439</v>
      </c>
      <c r="H211" s="71">
        <f t="shared" si="12"/>
        <v>439</v>
      </c>
      <c r="I211" s="71">
        <f t="shared" si="13"/>
        <v>0</v>
      </c>
      <c r="J211" s="71">
        <f t="shared" si="14"/>
        <v>645.33000000000004</v>
      </c>
      <c r="K211" s="71">
        <f t="shared" si="15"/>
        <v>645.33000000000004</v>
      </c>
      <c r="L211" s="65"/>
    </row>
    <row r="212" spans="2:12" ht="31.2" x14ac:dyDescent="0.3">
      <c r="B212" s="96" t="s">
        <v>333</v>
      </c>
      <c r="C212" s="69" t="s">
        <v>515</v>
      </c>
      <c r="D212" s="99" t="s">
        <v>23</v>
      </c>
      <c r="E212" s="97">
        <v>2.7</v>
      </c>
      <c r="F212" s="98"/>
      <c r="G212" s="95"/>
      <c r="H212" s="98"/>
      <c r="I212" s="98"/>
      <c r="J212" s="98"/>
      <c r="K212" s="98"/>
      <c r="L212" s="65"/>
    </row>
    <row r="213" spans="2:12" x14ac:dyDescent="0.3">
      <c r="B213" s="68" t="s">
        <v>334</v>
      </c>
      <c r="C213" s="81" t="s">
        <v>497</v>
      </c>
      <c r="D213" s="64" t="s">
        <v>22</v>
      </c>
      <c r="E213" s="70">
        <v>3.36</v>
      </c>
      <c r="F213" s="57"/>
      <c r="G213" s="56">
        <v>300</v>
      </c>
      <c r="H213" s="71">
        <f t="shared" si="12"/>
        <v>300</v>
      </c>
      <c r="I213" s="71">
        <f t="shared" si="13"/>
        <v>0</v>
      </c>
      <c r="J213" s="71">
        <f t="shared" si="14"/>
        <v>1008</v>
      </c>
      <c r="K213" s="71">
        <f t="shared" si="15"/>
        <v>1008</v>
      </c>
      <c r="L213" s="65"/>
    </row>
    <row r="214" spans="2:12" ht="31.2" x14ac:dyDescent="0.3">
      <c r="B214" s="68" t="s">
        <v>335</v>
      </c>
      <c r="C214" s="75" t="s">
        <v>493</v>
      </c>
      <c r="D214" s="64" t="s">
        <v>21</v>
      </c>
      <c r="E214" s="70">
        <f>0.48*E212</f>
        <v>1.296</v>
      </c>
      <c r="F214" s="56">
        <f>1973*0.15</f>
        <v>295.95</v>
      </c>
      <c r="G214" s="56">
        <f>1500*0.15</f>
        <v>225</v>
      </c>
      <c r="H214" s="71">
        <f t="shared" si="12"/>
        <v>520.95000000000005</v>
      </c>
      <c r="I214" s="71">
        <f t="shared" si="13"/>
        <v>383.55</v>
      </c>
      <c r="J214" s="71">
        <f t="shared" si="14"/>
        <v>291.60000000000002</v>
      </c>
      <c r="K214" s="71">
        <f t="shared" si="15"/>
        <v>675.15000000000009</v>
      </c>
      <c r="L214" s="65"/>
    </row>
    <row r="215" spans="2:12" ht="31.2" x14ac:dyDescent="0.3">
      <c r="B215" s="68" t="s">
        <v>336</v>
      </c>
      <c r="C215" s="75" t="s">
        <v>19</v>
      </c>
      <c r="D215" s="64" t="s">
        <v>22</v>
      </c>
      <c r="E215" s="70">
        <f>0.34/10*E212</f>
        <v>9.1800000000000007E-2</v>
      </c>
      <c r="F215" s="57"/>
      <c r="G215" s="56">
        <v>5860</v>
      </c>
      <c r="H215" s="71">
        <f t="shared" si="12"/>
        <v>5860</v>
      </c>
      <c r="I215" s="71">
        <f t="shared" si="13"/>
        <v>0</v>
      </c>
      <c r="J215" s="71">
        <f t="shared" si="14"/>
        <v>537.95000000000005</v>
      </c>
      <c r="K215" s="71">
        <f t="shared" si="15"/>
        <v>537.95000000000005</v>
      </c>
      <c r="L215" s="65"/>
    </row>
    <row r="216" spans="2:12" x14ac:dyDescent="0.3">
      <c r="B216" s="68" t="s">
        <v>337</v>
      </c>
      <c r="C216" s="77" t="s">
        <v>150</v>
      </c>
      <c r="D216" s="64" t="s">
        <v>22</v>
      </c>
      <c r="E216" s="70">
        <f>E215*1.02</f>
        <v>9.3636000000000011E-2</v>
      </c>
      <c r="F216" s="57">
        <v>6700</v>
      </c>
      <c r="G216" s="76"/>
      <c r="H216" s="71">
        <f t="shared" si="12"/>
        <v>6700</v>
      </c>
      <c r="I216" s="71">
        <f t="shared" si="13"/>
        <v>627.36</v>
      </c>
      <c r="J216" s="71">
        <f t="shared" si="14"/>
        <v>0</v>
      </c>
      <c r="K216" s="71">
        <f t="shared" si="15"/>
        <v>627.36</v>
      </c>
      <c r="L216" s="65"/>
    </row>
    <row r="217" spans="2:12" x14ac:dyDescent="0.3">
      <c r="B217" s="68" t="s">
        <v>338</v>
      </c>
      <c r="C217" s="75" t="s">
        <v>24</v>
      </c>
      <c r="D217" s="64" t="s">
        <v>22</v>
      </c>
      <c r="E217" s="70">
        <f>E212*0.48*0.1</f>
        <v>0.12960000000000002</v>
      </c>
      <c r="F217" s="57"/>
      <c r="G217" s="56">
        <v>5860</v>
      </c>
      <c r="H217" s="71">
        <f t="shared" si="12"/>
        <v>5860</v>
      </c>
      <c r="I217" s="71">
        <f t="shared" si="13"/>
        <v>0</v>
      </c>
      <c r="J217" s="71">
        <f t="shared" si="14"/>
        <v>759.46</v>
      </c>
      <c r="K217" s="71">
        <f t="shared" si="15"/>
        <v>759.46</v>
      </c>
      <c r="L217" s="65"/>
    </row>
    <row r="218" spans="2:12" x14ac:dyDescent="0.3">
      <c r="B218" s="68" t="s">
        <v>339</v>
      </c>
      <c r="C218" s="77" t="s">
        <v>25</v>
      </c>
      <c r="D218" s="64" t="s">
        <v>22</v>
      </c>
      <c r="E218" s="70">
        <f>E217*1.02</f>
        <v>0.13219200000000003</v>
      </c>
      <c r="F218" s="57">
        <v>7100</v>
      </c>
      <c r="G218" s="76"/>
      <c r="H218" s="71">
        <f t="shared" si="12"/>
        <v>7100</v>
      </c>
      <c r="I218" s="71">
        <f t="shared" si="13"/>
        <v>938.56</v>
      </c>
      <c r="J218" s="71">
        <f t="shared" si="14"/>
        <v>0</v>
      </c>
      <c r="K218" s="71">
        <f t="shared" si="15"/>
        <v>938.56</v>
      </c>
      <c r="L218" s="65"/>
    </row>
    <row r="219" spans="2:12" x14ac:dyDescent="0.3">
      <c r="B219" s="68" t="s">
        <v>340</v>
      </c>
      <c r="C219" s="75" t="s">
        <v>151</v>
      </c>
      <c r="D219" s="64" t="s">
        <v>23</v>
      </c>
      <c r="E219" s="70">
        <f>E212</f>
        <v>2.7</v>
      </c>
      <c r="F219" s="57"/>
      <c r="G219" s="56">
        <v>2928</v>
      </c>
      <c r="H219" s="71">
        <f t="shared" si="12"/>
        <v>2928</v>
      </c>
      <c r="I219" s="71">
        <f t="shared" si="13"/>
        <v>0</v>
      </c>
      <c r="J219" s="71">
        <f t="shared" si="14"/>
        <v>7905.6</v>
      </c>
      <c r="K219" s="71">
        <f t="shared" si="15"/>
        <v>7905.6</v>
      </c>
      <c r="L219" s="65"/>
    </row>
    <row r="220" spans="2:12" ht="31.2" x14ac:dyDescent="0.3">
      <c r="B220" s="68" t="s">
        <v>341</v>
      </c>
      <c r="C220" s="79" t="s">
        <v>489</v>
      </c>
      <c r="D220" s="64" t="s">
        <v>23</v>
      </c>
      <c r="E220" s="70">
        <f>E219*1.1</f>
        <v>2.9700000000000006</v>
      </c>
      <c r="F220" s="57">
        <v>2195</v>
      </c>
      <c r="G220" s="56"/>
      <c r="H220" s="71">
        <f t="shared" si="12"/>
        <v>2195</v>
      </c>
      <c r="I220" s="71">
        <f t="shared" si="13"/>
        <v>6519.15</v>
      </c>
      <c r="J220" s="71">
        <f t="shared" si="14"/>
        <v>0</v>
      </c>
      <c r="K220" s="71">
        <f t="shared" si="15"/>
        <v>6519.15</v>
      </c>
      <c r="L220" s="65"/>
    </row>
    <row r="221" spans="2:12" ht="31.2" x14ac:dyDescent="0.3">
      <c r="B221" s="68" t="s">
        <v>342</v>
      </c>
      <c r="C221" s="75" t="s">
        <v>517</v>
      </c>
      <c r="D221" s="64" t="s">
        <v>22</v>
      </c>
      <c r="E221" s="70">
        <v>1.35</v>
      </c>
      <c r="F221" s="57"/>
      <c r="G221" s="56">
        <v>439</v>
      </c>
      <c r="H221" s="71">
        <f t="shared" si="12"/>
        <v>439</v>
      </c>
      <c r="I221" s="71">
        <f t="shared" si="13"/>
        <v>0</v>
      </c>
      <c r="J221" s="71">
        <f t="shared" si="14"/>
        <v>592.65</v>
      </c>
      <c r="K221" s="71">
        <f t="shared" si="15"/>
        <v>592.65</v>
      </c>
      <c r="L221" s="65"/>
    </row>
    <row r="222" spans="2:12" ht="31.2" x14ac:dyDescent="0.3">
      <c r="B222" s="96" t="s">
        <v>343</v>
      </c>
      <c r="C222" s="69" t="s">
        <v>516</v>
      </c>
      <c r="D222" s="99" t="s">
        <v>23</v>
      </c>
      <c r="E222" s="97">
        <v>25.4</v>
      </c>
      <c r="F222" s="98"/>
      <c r="G222" s="95"/>
      <c r="H222" s="98"/>
      <c r="I222" s="98"/>
      <c r="J222" s="98"/>
      <c r="K222" s="98"/>
      <c r="L222" s="65"/>
    </row>
    <row r="223" spans="2:12" x14ac:dyDescent="0.3">
      <c r="B223" s="68" t="s">
        <v>344</v>
      </c>
      <c r="C223" s="81" t="s">
        <v>497</v>
      </c>
      <c r="D223" s="64" t="s">
        <v>22</v>
      </c>
      <c r="E223" s="70">
        <v>30.61</v>
      </c>
      <c r="F223" s="57"/>
      <c r="G223" s="56">
        <v>300</v>
      </c>
      <c r="H223" s="71">
        <f t="shared" si="12"/>
        <v>300</v>
      </c>
      <c r="I223" s="71">
        <f t="shared" si="13"/>
        <v>0</v>
      </c>
      <c r="J223" s="71">
        <f t="shared" si="14"/>
        <v>9183</v>
      </c>
      <c r="K223" s="71">
        <f t="shared" si="15"/>
        <v>9183</v>
      </c>
      <c r="L223" s="65"/>
    </row>
    <row r="224" spans="2:12" ht="31.2" x14ac:dyDescent="0.3">
      <c r="B224" s="68" t="s">
        <v>345</v>
      </c>
      <c r="C224" s="75" t="s">
        <v>493</v>
      </c>
      <c r="D224" s="64" t="s">
        <v>21</v>
      </c>
      <c r="E224" s="70">
        <f>0.48*E222</f>
        <v>12.191999999999998</v>
      </c>
      <c r="F224" s="56">
        <f>1973*0.15</f>
        <v>295.95</v>
      </c>
      <c r="G224" s="56">
        <f>1500*0.15</f>
        <v>225</v>
      </c>
      <c r="H224" s="71">
        <f t="shared" si="12"/>
        <v>520.95000000000005</v>
      </c>
      <c r="I224" s="71">
        <f t="shared" si="13"/>
        <v>3608.22</v>
      </c>
      <c r="J224" s="71">
        <f t="shared" si="14"/>
        <v>2743.2</v>
      </c>
      <c r="K224" s="71">
        <f t="shared" si="15"/>
        <v>6351.42</v>
      </c>
      <c r="L224" s="65"/>
    </row>
    <row r="225" spans="2:12" ht="31.2" x14ac:dyDescent="0.3">
      <c r="B225" s="68" t="s">
        <v>346</v>
      </c>
      <c r="C225" s="75" t="s">
        <v>19</v>
      </c>
      <c r="D225" s="64" t="s">
        <v>22</v>
      </c>
      <c r="E225" s="70">
        <f>0.34/10*E222</f>
        <v>0.86360000000000003</v>
      </c>
      <c r="F225" s="57"/>
      <c r="G225" s="56">
        <v>5860</v>
      </c>
      <c r="H225" s="71">
        <f t="shared" si="12"/>
        <v>5860</v>
      </c>
      <c r="I225" s="71">
        <f t="shared" si="13"/>
        <v>0</v>
      </c>
      <c r="J225" s="71">
        <f t="shared" si="14"/>
        <v>5060.7</v>
      </c>
      <c r="K225" s="71">
        <f t="shared" si="15"/>
        <v>5060.7</v>
      </c>
      <c r="L225" s="65"/>
    </row>
    <row r="226" spans="2:12" x14ac:dyDescent="0.3">
      <c r="B226" s="68" t="s">
        <v>347</v>
      </c>
      <c r="C226" s="77" t="s">
        <v>150</v>
      </c>
      <c r="D226" s="64" t="s">
        <v>22</v>
      </c>
      <c r="E226" s="70">
        <f>E225*1.02</f>
        <v>0.8808720000000001</v>
      </c>
      <c r="F226" s="57">
        <v>6700</v>
      </c>
      <c r="G226" s="76"/>
      <c r="H226" s="71">
        <f t="shared" si="12"/>
        <v>6700</v>
      </c>
      <c r="I226" s="71">
        <f t="shared" si="13"/>
        <v>5901.84</v>
      </c>
      <c r="J226" s="71">
        <f t="shared" si="14"/>
        <v>0</v>
      </c>
      <c r="K226" s="71">
        <f t="shared" si="15"/>
        <v>5901.84</v>
      </c>
      <c r="L226" s="65"/>
    </row>
    <row r="227" spans="2:12" x14ac:dyDescent="0.3">
      <c r="B227" s="68" t="s">
        <v>348</v>
      </c>
      <c r="C227" s="75" t="s">
        <v>24</v>
      </c>
      <c r="D227" s="64" t="s">
        <v>22</v>
      </c>
      <c r="E227" s="70">
        <f>E222*0.48*0.1</f>
        <v>1.2191999999999998</v>
      </c>
      <c r="F227" s="57"/>
      <c r="G227" s="56">
        <v>5860</v>
      </c>
      <c r="H227" s="71">
        <f t="shared" si="12"/>
        <v>5860</v>
      </c>
      <c r="I227" s="71">
        <f t="shared" si="13"/>
        <v>0</v>
      </c>
      <c r="J227" s="71">
        <f t="shared" si="14"/>
        <v>7144.51</v>
      </c>
      <c r="K227" s="71">
        <f t="shared" si="15"/>
        <v>7144.51</v>
      </c>
      <c r="L227" s="65"/>
    </row>
    <row r="228" spans="2:12" x14ac:dyDescent="0.3">
      <c r="B228" s="68" t="s">
        <v>349</v>
      </c>
      <c r="C228" s="77" t="s">
        <v>25</v>
      </c>
      <c r="D228" s="64" t="s">
        <v>22</v>
      </c>
      <c r="E228" s="70">
        <f>E227*1.02</f>
        <v>1.2435839999999998</v>
      </c>
      <c r="F228" s="57">
        <v>7100</v>
      </c>
      <c r="G228" s="76"/>
      <c r="H228" s="71">
        <f t="shared" si="12"/>
        <v>7100</v>
      </c>
      <c r="I228" s="71">
        <f t="shared" si="13"/>
        <v>8829.4500000000007</v>
      </c>
      <c r="J228" s="71">
        <f t="shared" si="14"/>
        <v>0</v>
      </c>
      <c r="K228" s="71">
        <f t="shared" si="15"/>
        <v>8829.4500000000007</v>
      </c>
      <c r="L228" s="65"/>
    </row>
    <row r="229" spans="2:12" x14ac:dyDescent="0.3">
      <c r="B229" s="68" t="s">
        <v>350</v>
      </c>
      <c r="C229" s="75" t="s">
        <v>151</v>
      </c>
      <c r="D229" s="64" t="s">
        <v>23</v>
      </c>
      <c r="E229" s="70">
        <f>E222</f>
        <v>25.4</v>
      </c>
      <c r="F229" s="57"/>
      <c r="G229" s="56">
        <v>2928</v>
      </c>
      <c r="H229" s="71">
        <f t="shared" si="12"/>
        <v>2928</v>
      </c>
      <c r="I229" s="71">
        <f t="shared" si="13"/>
        <v>0</v>
      </c>
      <c r="J229" s="71">
        <f t="shared" si="14"/>
        <v>74371.199999999997</v>
      </c>
      <c r="K229" s="71">
        <f t="shared" si="15"/>
        <v>74371.199999999997</v>
      </c>
      <c r="L229" s="65"/>
    </row>
    <row r="230" spans="2:12" ht="31.2" x14ac:dyDescent="0.3">
      <c r="B230" s="68" t="s">
        <v>351</v>
      </c>
      <c r="C230" s="79" t="s">
        <v>489</v>
      </c>
      <c r="D230" s="64" t="s">
        <v>23</v>
      </c>
      <c r="E230" s="70">
        <f>E229*1.1</f>
        <v>27.94</v>
      </c>
      <c r="F230" s="57">
        <v>2195</v>
      </c>
      <c r="G230" s="56"/>
      <c r="H230" s="71">
        <f t="shared" si="12"/>
        <v>2195</v>
      </c>
      <c r="I230" s="71">
        <f t="shared" si="13"/>
        <v>61328.3</v>
      </c>
      <c r="J230" s="71">
        <f t="shared" si="14"/>
        <v>0</v>
      </c>
      <c r="K230" s="71">
        <f t="shared" si="15"/>
        <v>61328.3</v>
      </c>
      <c r="L230" s="65"/>
    </row>
    <row r="231" spans="2:12" ht="31.2" x14ac:dyDescent="0.3">
      <c r="B231" s="68" t="s">
        <v>352</v>
      </c>
      <c r="C231" s="75" t="s">
        <v>517</v>
      </c>
      <c r="D231" s="64" t="s">
        <v>22</v>
      </c>
      <c r="E231" s="70">
        <v>7.56</v>
      </c>
      <c r="F231" s="57"/>
      <c r="G231" s="56">
        <v>439</v>
      </c>
      <c r="H231" s="71">
        <f t="shared" si="12"/>
        <v>439</v>
      </c>
      <c r="I231" s="71">
        <f t="shared" si="13"/>
        <v>0</v>
      </c>
      <c r="J231" s="71">
        <f t="shared" si="14"/>
        <v>3318.84</v>
      </c>
      <c r="K231" s="71">
        <f t="shared" si="15"/>
        <v>3318.84</v>
      </c>
      <c r="L231" s="65"/>
    </row>
    <row r="232" spans="2:12" ht="31.2" x14ac:dyDescent="0.3">
      <c r="B232" s="96" t="s">
        <v>353</v>
      </c>
      <c r="C232" s="69" t="s">
        <v>518</v>
      </c>
      <c r="D232" s="99" t="s">
        <v>23</v>
      </c>
      <c r="E232" s="97">
        <v>6.1</v>
      </c>
      <c r="F232" s="98"/>
      <c r="G232" s="95"/>
      <c r="H232" s="98"/>
      <c r="I232" s="98"/>
      <c r="J232" s="98"/>
      <c r="K232" s="98"/>
      <c r="L232" s="65"/>
    </row>
    <row r="233" spans="2:12" x14ac:dyDescent="0.3">
      <c r="B233" s="68" t="s">
        <v>354</v>
      </c>
      <c r="C233" s="81" t="s">
        <v>497</v>
      </c>
      <c r="D233" s="64" t="s">
        <v>22</v>
      </c>
      <c r="E233" s="70">
        <v>1.9</v>
      </c>
      <c r="F233" s="57"/>
      <c r="G233" s="56">
        <v>300</v>
      </c>
      <c r="H233" s="71">
        <f t="shared" si="12"/>
        <v>300</v>
      </c>
      <c r="I233" s="71">
        <f t="shared" si="13"/>
        <v>0</v>
      </c>
      <c r="J233" s="71">
        <f t="shared" si="14"/>
        <v>570</v>
      </c>
      <c r="K233" s="71">
        <f t="shared" si="15"/>
        <v>570</v>
      </c>
      <c r="L233" s="65"/>
    </row>
    <row r="234" spans="2:12" ht="31.2" x14ac:dyDescent="0.3">
      <c r="B234" s="68" t="s">
        <v>355</v>
      </c>
      <c r="C234" s="75" t="s">
        <v>493</v>
      </c>
      <c r="D234" s="64" t="s">
        <v>21</v>
      </c>
      <c r="E234" s="70">
        <f>0.48*E232</f>
        <v>2.9279999999999999</v>
      </c>
      <c r="F234" s="56">
        <f>1973*0.15</f>
        <v>295.95</v>
      </c>
      <c r="G234" s="56">
        <f>1500*0.15</f>
        <v>225</v>
      </c>
      <c r="H234" s="71">
        <f t="shared" si="12"/>
        <v>520.95000000000005</v>
      </c>
      <c r="I234" s="71">
        <f t="shared" si="13"/>
        <v>866.54</v>
      </c>
      <c r="J234" s="71">
        <f t="shared" si="14"/>
        <v>658.8</v>
      </c>
      <c r="K234" s="71">
        <f t="shared" si="15"/>
        <v>1525.34</v>
      </c>
      <c r="L234" s="65"/>
    </row>
    <row r="235" spans="2:12" ht="31.2" x14ac:dyDescent="0.3">
      <c r="B235" s="68" t="s">
        <v>356</v>
      </c>
      <c r="C235" s="75" t="s">
        <v>19</v>
      </c>
      <c r="D235" s="64" t="s">
        <v>22</v>
      </c>
      <c r="E235" s="70">
        <f>0.34/10*E232</f>
        <v>0.2074</v>
      </c>
      <c r="F235" s="57"/>
      <c r="G235" s="56">
        <v>5860</v>
      </c>
      <c r="H235" s="71">
        <f t="shared" si="12"/>
        <v>5860</v>
      </c>
      <c r="I235" s="71">
        <f t="shared" si="13"/>
        <v>0</v>
      </c>
      <c r="J235" s="71">
        <f t="shared" si="14"/>
        <v>1215.3599999999999</v>
      </c>
      <c r="K235" s="71">
        <f t="shared" si="15"/>
        <v>1215.3599999999999</v>
      </c>
      <c r="L235" s="65"/>
    </row>
    <row r="236" spans="2:12" x14ac:dyDescent="0.3">
      <c r="B236" s="68" t="s">
        <v>357</v>
      </c>
      <c r="C236" s="77" t="s">
        <v>150</v>
      </c>
      <c r="D236" s="64" t="s">
        <v>22</v>
      </c>
      <c r="E236" s="70">
        <f>E235*1.02</f>
        <v>0.21154800000000001</v>
      </c>
      <c r="F236" s="57">
        <v>6700</v>
      </c>
      <c r="G236" s="76"/>
      <c r="H236" s="71">
        <f t="shared" si="12"/>
        <v>6700</v>
      </c>
      <c r="I236" s="71">
        <f t="shared" si="13"/>
        <v>1417.37</v>
      </c>
      <c r="J236" s="71">
        <f t="shared" si="14"/>
        <v>0</v>
      </c>
      <c r="K236" s="71">
        <f t="shared" si="15"/>
        <v>1417.37</v>
      </c>
      <c r="L236" s="65"/>
    </row>
    <row r="237" spans="2:12" x14ac:dyDescent="0.3">
      <c r="B237" s="68" t="s">
        <v>358</v>
      </c>
      <c r="C237" s="75" t="s">
        <v>24</v>
      </c>
      <c r="D237" s="64" t="s">
        <v>22</v>
      </c>
      <c r="E237" s="70">
        <f>E232*0.48*0.1</f>
        <v>0.2928</v>
      </c>
      <c r="F237" s="57"/>
      <c r="G237" s="56">
        <v>5860</v>
      </c>
      <c r="H237" s="71">
        <f t="shared" si="12"/>
        <v>5860</v>
      </c>
      <c r="I237" s="71">
        <f t="shared" si="13"/>
        <v>0</v>
      </c>
      <c r="J237" s="71">
        <f t="shared" si="14"/>
        <v>1715.81</v>
      </c>
      <c r="K237" s="71">
        <f t="shared" si="15"/>
        <v>1715.81</v>
      </c>
      <c r="L237" s="65"/>
    </row>
    <row r="238" spans="2:12" x14ac:dyDescent="0.3">
      <c r="B238" s="68" t="s">
        <v>359</v>
      </c>
      <c r="C238" s="77" t="s">
        <v>25</v>
      </c>
      <c r="D238" s="64" t="s">
        <v>22</v>
      </c>
      <c r="E238" s="70">
        <f>E237*1.02</f>
        <v>0.29865600000000003</v>
      </c>
      <c r="F238" s="57">
        <v>7100</v>
      </c>
      <c r="G238" s="76"/>
      <c r="H238" s="71">
        <f t="shared" si="12"/>
        <v>7100</v>
      </c>
      <c r="I238" s="71">
        <f t="shared" si="13"/>
        <v>2120.46</v>
      </c>
      <c r="J238" s="71">
        <f t="shared" si="14"/>
        <v>0</v>
      </c>
      <c r="K238" s="71">
        <f t="shared" si="15"/>
        <v>2120.46</v>
      </c>
      <c r="L238" s="65"/>
    </row>
    <row r="239" spans="2:12" x14ac:dyDescent="0.3">
      <c r="B239" s="68" t="s">
        <v>360</v>
      </c>
      <c r="C239" s="75" t="s">
        <v>151</v>
      </c>
      <c r="D239" s="64" t="s">
        <v>23</v>
      </c>
      <c r="E239" s="70">
        <f>E232</f>
        <v>6.1</v>
      </c>
      <c r="F239" s="57"/>
      <c r="G239" s="56">
        <v>2928</v>
      </c>
      <c r="H239" s="71">
        <f t="shared" si="12"/>
        <v>2928</v>
      </c>
      <c r="I239" s="71">
        <f t="shared" si="13"/>
        <v>0</v>
      </c>
      <c r="J239" s="71">
        <f t="shared" si="14"/>
        <v>17860.8</v>
      </c>
      <c r="K239" s="71">
        <f t="shared" si="15"/>
        <v>17860.8</v>
      </c>
      <c r="L239" s="65"/>
    </row>
    <row r="240" spans="2:12" ht="31.2" x14ac:dyDescent="0.3">
      <c r="B240" s="68" t="s">
        <v>361</v>
      </c>
      <c r="C240" s="79" t="s">
        <v>489</v>
      </c>
      <c r="D240" s="64" t="s">
        <v>23</v>
      </c>
      <c r="E240" s="70">
        <f>E239*1.1</f>
        <v>6.71</v>
      </c>
      <c r="F240" s="57">
        <v>2195</v>
      </c>
      <c r="G240" s="56"/>
      <c r="H240" s="71">
        <f t="shared" si="12"/>
        <v>2195</v>
      </c>
      <c r="I240" s="71">
        <f t="shared" si="13"/>
        <v>14728.45</v>
      </c>
      <c r="J240" s="71">
        <f t="shared" si="14"/>
        <v>0</v>
      </c>
      <c r="K240" s="71">
        <f t="shared" si="15"/>
        <v>14728.45</v>
      </c>
      <c r="L240" s="65"/>
    </row>
    <row r="241" spans="2:12" ht="31.2" x14ac:dyDescent="0.3">
      <c r="B241" s="68" t="s">
        <v>362</v>
      </c>
      <c r="C241" s="75" t="s">
        <v>517</v>
      </c>
      <c r="D241" s="64" t="s">
        <v>22</v>
      </c>
      <c r="E241" s="70">
        <v>3.97</v>
      </c>
      <c r="F241" s="57"/>
      <c r="G241" s="56">
        <v>439</v>
      </c>
      <c r="H241" s="71">
        <f t="shared" si="12"/>
        <v>439</v>
      </c>
      <c r="I241" s="71">
        <f t="shared" si="13"/>
        <v>0</v>
      </c>
      <c r="J241" s="71">
        <f t="shared" si="14"/>
        <v>1742.83</v>
      </c>
      <c r="K241" s="71">
        <f t="shared" si="15"/>
        <v>1742.83</v>
      </c>
      <c r="L241" s="65"/>
    </row>
    <row r="242" spans="2:12" ht="31.2" x14ac:dyDescent="0.3">
      <c r="B242" s="96" t="s">
        <v>363</v>
      </c>
      <c r="C242" s="69" t="s">
        <v>521</v>
      </c>
      <c r="D242" s="99" t="s">
        <v>23</v>
      </c>
      <c r="E242" s="97">
        <v>49.4</v>
      </c>
      <c r="F242" s="98"/>
      <c r="G242" s="95"/>
      <c r="H242" s="98"/>
      <c r="I242" s="98"/>
      <c r="J242" s="98"/>
      <c r="K242" s="98"/>
      <c r="L242" s="65"/>
    </row>
    <row r="243" spans="2:12" x14ac:dyDescent="0.3">
      <c r="B243" s="68" t="s">
        <v>364</v>
      </c>
      <c r="C243" s="81" t="s">
        <v>492</v>
      </c>
      <c r="D243" s="64" t="s">
        <v>22</v>
      </c>
      <c r="E243" s="70">
        <v>19.09</v>
      </c>
      <c r="F243" s="71">
        <v>0</v>
      </c>
      <c r="G243" s="71">
        <v>300</v>
      </c>
      <c r="H243" s="71">
        <f t="shared" si="12"/>
        <v>300</v>
      </c>
      <c r="I243" s="71">
        <f t="shared" si="13"/>
        <v>0</v>
      </c>
      <c r="J243" s="71">
        <f t="shared" si="14"/>
        <v>5727</v>
      </c>
      <c r="K243" s="71">
        <f t="shared" si="15"/>
        <v>5727</v>
      </c>
      <c r="L243" s="65"/>
    </row>
    <row r="244" spans="2:12" x14ac:dyDescent="0.3">
      <c r="B244" s="68" t="s">
        <v>365</v>
      </c>
      <c r="C244" s="81" t="s">
        <v>497</v>
      </c>
      <c r="D244" s="64" t="s">
        <v>22</v>
      </c>
      <c r="E244" s="70">
        <v>5.09</v>
      </c>
      <c r="F244" s="57"/>
      <c r="G244" s="56">
        <v>300</v>
      </c>
      <c r="H244" s="71">
        <f t="shared" si="12"/>
        <v>300</v>
      </c>
      <c r="I244" s="71">
        <f t="shared" si="13"/>
        <v>0</v>
      </c>
      <c r="J244" s="71">
        <f t="shared" si="14"/>
        <v>1527</v>
      </c>
      <c r="K244" s="71">
        <f t="shared" si="15"/>
        <v>1527</v>
      </c>
      <c r="L244" s="65"/>
    </row>
    <row r="245" spans="2:12" ht="31.2" x14ac:dyDescent="0.3">
      <c r="B245" s="68" t="s">
        <v>366</v>
      </c>
      <c r="C245" s="75" t="s">
        <v>493</v>
      </c>
      <c r="D245" s="64" t="s">
        <v>21</v>
      </c>
      <c r="E245" s="70">
        <f>0.48*E242</f>
        <v>23.712</v>
      </c>
      <c r="F245" s="56">
        <f>1973*0.15</f>
        <v>295.95</v>
      </c>
      <c r="G245" s="56">
        <f>1500*0.15</f>
        <v>225</v>
      </c>
      <c r="H245" s="71">
        <f t="shared" si="12"/>
        <v>520.95000000000005</v>
      </c>
      <c r="I245" s="71">
        <f t="shared" si="13"/>
        <v>7017.57</v>
      </c>
      <c r="J245" s="71">
        <f t="shared" si="14"/>
        <v>5335.2</v>
      </c>
      <c r="K245" s="71">
        <f t="shared" si="15"/>
        <v>12352.77</v>
      </c>
      <c r="L245" s="65"/>
    </row>
    <row r="246" spans="2:12" ht="31.2" x14ac:dyDescent="0.3">
      <c r="B246" s="68" t="s">
        <v>367</v>
      </c>
      <c r="C246" s="75" t="s">
        <v>19</v>
      </c>
      <c r="D246" s="64" t="s">
        <v>22</v>
      </c>
      <c r="E246" s="70">
        <f>0.34/10*E242</f>
        <v>1.6796</v>
      </c>
      <c r="F246" s="57"/>
      <c r="G246" s="56">
        <v>5860</v>
      </c>
      <c r="H246" s="71">
        <f t="shared" si="12"/>
        <v>5860</v>
      </c>
      <c r="I246" s="71">
        <f t="shared" si="13"/>
        <v>0</v>
      </c>
      <c r="J246" s="71">
        <f t="shared" si="14"/>
        <v>9842.4599999999991</v>
      </c>
      <c r="K246" s="71">
        <f t="shared" si="15"/>
        <v>9842.4599999999991</v>
      </c>
      <c r="L246" s="65"/>
    </row>
    <row r="247" spans="2:12" x14ac:dyDescent="0.3">
      <c r="B247" s="68" t="s">
        <v>368</v>
      </c>
      <c r="C247" s="77" t="s">
        <v>150</v>
      </c>
      <c r="D247" s="64" t="s">
        <v>22</v>
      </c>
      <c r="E247" s="70">
        <f>E246*1.02</f>
        <v>1.713192</v>
      </c>
      <c r="F247" s="57">
        <v>6700</v>
      </c>
      <c r="G247" s="76"/>
      <c r="H247" s="71">
        <f t="shared" si="12"/>
        <v>6700</v>
      </c>
      <c r="I247" s="71">
        <f t="shared" si="13"/>
        <v>11478.39</v>
      </c>
      <c r="J247" s="71">
        <f t="shared" si="14"/>
        <v>0</v>
      </c>
      <c r="K247" s="71">
        <f t="shared" si="15"/>
        <v>11478.39</v>
      </c>
      <c r="L247" s="65"/>
    </row>
    <row r="248" spans="2:12" x14ac:dyDescent="0.3">
      <c r="B248" s="68" t="s">
        <v>369</v>
      </c>
      <c r="C248" s="75" t="s">
        <v>24</v>
      </c>
      <c r="D248" s="64" t="s">
        <v>22</v>
      </c>
      <c r="E248" s="70">
        <f>E242*0.48*0.1</f>
        <v>2.3712</v>
      </c>
      <c r="F248" s="57"/>
      <c r="G248" s="56">
        <v>5860</v>
      </c>
      <c r="H248" s="71">
        <f t="shared" si="12"/>
        <v>5860</v>
      </c>
      <c r="I248" s="71">
        <f t="shared" si="13"/>
        <v>0</v>
      </c>
      <c r="J248" s="71">
        <f t="shared" si="14"/>
        <v>13895.23</v>
      </c>
      <c r="K248" s="71">
        <f t="shared" si="15"/>
        <v>13895.23</v>
      </c>
      <c r="L248" s="65"/>
    </row>
    <row r="249" spans="2:12" x14ac:dyDescent="0.3">
      <c r="B249" s="68" t="s">
        <v>370</v>
      </c>
      <c r="C249" s="77" t="s">
        <v>25</v>
      </c>
      <c r="D249" s="64" t="s">
        <v>22</v>
      </c>
      <c r="E249" s="70">
        <f>E248*1.02</f>
        <v>2.4186239999999999</v>
      </c>
      <c r="F249" s="57">
        <v>7100</v>
      </c>
      <c r="G249" s="76"/>
      <c r="H249" s="71">
        <f t="shared" si="12"/>
        <v>7100</v>
      </c>
      <c r="I249" s="71">
        <f t="shared" si="13"/>
        <v>17172.23</v>
      </c>
      <c r="J249" s="71">
        <f t="shared" si="14"/>
        <v>0</v>
      </c>
      <c r="K249" s="71">
        <f t="shared" si="15"/>
        <v>17172.23</v>
      </c>
      <c r="L249" s="65"/>
    </row>
    <row r="250" spans="2:12" x14ac:dyDescent="0.3">
      <c r="B250" s="68" t="s">
        <v>371</v>
      </c>
      <c r="C250" s="75" t="s">
        <v>151</v>
      </c>
      <c r="D250" s="64" t="s">
        <v>23</v>
      </c>
      <c r="E250" s="70">
        <f>E242</f>
        <v>49.4</v>
      </c>
      <c r="F250" s="57"/>
      <c r="G250" s="56">
        <v>2928</v>
      </c>
      <c r="H250" s="71">
        <f t="shared" si="12"/>
        <v>2928</v>
      </c>
      <c r="I250" s="71">
        <f t="shared" si="13"/>
        <v>0</v>
      </c>
      <c r="J250" s="71">
        <f t="shared" si="14"/>
        <v>144643.20000000001</v>
      </c>
      <c r="K250" s="71">
        <f t="shared" si="15"/>
        <v>144643.20000000001</v>
      </c>
      <c r="L250" s="65"/>
    </row>
    <row r="251" spans="2:12" ht="31.2" x14ac:dyDescent="0.3">
      <c r="B251" s="68" t="s">
        <v>372</v>
      </c>
      <c r="C251" s="79" t="s">
        <v>489</v>
      </c>
      <c r="D251" s="64" t="s">
        <v>23</v>
      </c>
      <c r="E251" s="70">
        <f>E250*1.1</f>
        <v>54.34</v>
      </c>
      <c r="F251" s="57">
        <v>2195</v>
      </c>
      <c r="G251" s="56"/>
      <c r="H251" s="71">
        <f t="shared" si="12"/>
        <v>2195</v>
      </c>
      <c r="I251" s="71">
        <f t="shared" si="13"/>
        <v>119276.3</v>
      </c>
      <c r="J251" s="71">
        <f t="shared" si="14"/>
        <v>0</v>
      </c>
      <c r="K251" s="71">
        <f t="shared" si="15"/>
        <v>119276.3</v>
      </c>
      <c r="L251" s="65"/>
    </row>
    <row r="252" spans="2:12" ht="31.2" x14ac:dyDescent="0.3">
      <c r="B252" s="68" t="s">
        <v>373</v>
      </c>
      <c r="C252" s="75" t="s">
        <v>517</v>
      </c>
      <c r="D252" s="64" t="s">
        <v>22</v>
      </c>
      <c r="E252" s="70">
        <v>27.4</v>
      </c>
      <c r="F252" s="57"/>
      <c r="G252" s="56">
        <v>439</v>
      </c>
      <c r="H252" s="71">
        <f t="shared" si="12"/>
        <v>439</v>
      </c>
      <c r="I252" s="71">
        <f t="shared" si="13"/>
        <v>0</v>
      </c>
      <c r="J252" s="71">
        <f t="shared" si="14"/>
        <v>12028.6</v>
      </c>
      <c r="K252" s="71">
        <f t="shared" si="15"/>
        <v>12028.6</v>
      </c>
      <c r="L252" s="65"/>
    </row>
    <row r="253" spans="2:12" ht="31.2" x14ac:dyDescent="0.3">
      <c r="B253" s="96" t="s">
        <v>374</v>
      </c>
      <c r="C253" s="69" t="s">
        <v>520</v>
      </c>
      <c r="D253" s="99" t="s">
        <v>23</v>
      </c>
      <c r="E253" s="97">
        <v>2.7</v>
      </c>
      <c r="F253" s="98"/>
      <c r="G253" s="95"/>
      <c r="H253" s="98"/>
      <c r="I253" s="98"/>
      <c r="J253" s="98"/>
      <c r="K253" s="98"/>
      <c r="L253" s="65"/>
    </row>
    <row r="254" spans="2:12" x14ac:dyDescent="0.3">
      <c r="B254" s="68" t="s">
        <v>375</v>
      </c>
      <c r="C254" s="81" t="s">
        <v>497</v>
      </c>
      <c r="D254" s="64" t="s">
        <v>22</v>
      </c>
      <c r="E254" s="70">
        <v>1.27</v>
      </c>
      <c r="F254" s="57"/>
      <c r="G254" s="56">
        <v>300</v>
      </c>
      <c r="H254" s="71">
        <f t="shared" si="12"/>
        <v>300</v>
      </c>
      <c r="I254" s="71">
        <f t="shared" si="13"/>
        <v>0</v>
      </c>
      <c r="J254" s="71">
        <f t="shared" si="14"/>
        <v>381</v>
      </c>
      <c r="K254" s="71">
        <f t="shared" si="15"/>
        <v>381</v>
      </c>
      <c r="L254" s="65"/>
    </row>
    <row r="255" spans="2:12" ht="31.2" x14ac:dyDescent="0.3">
      <c r="B255" s="68" t="s">
        <v>376</v>
      </c>
      <c r="C255" s="75" t="s">
        <v>493</v>
      </c>
      <c r="D255" s="64" t="s">
        <v>21</v>
      </c>
      <c r="E255" s="70">
        <f>0.48*E253</f>
        <v>1.296</v>
      </c>
      <c r="F255" s="56">
        <f>1973*0.15</f>
        <v>295.95</v>
      </c>
      <c r="G255" s="56">
        <f>1500*0.15</f>
        <v>225</v>
      </c>
      <c r="H255" s="71">
        <f t="shared" si="12"/>
        <v>520.95000000000005</v>
      </c>
      <c r="I255" s="71">
        <f t="shared" si="13"/>
        <v>383.55</v>
      </c>
      <c r="J255" s="71">
        <f t="shared" si="14"/>
        <v>291.60000000000002</v>
      </c>
      <c r="K255" s="71">
        <f t="shared" si="15"/>
        <v>675.15000000000009</v>
      </c>
      <c r="L255" s="65"/>
    </row>
    <row r="256" spans="2:12" ht="31.2" x14ac:dyDescent="0.3">
      <c r="B256" s="68" t="s">
        <v>377</v>
      </c>
      <c r="C256" s="75" t="s">
        <v>19</v>
      </c>
      <c r="D256" s="64" t="s">
        <v>22</v>
      </c>
      <c r="E256" s="70">
        <f>0.34/10*E253</f>
        <v>9.1800000000000007E-2</v>
      </c>
      <c r="F256" s="57"/>
      <c r="G256" s="56">
        <v>5860</v>
      </c>
      <c r="H256" s="71">
        <f t="shared" si="12"/>
        <v>5860</v>
      </c>
      <c r="I256" s="71">
        <f t="shared" si="13"/>
        <v>0</v>
      </c>
      <c r="J256" s="71">
        <f t="shared" si="14"/>
        <v>537.95000000000005</v>
      </c>
      <c r="K256" s="71">
        <f t="shared" si="15"/>
        <v>537.95000000000005</v>
      </c>
      <c r="L256" s="65"/>
    </row>
    <row r="257" spans="2:12" x14ac:dyDescent="0.3">
      <c r="B257" s="68" t="s">
        <v>378</v>
      </c>
      <c r="C257" s="77" t="s">
        <v>150</v>
      </c>
      <c r="D257" s="64" t="s">
        <v>22</v>
      </c>
      <c r="E257" s="70">
        <f>E256*1.02</f>
        <v>9.3636000000000011E-2</v>
      </c>
      <c r="F257" s="57">
        <v>6700</v>
      </c>
      <c r="G257" s="76"/>
      <c r="H257" s="71">
        <f t="shared" si="12"/>
        <v>6700</v>
      </c>
      <c r="I257" s="71">
        <f t="shared" si="13"/>
        <v>627.36</v>
      </c>
      <c r="J257" s="71">
        <f t="shared" si="14"/>
        <v>0</v>
      </c>
      <c r="K257" s="71">
        <f t="shared" si="15"/>
        <v>627.36</v>
      </c>
      <c r="L257" s="65"/>
    </row>
    <row r="258" spans="2:12" x14ac:dyDescent="0.3">
      <c r="B258" s="68" t="s">
        <v>379</v>
      </c>
      <c r="C258" s="75" t="s">
        <v>24</v>
      </c>
      <c r="D258" s="64" t="s">
        <v>22</v>
      </c>
      <c r="E258" s="70">
        <f>E253*0.48*0.1</f>
        <v>0.12960000000000002</v>
      </c>
      <c r="F258" s="57"/>
      <c r="G258" s="56">
        <v>5860</v>
      </c>
      <c r="H258" s="71">
        <f t="shared" si="12"/>
        <v>5860</v>
      </c>
      <c r="I258" s="71">
        <f t="shared" si="13"/>
        <v>0</v>
      </c>
      <c r="J258" s="71">
        <f t="shared" si="14"/>
        <v>759.46</v>
      </c>
      <c r="K258" s="71">
        <f t="shared" si="15"/>
        <v>759.46</v>
      </c>
      <c r="L258" s="65"/>
    </row>
    <row r="259" spans="2:12" x14ac:dyDescent="0.3">
      <c r="B259" s="68" t="s">
        <v>483</v>
      </c>
      <c r="C259" s="77" t="s">
        <v>25</v>
      </c>
      <c r="D259" s="64" t="s">
        <v>22</v>
      </c>
      <c r="E259" s="70">
        <f>E258*1.02</f>
        <v>0.13219200000000003</v>
      </c>
      <c r="F259" s="57">
        <v>7100</v>
      </c>
      <c r="G259" s="76"/>
      <c r="H259" s="71">
        <f t="shared" si="12"/>
        <v>7100</v>
      </c>
      <c r="I259" s="71">
        <f t="shared" si="13"/>
        <v>938.56</v>
      </c>
      <c r="J259" s="71">
        <f t="shared" si="14"/>
        <v>0</v>
      </c>
      <c r="K259" s="71">
        <f t="shared" si="15"/>
        <v>938.56</v>
      </c>
      <c r="L259" s="65"/>
    </row>
    <row r="260" spans="2:12" x14ac:dyDescent="0.3">
      <c r="B260" s="68" t="s">
        <v>380</v>
      </c>
      <c r="C260" s="75" t="s">
        <v>151</v>
      </c>
      <c r="D260" s="64" t="s">
        <v>23</v>
      </c>
      <c r="E260" s="70">
        <f>E253</f>
        <v>2.7</v>
      </c>
      <c r="F260" s="57"/>
      <c r="G260" s="56">
        <v>2928</v>
      </c>
      <c r="H260" s="71">
        <f t="shared" si="12"/>
        <v>2928</v>
      </c>
      <c r="I260" s="71">
        <f t="shared" si="13"/>
        <v>0</v>
      </c>
      <c r="J260" s="71">
        <f t="shared" si="14"/>
        <v>7905.6</v>
      </c>
      <c r="K260" s="71">
        <f t="shared" si="15"/>
        <v>7905.6</v>
      </c>
      <c r="L260" s="65"/>
    </row>
    <row r="261" spans="2:12" ht="31.2" x14ac:dyDescent="0.3">
      <c r="B261" s="68" t="s">
        <v>381</v>
      </c>
      <c r="C261" s="79" t="s">
        <v>489</v>
      </c>
      <c r="D261" s="64" t="s">
        <v>23</v>
      </c>
      <c r="E261" s="70">
        <f>E260*1.1</f>
        <v>2.9700000000000006</v>
      </c>
      <c r="F261" s="57">
        <v>2195</v>
      </c>
      <c r="G261" s="56"/>
      <c r="H261" s="71">
        <f t="shared" si="12"/>
        <v>2195</v>
      </c>
      <c r="I261" s="71">
        <f t="shared" si="13"/>
        <v>6519.15</v>
      </c>
      <c r="J261" s="71">
        <f t="shared" si="14"/>
        <v>0</v>
      </c>
      <c r="K261" s="71">
        <f t="shared" si="15"/>
        <v>6519.15</v>
      </c>
      <c r="L261" s="65"/>
    </row>
    <row r="262" spans="2:12" ht="31.2" x14ac:dyDescent="0.3">
      <c r="B262" s="68" t="s">
        <v>382</v>
      </c>
      <c r="C262" s="75" t="s">
        <v>517</v>
      </c>
      <c r="D262" s="64" t="s">
        <v>22</v>
      </c>
      <c r="E262" s="70">
        <v>0.4</v>
      </c>
      <c r="F262" s="57"/>
      <c r="G262" s="56">
        <v>439</v>
      </c>
      <c r="H262" s="71">
        <f t="shared" si="12"/>
        <v>439</v>
      </c>
      <c r="I262" s="71">
        <f t="shared" si="13"/>
        <v>0</v>
      </c>
      <c r="J262" s="71">
        <f t="shared" si="14"/>
        <v>175.6</v>
      </c>
      <c r="K262" s="71">
        <f t="shared" si="15"/>
        <v>175.6</v>
      </c>
      <c r="L262" s="65"/>
    </row>
    <row r="263" spans="2:12" ht="31.2" x14ac:dyDescent="0.3">
      <c r="B263" s="96" t="s">
        <v>383</v>
      </c>
      <c r="C263" s="69" t="s">
        <v>519</v>
      </c>
      <c r="D263" s="99" t="s">
        <v>23</v>
      </c>
      <c r="E263" s="97">
        <v>13</v>
      </c>
      <c r="F263" s="98"/>
      <c r="G263" s="95"/>
      <c r="H263" s="98"/>
      <c r="I263" s="98"/>
      <c r="J263" s="98"/>
      <c r="K263" s="98"/>
      <c r="L263" s="65"/>
    </row>
    <row r="264" spans="2:12" x14ac:dyDescent="0.3">
      <c r="B264" s="68" t="s">
        <v>384</v>
      </c>
      <c r="C264" s="81" t="s">
        <v>497</v>
      </c>
      <c r="D264" s="64" t="s">
        <v>22</v>
      </c>
      <c r="E264" s="70">
        <v>23.21</v>
      </c>
      <c r="F264" s="57"/>
      <c r="G264" s="56">
        <v>300</v>
      </c>
      <c r="H264" s="71">
        <f t="shared" si="12"/>
        <v>300</v>
      </c>
      <c r="I264" s="71">
        <f t="shared" si="13"/>
        <v>0</v>
      </c>
      <c r="J264" s="71">
        <f t="shared" si="14"/>
        <v>6963</v>
      </c>
      <c r="K264" s="71">
        <f t="shared" si="15"/>
        <v>6963</v>
      </c>
      <c r="L264" s="65"/>
    </row>
    <row r="265" spans="2:12" ht="31.2" x14ac:dyDescent="0.3">
      <c r="B265" s="68" t="s">
        <v>385</v>
      </c>
      <c r="C265" s="75" t="s">
        <v>493</v>
      </c>
      <c r="D265" s="64" t="s">
        <v>21</v>
      </c>
      <c r="E265" s="70">
        <f>0.48*E263</f>
        <v>6.24</v>
      </c>
      <c r="F265" s="56">
        <f>1973*0.15</f>
        <v>295.95</v>
      </c>
      <c r="G265" s="56">
        <f>1500*0.15</f>
        <v>225</v>
      </c>
      <c r="H265" s="71">
        <f t="shared" si="12"/>
        <v>520.95000000000005</v>
      </c>
      <c r="I265" s="71">
        <f t="shared" si="13"/>
        <v>1846.73</v>
      </c>
      <c r="J265" s="71">
        <f t="shared" si="14"/>
        <v>1404</v>
      </c>
      <c r="K265" s="71">
        <f t="shared" si="15"/>
        <v>3250.73</v>
      </c>
      <c r="L265" s="65"/>
    </row>
    <row r="266" spans="2:12" ht="31.2" x14ac:dyDescent="0.3">
      <c r="B266" s="68" t="s">
        <v>386</v>
      </c>
      <c r="C266" s="75" t="s">
        <v>19</v>
      </c>
      <c r="D266" s="64" t="s">
        <v>22</v>
      </c>
      <c r="E266" s="70">
        <f>0.34/10*E263</f>
        <v>0.44200000000000006</v>
      </c>
      <c r="F266" s="57"/>
      <c r="G266" s="56">
        <v>5860</v>
      </c>
      <c r="H266" s="71">
        <f t="shared" si="12"/>
        <v>5860</v>
      </c>
      <c r="I266" s="71">
        <f t="shared" si="13"/>
        <v>0</v>
      </c>
      <c r="J266" s="71">
        <f t="shared" si="14"/>
        <v>2590.12</v>
      </c>
      <c r="K266" s="71">
        <f t="shared" si="15"/>
        <v>2590.12</v>
      </c>
      <c r="L266" s="65"/>
    </row>
    <row r="267" spans="2:12" x14ac:dyDescent="0.3">
      <c r="B267" s="68" t="s">
        <v>387</v>
      </c>
      <c r="C267" s="77" t="s">
        <v>150</v>
      </c>
      <c r="D267" s="64" t="s">
        <v>22</v>
      </c>
      <c r="E267" s="70">
        <f>E266*1.02</f>
        <v>0.45084000000000007</v>
      </c>
      <c r="F267" s="57">
        <v>6700</v>
      </c>
      <c r="G267" s="76"/>
      <c r="H267" s="71">
        <f t="shared" si="12"/>
        <v>6700</v>
      </c>
      <c r="I267" s="71">
        <f t="shared" si="13"/>
        <v>3020.63</v>
      </c>
      <c r="J267" s="71">
        <f t="shared" si="14"/>
        <v>0</v>
      </c>
      <c r="K267" s="71">
        <f t="shared" si="15"/>
        <v>3020.63</v>
      </c>
      <c r="L267" s="65"/>
    </row>
    <row r="268" spans="2:12" x14ac:dyDescent="0.3">
      <c r="B268" s="68" t="s">
        <v>388</v>
      </c>
      <c r="C268" s="75" t="s">
        <v>24</v>
      </c>
      <c r="D268" s="64" t="s">
        <v>22</v>
      </c>
      <c r="E268" s="70">
        <f>E263*0.48*0.1</f>
        <v>0.62400000000000011</v>
      </c>
      <c r="F268" s="57"/>
      <c r="G268" s="56">
        <v>5860</v>
      </c>
      <c r="H268" s="71">
        <f t="shared" ref="H268:H331" si="16">F268+G268</f>
        <v>5860</v>
      </c>
      <c r="I268" s="71">
        <f t="shared" ref="I268:I331" si="17">ROUND(F268*E268,2)</f>
        <v>0</v>
      </c>
      <c r="J268" s="71">
        <f t="shared" ref="J268:J331" si="18">ROUND(G268*E268,2)</f>
        <v>3656.64</v>
      </c>
      <c r="K268" s="71">
        <f t="shared" ref="K268:K331" si="19">I268+J268</f>
        <v>3656.64</v>
      </c>
      <c r="L268" s="65"/>
    </row>
    <row r="269" spans="2:12" x14ac:dyDescent="0.3">
      <c r="B269" s="68" t="s">
        <v>389</v>
      </c>
      <c r="C269" s="77" t="s">
        <v>25</v>
      </c>
      <c r="D269" s="64" t="s">
        <v>22</v>
      </c>
      <c r="E269" s="70">
        <f>E268*1.02</f>
        <v>0.63648000000000016</v>
      </c>
      <c r="F269" s="57">
        <v>7100</v>
      </c>
      <c r="G269" s="76"/>
      <c r="H269" s="71">
        <f t="shared" si="16"/>
        <v>7100</v>
      </c>
      <c r="I269" s="71">
        <f t="shared" si="17"/>
        <v>4519.01</v>
      </c>
      <c r="J269" s="71">
        <f t="shared" si="18"/>
        <v>0</v>
      </c>
      <c r="K269" s="71">
        <f t="shared" si="19"/>
        <v>4519.01</v>
      </c>
      <c r="L269" s="65"/>
    </row>
    <row r="270" spans="2:12" x14ac:dyDescent="0.3">
      <c r="B270" s="68" t="s">
        <v>390</v>
      </c>
      <c r="C270" s="75" t="s">
        <v>151</v>
      </c>
      <c r="D270" s="64" t="s">
        <v>23</v>
      </c>
      <c r="E270" s="70">
        <f>E263</f>
        <v>13</v>
      </c>
      <c r="F270" s="57"/>
      <c r="G270" s="56">
        <v>2928</v>
      </c>
      <c r="H270" s="71">
        <f t="shared" si="16"/>
        <v>2928</v>
      </c>
      <c r="I270" s="71">
        <f t="shared" si="17"/>
        <v>0</v>
      </c>
      <c r="J270" s="71">
        <f t="shared" si="18"/>
        <v>38064</v>
      </c>
      <c r="K270" s="71">
        <f t="shared" si="19"/>
        <v>38064</v>
      </c>
      <c r="L270" s="65"/>
    </row>
    <row r="271" spans="2:12" ht="31.2" x14ac:dyDescent="0.3">
      <c r="B271" s="68" t="s">
        <v>391</v>
      </c>
      <c r="C271" s="79" t="s">
        <v>489</v>
      </c>
      <c r="D271" s="64" t="s">
        <v>23</v>
      </c>
      <c r="E271" s="70">
        <f>E270*1.1</f>
        <v>14.3</v>
      </c>
      <c r="F271" s="57">
        <v>2195</v>
      </c>
      <c r="G271" s="56"/>
      <c r="H271" s="71">
        <f t="shared" si="16"/>
        <v>2195</v>
      </c>
      <c r="I271" s="71">
        <f t="shared" si="17"/>
        <v>31388.5</v>
      </c>
      <c r="J271" s="71">
        <f t="shared" si="18"/>
        <v>0</v>
      </c>
      <c r="K271" s="71">
        <f t="shared" si="19"/>
        <v>31388.5</v>
      </c>
      <c r="L271" s="65"/>
    </row>
    <row r="272" spans="2:12" ht="31.2" x14ac:dyDescent="0.3">
      <c r="B272" s="68" t="s">
        <v>392</v>
      </c>
      <c r="C272" s="75" t="s">
        <v>517</v>
      </c>
      <c r="D272" s="64" t="s">
        <v>22</v>
      </c>
      <c r="E272" s="70">
        <v>9.41</v>
      </c>
      <c r="F272" s="57"/>
      <c r="G272" s="56">
        <v>439</v>
      </c>
      <c r="H272" s="71">
        <f t="shared" si="16"/>
        <v>439</v>
      </c>
      <c r="I272" s="71">
        <f t="shared" si="17"/>
        <v>0</v>
      </c>
      <c r="J272" s="71">
        <f t="shared" si="18"/>
        <v>4130.99</v>
      </c>
      <c r="K272" s="71">
        <f t="shared" si="19"/>
        <v>4130.99</v>
      </c>
      <c r="L272" s="65"/>
    </row>
    <row r="273" spans="2:12" ht="31.2" x14ac:dyDescent="0.3">
      <c r="B273" s="96" t="s">
        <v>393</v>
      </c>
      <c r="C273" s="69" t="s">
        <v>522</v>
      </c>
      <c r="D273" s="99" t="s">
        <v>23</v>
      </c>
      <c r="E273" s="97">
        <v>22.8</v>
      </c>
      <c r="F273" s="98"/>
      <c r="G273" s="95"/>
      <c r="H273" s="98"/>
      <c r="I273" s="98"/>
      <c r="J273" s="98"/>
      <c r="K273" s="98"/>
      <c r="L273" s="65"/>
    </row>
    <row r="274" spans="2:12" x14ac:dyDescent="0.3">
      <c r="B274" s="68" t="s">
        <v>394</v>
      </c>
      <c r="C274" s="81" t="s">
        <v>497</v>
      </c>
      <c r="D274" s="64" t="s">
        <v>22</v>
      </c>
      <c r="E274" s="70">
        <v>22.41</v>
      </c>
      <c r="F274" s="57"/>
      <c r="G274" s="56">
        <v>300</v>
      </c>
      <c r="H274" s="71">
        <f t="shared" si="16"/>
        <v>300</v>
      </c>
      <c r="I274" s="71">
        <f t="shared" si="17"/>
        <v>0</v>
      </c>
      <c r="J274" s="71">
        <f t="shared" si="18"/>
        <v>6723</v>
      </c>
      <c r="K274" s="71">
        <f t="shared" si="19"/>
        <v>6723</v>
      </c>
      <c r="L274" s="65"/>
    </row>
    <row r="275" spans="2:12" ht="31.2" x14ac:dyDescent="0.3">
      <c r="B275" s="68" t="s">
        <v>395</v>
      </c>
      <c r="C275" s="75" t="s">
        <v>493</v>
      </c>
      <c r="D275" s="64" t="s">
        <v>21</v>
      </c>
      <c r="E275" s="70">
        <f>0.48*E273</f>
        <v>10.943999999999999</v>
      </c>
      <c r="F275" s="56">
        <f>1973*0.15</f>
        <v>295.95</v>
      </c>
      <c r="G275" s="56">
        <f>1500*0.15</f>
        <v>225</v>
      </c>
      <c r="H275" s="71">
        <f t="shared" si="16"/>
        <v>520.95000000000005</v>
      </c>
      <c r="I275" s="71">
        <f t="shared" si="17"/>
        <v>3238.88</v>
      </c>
      <c r="J275" s="71">
        <f t="shared" si="18"/>
        <v>2462.4</v>
      </c>
      <c r="K275" s="71">
        <f t="shared" si="19"/>
        <v>5701.2800000000007</v>
      </c>
      <c r="L275" s="65"/>
    </row>
    <row r="276" spans="2:12" ht="31.2" x14ac:dyDescent="0.3">
      <c r="B276" s="68" t="s">
        <v>396</v>
      </c>
      <c r="C276" s="75" t="s">
        <v>19</v>
      </c>
      <c r="D276" s="64" t="s">
        <v>22</v>
      </c>
      <c r="E276" s="70">
        <f>0.34/10*E273</f>
        <v>0.77520000000000011</v>
      </c>
      <c r="F276" s="57"/>
      <c r="G276" s="56">
        <v>5860</v>
      </c>
      <c r="H276" s="71">
        <f t="shared" si="16"/>
        <v>5860</v>
      </c>
      <c r="I276" s="71">
        <f t="shared" si="17"/>
        <v>0</v>
      </c>
      <c r="J276" s="71">
        <f t="shared" si="18"/>
        <v>4542.67</v>
      </c>
      <c r="K276" s="71">
        <f t="shared" si="19"/>
        <v>4542.67</v>
      </c>
      <c r="L276" s="65"/>
    </row>
    <row r="277" spans="2:12" x14ac:dyDescent="0.3">
      <c r="B277" s="68" t="s">
        <v>397</v>
      </c>
      <c r="C277" s="77" t="s">
        <v>150</v>
      </c>
      <c r="D277" s="64" t="s">
        <v>22</v>
      </c>
      <c r="E277" s="70">
        <f>E276*1.02</f>
        <v>0.79070400000000007</v>
      </c>
      <c r="F277" s="57">
        <v>6700</v>
      </c>
      <c r="G277" s="76"/>
      <c r="H277" s="71">
        <f t="shared" si="16"/>
        <v>6700</v>
      </c>
      <c r="I277" s="71">
        <f t="shared" si="17"/>
        <v>5297.72</v>
      </c>
      <c r="J277" s="71">
        <f t="shared" si="18"/>
        <v>0</v>
      </c>
      <c r="K277" s="71">
        <f t="shared" si="19"/>
        <v>5297.72</v>
      </c>
      <c r="L277" s="65"/>
    </row>
    <row r="278" spans="2:12" x14ac:dyDescent="0.3">
      <c r="B278" s="68" t="s">
        <v>398</v>
      </c>
      <c r="C278" s="75" t="s">
        <v>24</v>
      </c>
      <c r="D278" s="64" t="s">
        <v>22</v>
      </c>
      <c r="E278" s="70">
        <f>E273*0.48*0.1</f>
        <v>1.0944</v>
      </c>
      <c r="F278" s="57"/>
      <c r="G278" s="56">
        <v>5860</v>
      </c>
      <c r="H278" s="71">
        <f t="shared" si="16"/>
        <v>5860</v>
      </c>
      <c r="I278" s="71">
        <f t="shared" si="17"/>
        <v>0</v>
      </c>
      <c r="J278" s="71">
        <f t="shared" si="18"/>
        <v>6413.18</v>
      </c>
      <c r="K278" s="71">
        <f t="shared" si="19"/>
        <v>6413.18</v>
      </c>
      <c r="L278" s="65"/>
    </row>
    <row r="279" spans="2:12" x14ac:dyDescent="0.3">
      <c r="B279" s="68" t="s">
        <v>399</v>
      </c>
      <c r="C279" s="77" t="s">
        <v>25</v>
      </c>
      <c r="D279" s="64" t="s">
        <v>22</v>
      </c>
      <c r="E279" s="70">
        <f>E278*1.02</f>
        <v>1.1162880000000002</v>
      </c>
      <c r="F279" s="57">
        <v>7100</v>
      </c>
      <c r="G279" s="76"/>
      <c r="H279" s="71">
        <f t="shared" si="16"/>
        <v>7100</v>
      </c>
      <c r="I279" s="71">
        <f t="shared" si="17"/>
        <v>7925.64</v>
      </c>
      <c r="J279" s="71">
        <f t="shared" si="18"/>
        <v>0</v>
      </c>
      <c r="K279" s="71">
        <f t="shared" si="19"/>
        <v>7925.64</v>
      </c>
      <c r="L279" s="65"/>
    </row>
    <row r="280" spans="2:12" x14ac:dyDescent="0.3">
      <c r="B280" s="68" t="s">
        <v>400</v>
      </c>
      <c r="C280" s="75" t="s">
        <v>151</v>
      </c>
      <c r="D280" s="64" t="s">
        <v>23</v>
      </c>
      <c r="E280" s="70">
        <f>E273</f>
        <v>22.8</v>
      </c>
      <c r="F280" s="57"/>
      <c r="G280" s="56">
        <v>2928</v>
      </c>
      <c r="H280" s="71">
        <f t="shared" si="16"/>
        <v>2928</v>
      </c>
      <c r="I280" s="71">
        <f t="shared" si="17"/>
        <v>0</v>
      </c>
      <c r="J280" s="71">
        <f t="shared" si="18"/>
        <v>66758.399999999994</v>
      </c>
      <c r="K280" s="71">
        <f t="shared" si="19"/>
        <v>66758.399999999994</v>
      </c>
      <c r="L280" s="65"/>
    </row>
    <row r="281" spans="2:12" ht="31.2" x14ac:dyDescent="0.3">
      <c r="B281" s="68" t="s">
        <v>401</v>
      </c>
      <c r="C281" s="79" t="s">
        <v>489</v>
      </c>
      <c r="D281" s="64" t="s">
        <v>23</v>
      </c>
      <c r="E281" s="70">
        <f>E280*1.1</f>
        <v>25.080000000000002</v>
      </c>
      <c r="F281" s="57">
        <v>2195</v>
      </c>
      <c r="G281" s="56"/>
      <c r="H281" s="71">
        <f t="shared" si="16"/>
        <v>2195</v>
      </c>
      <c r="I281" s="71">
        <f t="shared" si="17"/>
        <v>55050.6</v>
      </c>
      <c r="J281" s="71">
        <f t="shared" si="18"/>
        <v>0</v>
      </c>
      <c r="K281" s="71">
        <f t="shared" si="19"/>
        <v>55050.6</v>
      </c>
      <c r="L281" s="65"/>
    </row>
    <row r="282" spans="2:12" ht="31.2" x14ac:dyDescent="0.3">
      <c r="B282" s="68" t="s">
        <v>402</v>
      </c>
      <c r="C282" s="75" t="s">
        <v>517</v>
      </c>
      <c r="D282" s="64" t="s">
        <v>22</v>
      </c>
      <c r="E282" s="70">
        <v>12.28</v>
      </c>
      <c r="F282" s="57"/>
      <c r="G282" s="56">
        <v>439</v>
      </c>
      <c r="H282" s="71">
        <f t="shared" si="16"/>
        <v>439</v>
      </c>
      <c r="I282" s="71">
        <f t="shared" si="17"/>
        <v>0</v>
      </c>
      <c r="J282" s="71">
        <f t="shared" si="18"/>
        <v>5390.92</v>
      </c>
      <c r="K282" s="71">
        <f t="shared" si="19"/>
        <v>5390.92</v>
      </c>
      <c r="L282" s="65"/>
    </row>
    <row r="283" spans="2:12" ht="31.2" x14ac:dyDescent="0.3">
      <c r="B283" s="96" t="s">
        <v>403</v>
      </c>
      <c r="C283" s="69" t="s">
        <v>523</v>
      </c>
      <c r="D283" s="99" t="s">
        <v>23</v>
      </c>
      <c r="E283" s="97">
        <v>4</v>
      </c>
      <c r="F283" s="98"/>
      <c r="G283" s="95"/>
      <c r="H283" s="98"/>
      <c r="I283" s="98"/>
      <c r="J283" s="98"/>
      <c r="K283" s="98"/>
      <c r="L283" s="65"/>
    </row>
    <row r="284" spans="2:12" x14ac:dyDescent="0.3">
      <c r="B284" s="68" t="s">
        <v>404</v>
      </c>
      <c r="C284" s="81" t="s">
        <v>497</v>
      </c>
      <c r="D284" s="64" t="s">
        <v>22</v>
      </c>
      <c r="E284" s="70">
        <v>5.36</v>
      </c>
      <c r="F284" s="57"/>
      <c r="G284" s="56">
        <v>300</v>
      </c>
      <c r="H284" s="71">
        <f t="shared" si="16"/>
        <v>300</v>
      </c>
      <c r="I284" s="71">
        <f t="shared" si="17"/>
        <v>0</v>
      </c>
      <c r="J284" s="71">
        <f t="shared" si="18"/>
        <v>1608</v>
      </c>
      <c r="K284" s="71">
        <f t="shared" si="19"/>
        <v>1608</v>
      </c>
      <c r="L284" s="65"/>
    </row>
    <row r="285" spans="2:12" ht="31.2" x14ac:dyDescent="0.3">
      <c r="B285" s="68" t="s">
        <v>405</v>
      </c>
      <c r="C285" s="75" t="s">
        <v>493</v>
      </c>
      <c r="D285" s="64" t="s">
        <v>21</v>
      </c>
      <c r="E285" s="70">
        <f>0.48*E283</f>
        <v>1.92</v>
      </c>
      <c r="F285" s="56">
        <f>1973*0.15</f>
        <v>295.95</v>
      </c>
      <c r="G285" s="56">
        <f>1500*0.15</f>
        <v>225</v>
      </c>
      <c r="H285" s="71">
        <f t="shared" si="16"/>
        <v>520.95000000000005</v>
      </c>
      <c r="I285" s="71">
        <f t="shared" si="17"/>
        <v>568.22</v>
      </c>
      <c r="J285" s="71">
        <f t="shared" si="18"/>
        <v>432</v>
      </c>
      <c r="K285" s="71">
        <f t="shared" si="19"/>
        <v>1000.22</v>
      </c>
      <c r="L285" s="65"/>
    </row>
    <row r="286" spans="2:12" ht="31.2" x14ac:dyDescent="0.3">
      <c r="B286" s="68" t="s">
        <v>406</v>
      </c>
      <c r="C286" s="75" t="s">
        <v>19</v>
      </c>
      <c r="D286" s="64" t="s">
        <v>22</v>
      </c>
      <c r="E286" s="70">
        <f>0.34/10*E283</f>
        <v>0.13600000000000001</v>
      </c>
      <c r="F286" s="57"/>
      <c r="G286" s="56">
        <v>5860</v>
      </c>
      <c r="H286" s="71">
        <f t="shared" si="16"/>
        <v>5860</v>
      </c>
      <c r="I286" s="71">
        <f t="shared" si="17"/>
        <v>0</v>
      </c>
      <c r="J286" s="71">
        <f t="shared" si="18"/>
        <v>796.96</v>
      </c>
      <c r="K286" s="71">
        <f t="shared" si="19"/>
        <v>796.96</v>
      </c>
      <c r="L286" s="65"/>
    </row>
    <row r="287" spans="2:12" x14ac:dyDescent="0.3">
      <c r="B287" s="68" t="s">
        <v>407</v>
      </c>
      <c r="C287" s="77" t="s">
        <v>150</v>
      </c>
      <c r="D287" s="64" t="s">
        <v>22</v>
      </c>
      <c r="E287" s="70">
        <f>E286*1.02</f>
        <v>0.13872000000000001</v>
      </c>
      <c r="F287" s="57">
        <v>6700</v>
      </c>
      <c r="G287" s="76"/>
      <c r="H287" s="71">
        <f t="shared" si="16"/>
        <v>6700</v>
      </c>
      <c r="I287" s="71">
        <f t="shared" si="17"/>
        <v>929.42</v>
      </c>
      <c r="J287" s="71">
        <f t="shared" si="18"/>
        <v>0</v>
      </c>
      <c r="K287" s="71">
        <f t="shared" si="19"/>
        <v>929.42</v>
      </c>
      <c r="L287" s="65"/>
    </row>
    <row r="288" spans="2:12" x14ac:dyDescent="0.3">
      <c r="B288" s="68" t="s">
        <v>408</v>
      </c>
      <c r="C288" s="75" t="s">
        <v>24</v>
      </c>
      <c r="D288" s="64" t="s">
        <v>22</v>
      </c>
      <c r="E288" s="70">
        <f>E283*0.48*0.1</f>
        <v>0.192</v>
      </c>
      <c r="F288" s="57"/>
      <c r="G288" s="56">
        <v>5860</v>
      </c>
      <c r="H288" s="71">
        <f t="shared" si="16"/>
        <v>5860</v>
      </c>
      <c r="I288" s="71">
        <f t="shared" si="17"/>
        <v>0</v>
      </c>
      <c r="J288" s="71">
        <f t="shared" si="18"/>
        <v>1125.1199999999999</v>
      </c>
      <c r="K288" s="71">
        <f t="shared" si="19"/>
        <v>1125.1199999999999</v>
      </c>
      <c r="L288" s="65"/>
    </row>
    <row r="289" spans="2:12" x14ac:dyDescent="0.3">
      <c r="B289" s="68" t="s">
        <v>409</v>
      </c>
      <c r="C289" s="77" t="s">
        <v>25</v>
      </c>
      <c r="D289" s="64" t="s">
        <v>22</v>
      </c>
      <c r="E289" s="70">
        <f>E288*1.02</f>
        <v>0.19584000000000001</v>
      </c>
      <c r="F289" s="57">
        <v>7100</v>
      </c>
      <c r="G289" s="76"/>
      <c r="H289" s="71">
        <f t="shared" si="16"/>
        <v>7100</v>
      </c>
      <c r="I289" s="71">
        <f t="shared" si="17"/>
        <v>1390.46</v>
      </c>
      <c r="J289" s="71">
        <f t="shared" si="18"/>
        <v>0</v>
      </c>
      <c r="K289" s="71">
        <f t="shared" si="19"/>
        <v>1390.46</v>
      </c>
      <c r="L289" s="65"/>
    </row>
    <row r="290" spans="2:12" x14ac:dyDescent="0.3">
      <c r="B290" s="68" t="s">
        <v>410</v>
      </c>
      <c r="C290" s="75" t="s">
        <v>151</v>
      </c>
      <c r="D290" s="64" t="s">
        <v>23</v>
      </c>
      <c r="E290" s="70">
        <f>E283</f>
        <v>4</v>
      </c>
      <c r="F290" s="57"/>
      <c r="G290" s="56">
        <v>2928</v>
      </c>
      <c r="H290" s="71">
        <f t="shared" si="16"/>
        <v>2928</v>
      </c>
      <c r="I290" s="71">
        <f t="shared" si="17"/>
        <v>0</v>
      </c>
      <c r="J290" s="71">
        <f t="shared" si="18"/>
        <v>11712</v>
      </c>
      <c r="K290" s="71">
        <f t="shared" si="19"/>
        <v>11712</v>
      </c>
      <c r="L290" s="65"/>
    </row>
    <row r="291" spans="2:12" ht="31.2" x14ac:dyDescent="0.3">
      <c r="B291" s="68" t="s">
        <v>411</v>
      </c>
      <c r="C291" s="79" t="s">
        <v>489</v>
      </c>
      <c r="D291" s="64" t="s">
        <v>23</v>
      </c>
      <c r="E291" s="70">
        <f>E290*1.1</f>
        <v>4.4000000000000004</v>
      </c>
      <c r="F291" s="57">
        <v>2195</v>
      </c>
      <c r="G291" s="56"/>
      <c r="H291" s="71">
        <f t="shared" si="16"/>
        <v>2195</v>
      </c>
      <c r="I291" s="71">
        <f t="shared" si="17"/>
        <v>9658</v>
      </c>
      <c r="J291" s="71">
        <f t="shared" si="18"/>
        <v>0</v>
      </c>
      <c r="K291" s="71">
        <f t="shared" si="19"/>
        <v>9658</v>
      </c>
      <c r="L291" s="65"/>
    </row>
    <row r="292" spans="2:12" ht="31.2" x14ac:dyDescent="0.3">
      <c r="B292" s="68" t="s">
        <v>412</v>
      </c>
      <c r="C292" s="75" t="s">
        <v>517</v>
      </c>
      <c r="D292" s="64" t="s">
        <v>22</v>
      </c>
      <c r="E292" s="70">
        <v>2.84</v>
      </c>
      <c r="F292" s="57"/>
      <c r="G292" s="56">
        <v>439</v>
      </c>
      <c r="H292" s="71">
        <f t="shared" si="16"/>
        <v>439</v>
      </c>
      <c r="I292" s="71">
        <f t="shared" si="17"/>
        <v>0</v>
      </c>
      <c r="J292" s="71">
        <f t="shared" si="18"/>
        <v>1246.76</v>
      </c>
      <c r="K292" s="71">
        <f t="shared" si="19"/>
        <v>1246.76</v>
      </c>
      <c r="L292" s="65"/>
    </row>
    <row r="293" spans="2:12" ht="31.2" x14ac:dyDescent="0.3">
      <c r="B293" s="96" t="s">
        <v>413</v>
      </c>
      <c r="C293" s="69" t="s">
        <v>524</v>
      </c>
      <c r="D293" s="99" t="s">
        <v>23</v>
      </c>
      <c r="E293" s="97">
        <v>10.3</v>
      </c>
      <c r="F293" s="98"/>
      <c r="G293" s="95"/>
      <c r="H293" s="98"/>
      <c r="I293" s="98"/>
      <c r="J293" s="98"/>
      <c r="K293" s="98"/>
      <c r="L293" s="65"/>
    </row>
    <row r="294" spans="2:12" x14ac:dyDescent="0.3">
      <c r="B294" s="68" t="s">
        <v>414</v>
      </c>
      <c r="C294" s="81" t="s">
        <v>497</v>
      </c>
      <c r="D294" s="64" t="s">
        <v>22</v>
      </c>
      <c r="E294" s="70">
        <v>9.67</v>
      </c>
      <c r="F294" s="57"/>
      <c r="G294" s="56">
        <v>300</v>
      </c>
      <c r="H294" s="71">
        <f t="shared" si="16"/>
        <v>300</v>
      </c>
      <c r="I294" s="71">
        <f t="shared" si="17"/>
        <v>0</v>
      </c>
      <c r="J294" s="71">
        <f t="shared" si="18"/>
        <v>2901</v>
      </c>
      <c r="K294" s="71">
        <f t="shared" si="19"/>
        <v>2901</v>
      </c>
      <c r="L294" s="65"/>
    </row>
    <row r="295" spans="2:12" ht="31.2" x14ac:dyDescent="0.3">
      <c r="B295" s="68" t="s">
        <v>415</v>
      </c>
      <c r="C295" s="75" t="s">
        <v>493</v>
      </c>
      <c r="D295" s="64" t="s">
        <v>21</v>
      </c>
      <c r="E295" s="70">
        <f>0.48*E293</f>
        <v>4.944</v>
      </c>
      <c r="F295" s="56">
        <f>1973*0.15</f>
        <v>295.95</v>
      </c>
      <c r="G295" s="56">
        <f>1500*0.15</f>
        <v>225</v>
      </c>
      <c r="H295" s="71">
        <f t="shared" si="16"/>
        <v>520.95000000000005</v>
      </c>
      <c r="I295" s="71">
        <f t="shared" si="17"/>
        <v>1463.18</v>
      </c>
      <c r="J295" s="71">
        <f t="shared" si="18"/>
        <v>1112.4000000000001</v>
      </c>
      <c r="K295" s="71">
        <f t="shared" si="19"/>
        <v>2575.58</v>
      </c>
      <c r="L295" s="65"/>
    </row>
    <row r="296" spans="2:12" ht="31.2" x14ac:dyDescent="0.3">
      <c r="B296" s="68" t="s">
        <v>416</v>
      </c>
      <c r="C296" s="75" t="s">
        <v>19</v>
      </c>
      <c r="D296" s="64" t="s">
        <v>22</v>
      </c>
      <c r="E296" s="70">
        <f>0.34/10*E293</f>
        <v>0.35020000000000007</v>
      </c>
      <c r="F296" s="57"/>
      <c r="G296" s="56">
        <v>5860</v>
      </c>
      <c r="H296" s="71">
        <f t="shared" si="16"/>
        <v>5860</v>
      </c>
      <c r="I296" s="71">
        <f t="shared" si="17"/>
        <v>0</v>
      </c>
      <c r="J296" s="71">
        <f t="shared" si="18"/>
        <v>2052.17</v>
      </c>
      <c r="K296" s="71">
        <f t="shared" si="19"/>
        <v>2052.17</v>
      </c>
      <c r="L296" s="65"/>
    </row>
    <row r="297" spans="2:12" x14ac:dyDescent="0.3">
      <c r="B297" s="68" t="s">
        <v>417</v>
      </c>
      <c r="C297" s="77" t="s">
        <v>150</v>
      </c>
      <c r="D297" s="64" t="s">
        <v>22</v>
      </c>
      <c r="E297" s="70">
        <f>E296*1.02</f>
        <v>0.35720400000000008</v>
      </c>
      <c r="F297" s="57">
        <v>6700</v>
      </c>
      <c r="G297" s="76"/>
      <c r="H297" s="71">
        <f t="shared" si="16"/>
        <v>6700</v>
      </c>
      <c r="I297" s="71">
        <f t="shared" si="17"/>
        <v>2393.27</v>
      </c>
      <c r="J297" s="71">
        <f t="shared" si="18"/>
        <v>0</v>
      </c>
      <c r="K297" s="71">
        <f t="shared" si="19"/>
        <v>2393.27</v>
      </c>
      <c r="L297" s="65"/>
    </row>
    <row r="298" spans="2:12" x14ac:dyDescent="0.3">
      <c r="B298" s="68" t="s">
        <v>418</v>
      </c>
      <c r="C298" s="75" t="s">
        <v>24</v>
      </c>
      <c r="D298" s="64" t="s">
        <v>22</v>
      </c>
      <c r="E298" s="70">
        <f>E293*0.48*0.1</f>
        <v>0.49440000000000001</v>
      </c>
      <c r="F298" s="57"/>
      <c r="G298" s="56">
        <v>5860</v>
      </c>
      <c r="H298" s="71">
        <f t="shared" si="16"/>
        <v>5860</v>
      </c>
      <c r="I298" s="71">
        <f t="shared" si="17"/>
        <v>0</v>
      </c>
      <c r="J298" s="71">
        <f t="shared" si="18"/>
        <v>2897.18</v>
      </c>
      <c r="K298" s="71">
        <f t="shared" si="19"/>
        <v>2897.18</v>
      </c>
      <c r="L298" s="65"/>
    </row>
    <row r="299" spans="2:12" x14ac:dyDescent="0.3">
      <c r="B299" s="68" t="s">
        <v>419</v>
      </c>
      <c r="C299" s="77" t="s">
        <v>25</v>
      </c>
      <c r="D299" s="64" t="s">
        <v>22</v>
      </c>
      <c r="E299" s="70">
        <f>E298*1.02</f>
        <v>0.50428800000000007</v>
      </c>
      <c r="F299" s="57">
        <v>7100</v>
      </c>
      <c r="G299" s="76"/>
      <c r="H299" s="71">
        <f t="shared" si="16"/>
        <v>7100</v>
      </c>
      <c r="I299" s="71">
        <f t="shared" si="17"/>
        <v>3580.44</v>
      </c>
      <c r="J299" s="71">
        <f t="shared" si="18"/>
        <v>0</v>
      </c>
      <c r="K299" s="71">
        <f t="shared" si="19"/>
        <v>3580.44</v>
      </c>
      <c r="L299" s="65"/>
    </row>
    <row r="300" spans="2:12" x14ac:dyDescent="0.3">
      <c r="B300" s="68" t="s">
        <v>420</v>
      </c>
      <c r="C300" s="75" t="s">
        <v>151</v>
      </c>
      <c r="D300" s="64" t="s">
        <v>23</v>
      </c>
      <c r="E300" s="70">
        <f>E293</f>
        <v>10.3</v>
      </c>
      <c r="F300" s="57"/>
      <c r="G300" s="56">
        <v>2928</v>
      </c>
      <c r="H300" s="71">
        <f t="shared" si="16"/>
        <v>2928</v>
      </c>
      <c r="I300" s="71">
        <f t="shared" si="17"/>
        <v>0</v>
      </c>
      <c r="J300" s="71">
        <f t="shared" si="18"/>
        <v>30158.400000000001</v>
      </c>
      <c r="K300" s="71">
        <f t="shared" si="19"/>
        <v>30158.400000000001</v>
      </c>
      <c r="L300" s="65"/>
    </row>
    <row r="301" spans="2:12" ht="31.2" x14ac:dyDescent="0.3">
      <c r="B301" s="68" t="s">
        <v>421</v>
      </c>
      <c r="C301" s="79" t="s">
        <v>489</v>
      </c>
      <c r="D301" s="64" t="s">
        <v>23</v>
      </c>
      <c r="E301" s="70">
        <f>E300*1.1</f>
        <v>11.330000000000002</v>
      </c>
      <c r="F301" s="57">
        <v>2195</v>
      </c>
      <c r="G301" s="56"/>
      <c r="H301" s="71">
        <f t="shared" si="16"/>
        <v>2195</v>
      </c>
      <c r="I301" s="71">
        <f t="shared" si="17"/>
        <v>24869.35</v>
      </c>
      <c r="J301" s="71">
        <f t="shared" si="18"/>
        <v>0</v>
      </c>
      <c r="K301" s="71">
        <f t="shared" si="19"/>
        <v>24869.35</v>
      </c>
      <c r="L301" s="65"/>
    </row>
    <row r="302" spans="2:12" ht="31.2" x14ac:dyDescent="0.3">
      <c r="B302" s="68" t="s">
        <v>422</v>
      </c>
      <c r="C302" s="75" t="s">
        <v>517</v>
      </c>
      <c r="D302" s="64" t="s">
        <v>22</v>
      </c>
      <c r="E302" s="70">
        <v>3.71</v>
      </c>
      <c r="F302" s="57"/>
      <c r="G302" s="56">
        <v>439</v>
      </c>
      <c r="H302" s="71">
        <f t="shared" si="16"/>
        <v>439</v>
      </c>
      <c r="I302" s="71">
        <f t="shared" si="17"/>
        <v>0</v>
      </c>
      <c r="J302" s="71">
        <f t="shared" si="18"/>
        <v>1628.69</v>
      </c>
      <c r="K302" s="71">
        <f t="shared" si="19"/>
        <v>1628.69</v>
      </c>
      <c r="L302" s="65"/>
    </row>
    <row r="303" spans="2:12" ht="31.2" x14ac:dyDescent="0.3">
      <c r="B303" s="68" t="s">
        <v>423</v>
      </c>
      <c r="C303" s="75" t="s">
        <v>557</v>
      </c>
      <c r="D303" s="80" t="s">
        <v>28</v>
      </c>
      <c r="E303" s="70">
        <v>25</v>
      </c>
      <c r="F303" s="57"/>
      <c r="G303" s="82"/>
      <c r="H303" s="71">
        <f t="shared" si="16"/>
        <v>0</v>
      </c>
      <c r="I303" s="71">
        <f t="shared" si="17"/>
        <v>0</v>
      </c>
      <c r="J303" s="71">
        <f t="shared" si="18"/>
        <v>0</v>
      </c>
      <c r="K303" s="71">
        <f t="shared" si="19"/>
        <v>0</v>
      </c>
      <c r="L303" s="65"/>
    </row>
    <row r="304" spans="2:12" x14ac:dyDescent="0.3">
      <c r="B304" s="68" t="s">
        <v>424</v>
      </c>
      <c r="C304" s="83" t="s">
        <v>552</v>
      </c>
      <c r="D304" s="80" t="s">
        <v>21</v>
      </c>
      <c r="E304" s="70">
        <v>6.25</v>
      </c>
      <c r="F304" s="56">
        <f>1973*0.1</f>
        <v>197.3</v>
      </c>
      <c r="G304" s="56">
        <f>1500*0.1</f>
        <v>150</v>
      </c>
      <c r="H304" s="71">
        <f t="shared" si="16"/>
        <v>347.3</v>
      </c>
      <c r="I304" s="71">
        <f t="shared" si="17"/>
        <v>1233.1300000000001</v>
      </c>
      <c r="J304" s="71">
        <f t="shared" si="18"/>
        <v>937.5</v>
      </c>
      <c r="K304" s="71">
        <f t="shared" si="19"/>
        <v>2170.63</v>
      </c>
      <c r="L304" s="65"/>
    </row>
    <row r="305" spans="2:13" x14ac:dyDescent="0.3">
      <c r="B305" s="68" t="s">
        <v>425</v>
      </c>
      <c r="C305" s="77" t="s">
        <v>25</v>
      </c>
      <c r="D305" s="80" t="s">
        <v>22</v>
      </c>
      <c r="E305" s="70">
        <v>3.125</v>
      </c>
      <c r="F305" s="57">
        <v>7100</v>
      </c>
      <c r="G305" s="82"/>
      <c r="H305" s="71">
        <f t="shared" si="16"/>
        <v>7100</v>
      </c>
      <c r="I305" s="71">
        <f t="shared" si="17"/>
        <v>22187.5</v>
      </c>
      <c r="J305" s="71">
        <f t="shared" si="18"/>
        <v>0</v>
      </c>
      <c r="K305" s="71">
        <f t="shared" si="19"/>
        <v>22187.5</v>
      </c>
      <c r="L305" s="65"/>
    </row>
    <row r="306" spans="2:13" ht="31.2" x14ac:dyDescent="0.3">
      <c r="B306" s="96" t="s">
        <v>426</v>
      </c>
      <c r="C306" s="69" t="s">
        <v>563</v>
      </c>
      <c r="D306" s="91" t="s">
        <v>28</v>
      </c>
      <c r="E306" s="97">
        <v>7</v>
      </c>
      <c r="F306" s="98"/>
      <c r="G306" s="95"/>
      <c r="H306" s="98"/>
      <c r="I306" s="98"/>
      <c r="J306" s="98"/>
      <c r="K306" s="98"/>
      <c r="L306" s="65"/>
    </row>
    <row r="307" spans="2:13" x14ac:dyDescent="0.3">
      <c r="B307" s="68" t="s">
        <v>427</v>
      </c>
      <c r="C307" s="81" t="s">
        <v>29</v>
      </c>
      <c r="D307" s="80" t="s">
        <v>22</v>
      </c>
      <c r="E307" s="84">
        <v>99.86</v>
      </c>
      <c r="F307" s="57"/>
      <c r="G307" s="57">
        <v>300</v>
      </c>
      <c r="H307" s="71">
        <f t="shared" si="16"/>
        <v>300</v>
      </c>
      <c r="I307" s="71">
        <f t="shared" si="17"/>
        <v>0</v>
      </c>
      <c r="J307" s="71">
        <f t="shared" si="18"/>
        <v>29958</v>
      </c>
      <c r="K307" s="71">
        <f t="shared" si="19"/>
        <v>29958</v>
      </c>
      <c r="L307" s="65"/>
    </row>
    <row r="308" spans="2:13" x14ac:dyDescent="0.3">
      <c r="B308" s="68" t="s">
        <v>428</v>
      </c>
      <c r="C308" s="81" t="s">
        <v>18</v>
      </c>
      <c r="D308" s="80" t="s">
        <v>22</v>
      </c>
      <c r="E308" s="70">
        <f>E307*0.03</f>
        <v>2.9958</v>
      </c>
      <c r="F308" s="57"/>
      <c r="G308" s="57">
        <v>1500</v>
      </c>
      <c r="H308" s="71">
        <f t="shared" si="16"/>
        <v>1500</v>
      </c>
      <c r="I308" s="71">
        <f t="shared" si="17"/>
        <v>0</v>
      </c>
      <c r="J308" s="71">
        <f t="shared" si="18"/>
        <v>4493.7</v>
      </c>
      <c r="K308" s="71">
        <f t="shared" si="19"/>
        <v>4493.7</v>
      </c>
      <c r="L308" s="65"/>
    </row>
    <row r="309" spans="2:13" x14ac:dyDescent="0.3">
      <c r="B309" s="68" t="s">
        <v>429</v>
      </c>
      <c r="C309" s="81" t="s">
        <v>63</v>
      </c>
      <c r="D309" s="80" t="s">
        <v>21</v>
      </c>
      <c r="E309" s="70">
        <f>3.14*6+2.8*2.23</f>
        <v>25.084</v>
      </c>
      <c r="F309" s="57"/>
      <c r="G309" s="82"/>
      <c r="H309" s="71">
        <f t="shared" si="16"/>
        <v>0</v>
      </c>
      <c r="I309" s="71">
        <f t="shared" si="17"/>
        <v>0</v>
      </c>
      <c r="J309" s="71">
        <f t="shared" si="18"/>
        <v>0</v>
      </c>
      <c r="K309" s="71">
        <f t="shared" si="19"/>
        <v>0</v>
      </c>
      <c r="L309" s="65"/>
    </row>
    <row r="310" spans="2:13" ht="31.2" x14ac:dyDescent="0.3">
      <c r="B310" s="68" t="s">
        <v>430</v>
      </c>
      <c r="C310" s="81" t="s">
        <v>536</v>
      </c>
      <c r="D310" s="80" t="s">
        <v>21</v>
      </c>
      <c r="E310" s="70">
        <v>6.24</v>
      </c>
      <c r="F310" s="89">
        <f>1290*0.05*1.1</f>
        <v>70.95</v>
      </c>
      <c r="G310" s="89">
        <f>1500*0.05</f>
        <v>75</v>
      </c>
      <c r="H310" s="71">
        <f t="shared" si="16"/>
        <v>145.94999999999999</v>
      </c>
      <c r="I310" s="71">
        <f t="shared" si="17"/>
        <v>442.73</v>
      </c>
      <c r="J310" s="71">
        <f t="shared" si="18"/>
        <v>468</v>
      </c>
      <c r="K310" s="71">
        <f t="shared" si="19"/>
        <v>910.73</v>
      </c>
      <c r="L310" s="65"/>
    </row>
    <row r="311" spans="2:13" ht="31.2" x14ac:dyDescent="0.3">
      <c r="B311" s="68" t="s">
        <v>431</v>
      </c>
      <c r="C311" s="81" t="s">
        <v>537</v>
      </c>
      <c r="D311" s="80" t="s">
        <v>22</v>
      </c>
      <c r="E311" s="70">
        <f>E310*0.2</f>
        <v>1.2480000000000002</v>
      </c>
      <c r="F311" s="57"/>
      <c r="G311" s="57">
        <v>5860</v>
      </c>
      <c r="H311" s="71">
        <f t="shared" si="16"/>
        <v>5860</v>
      </c>
      <c r="I311" s="71">
        <f t="shared" si="17"/>
        <v>0</v>
      </c>
      <c r="J311" s="71">
        <f t="shared" si="18"/>
        <v>7313.28</v>
      </c>
      <c r="K311" s="71">
        <f t="shared" si="19"/>
        <v>7313.28</v>
      </c>
      <c r="L311" s="65"/>
    </row>
    <row r="312" spans="2:13" x14ac:dyDescent="0.3">
      <c r="B312" s="68" t="s">
        <v>432</v>
      </c>
      <c r="C312" s="85" t="s">
        <v>538</v>
      </c>
      <c r="D312" s="80" t="s">
        <v>22</v>
      </c>
      <c r="E312" s="70">
        <f>E311*1.02</f>
        <v>1.2729600000000003</v>
      </c>
      <c r="F312" s="57">
        <v>7100</v>
      </c>
      <c r="G312" s="82"/>
      <c r="H312" s="71">
        <f t="shared" si="16"/>
        <v>7100</v>
      </c>
      <c r="I312" s="71">
        <f t="shared" si="17"/>
        <v>9038.02</v>
      </c>
      <c r="J312" s="71">
        <f t="shared" si="18"/>
        <v>0</v>
      </c>
      <c r="K312" s="71">
        <f t="shared" si="19"/>
        <v>9038.02</v>
      </c>
      <c r="L312" s="65"/>
    </row>
    <row r="313" spans="2:13" x14ac:dyDescent="0.3">
      <c r="B313" s="68" t="s">
        <v>433</v>
      </c>
      <c r="C313" s="85" t="s">
        <v>551</v>
      </c>
      <c r="D313" s="80" t="s">
        <v>21</v>
      </c>
      <c r="E313" s="70">
        <f>E310*2*1.04</f>
        <v>12.979200000000001</v>
      </c>
      <c r="F313" s="57">
        <v>906</v>
      </c>
      <c r="G313" s="57" t="s">
        <v>248</v>
      </c>
      <c r="H313" s="71">
        <f t="shared" si="16"/>
        <v>1016</v>
      </c>
      <c r="I313" s="71">
        <f t="shared" si="17"/>
        <v>11759.16</v>
      </c>
      <c r="J313" s="71">
        <f t="shared" si="18"/>
        <v>1427.71</v>
      </c>
      <c r="K313" s="71">
        <f t="shared" si="19"/>
        <v>13186.869999999999</v>
      </c>
      <c r="L313" s="65"/>
    </row>
    <row r="314" spans="2:13" ht="31.2" x14ac:dyDescent="0.3">
      <c r="B314" s="68" t="s">
        <v>434</v>
      </c>
      <c r="C314" s="81" t="s">
        <v>539</v>
      </c>
      <c r="D314" s="80"/>
      <c r="E314" s="70"/>
      <c r="F314" s="71"/>
      <c r="G314" s="71">
        <v>5662</v>
      </c>
      <c r="H314" s="71">
        <f t="shared" si="16"/>
        <v>5662</v>
      </c>
      <c r="I314" s="71">
        <f t="shared" si="17"/>
        <v>0</v>
      </c>
      <c r="J314" s="71">
        <f t="shared" si="18"/>
        <v>0</v>
      </c>
      <c r="K314" s="71">
        <f t="shared" si="19"/>
        <v>0</v>
      </c>
      <c r="L314" s="65"/>
    </row>
    <row r="315" spans="2:13" x14ac:dyDescent="0.3">
      <c r="B315" s="68" t="s">
        <v>435</v>
      </c>
      <c r="C315" s="85" t="s">
        <v>540</v>
      </c>
      <c r="D315" s="80" t="s">
        <v>28</v>
      </c>
      <c r="E315" s="70">
        <v>7</v>
      </c>
      <c r="F315" s="71">
        <v>3998</v>
      </c>
      <c r="G315" s="74"/>
      <c r="H315" s="71">
        <f t="shared" si="16"/>
        <v>3998</v>
      </c>
      <c r="I315" s="71">
        <f t="shared" si="17"/>
        <v>27986</v>
      </c>
      <c r="J315" s="71">
        <f t="shared" si="18"/>
        <v>0</v>
      </c>
      <c r="K315" s="71">
        <f t="shared" si="19"/>
        <v>27986</v>
      </c>
      <c r="L315" s="65"/>
    </row>
    <row r="316" spans="2:13" x14ac:dyDescent="0.3">
      <c r="B316" s="68" t="s">
        <v>436</v>
      </c>
      <c r="C316" s="85" t="s">
        <v>541</v>
      </c>
      <c r="D316" s="80" t="s">
        <v>28</v>
      </c>
      <c r="E316" s="70">
        <v>7</v>
      </c>
      <c r="F316" s="71">
        <v>2400</v>
      </c>
      <c r="G316" s="74"/>
      <c r="H316" s="71">
        <f t="shared" si="16"/>
        <v>2400</v>
      </c>
      <c r="I316" s="71">
        <f t="shared" si="17"/>
        <v>16800</v>
      </c>
      <c r="J316" s="71">
        <f t="shared" si="18"/>
        <v>0</v>
      </c>
      <c r="K316" s="71">
        <f t="shared" si="19"/>
        <v>16800</v>
      </c>
      <c r="L316" s="65"/>
      <c r="M316" s="86" t="s">
        <v>559</v>
      </c>
    </row>
    <row r="317" spans="2:13" x14ac:dyDescent="0.3">
      <c r="B317" s="68" t="s">
        <v>437</v>
      </c>
      <c r="C317" s="85" t="s">
        <v>542</v>
      </c>
      <c r="D317" s="80" t="s">
        <v>28</v>
      </c>
      <c r="E317" s="70">
        <v>4</v>
      </c>
      <c r="F317" s="56">
        <v>2078</v>
      </c>
      <c r="G317" s="76"/>
      <c r="H317" s="71">
        <f t="shared" si="16"/>
        <v>2078</v>
      </c>
      <c r="I317" s="71">
        <f t="shared" si="17"/>
        <v>8312</v>
      </c>
      <c r="J317" s="71">
        <f t="shared" si="18"/>
        <v>0</v>
      </c>
      <c r="K317" s="71">
        <f t="shared" si="19"/>
        <v>8312</v>
      </c>
      <c r="L317" s="65"/>
    </row>
    <row r="318" spans="2:13" ht="31.2" x14ac:dyDescent="0.3">
      <c r="B318" s="68" t="s">
        <v>438</v>
      </c>
      <c r="C318" s="81" t="s">
        <v>64</v>
      </c>
      <c r="D318" s="80" t="s">
        <v>22</v>
      </c>
      <c r="E318" s="70">
        <f>E309*0.1</f>
        <v>2.5084</v>
      </c>
      <c r="F318" s="71"/>
      <c r="G318" s="56">
        <v>5860</v>
      </c>
      <c r="H318" s="71">
        <f t="shared" si="16"/>
        <v>5860</v>
      </c>
      <c r="I318" s="71">
        <f t="shared" si="17"/>
        <v>0</v>
      </c>
      <c r="J318" s="71">
        <f t="shared" si="18"/>
        <v>14699.22</v>
      </c>
      <c r="K318" s="71">
        <f t="shared" si="19"/>
        <v>14699.22</v>
      </c>
      <c r="L318" s="65"/>
    </row>
    <row r="319" spans="2:13" x14ac:dyDescent="0.3">
      <c r="B319" s="68" t="s">
        <v>439</v>
      </c>
      <c r="C319" s="77" t="s">
        <v>150</v>
      </c>
      <c r="D319" s="80" t="s">
        <v>22</v>
      </c>
      <c r="E319" s="70">
        <f>E318*1.02</f>
        <v>2.5585680000000002</v>
      </c>
      <c r="F319" s="57">
        <v>6700</v>
      </c>
      <c r="G319" s="76"/>
      <c r="H319" s="71">
        <f t="shared" si="16"/>
        <v>6700</v>
      </c>
      <c r="I319" s="71">
        <f t="shared" si="17"/>
        <v>17142.41</v>
      </c>
      <c r="J319" s="71">
        <f t="shared" si="18"/>
        <v>0</v>
      </c>
      <c r="K319" s="71">
        <f t="shared" si="19"/>
        <v>17142.41</v>
      </c>
      <c r="L319" s="65"/>
    </row>
    <row r="320" spans="2:13" ht="31.2" x14ac:dyDescent="0.3">
      <c r="B320" s="68" t="s">
        <v>440</v>
      </c>
      <c r="C320" s="75" t="s">
        <v>145</v>
      </c>
      <c r="D320" s="80" t="s">
        <v>21</v>
      </c>
      <c r="E320" s="70">
        <f>3.16*6</f>
        <v>18.96</v>
      </c>
      <c r="F320" s="56">
        <v>68.5</v>
      </c>
      <c r="G320" s="56">
        <v>150</v>
      </c>
      <c r="H320" s="71">
        <f t="shared" si="16"/>
        <v>218.5</v>
      </c>
      <c r="I320" s="71">
        <f t="shared" si="17"/>
        <v>1298.76</v>
      </c>
      <c r="J320" s="71">
        <f t="shared" si="18"/>
        <v>2844</v>
      </c>
      <c r="K320" s="71">
        <f t="shared" si="19"/>
        <v>4142.76</v>
      </c>
      <c r="L320" s="65"/>
    </row>
    <row r="321" spans="2:13" ht="31.2" x14ac:dyDescent="0.3">
      <c r="B321" s="68" t="s">
        <v>441</v>
      </c>
      <c r="C321" s="75" t="s">
        <v>146</v>
      </c>
      <c r="D321" s="80" t="s">
        <v>21</v>
      </c>
      <c r="E321" s="70">
        <f>E320</f>
        <v>18.96</v>
      </c>
      <c r="F321" s="71">
        <v>927</v>
      </c>
      <c r="G321" s="71">
        <v>400</v>
      </c>
      <c r="H321" s="71">
        <f t="shared" si="16"/>
        <v>1327</v>
      </c>
      <c r="I321" s="71">
        <f t="shared" si="17"/>
        <v>17575.919999999998</v>
      </c>
      <c r="J321" s="71">
        <f t="shared" si="18"/>
        <v>7584</v>
      </c>
      <c r="K321" s="71">
        <f t="shared" si="19"/>
        <v>25159.919999999998</v>
      </c>
      <c r="L321" s="65"/>
    </row>
    <row r="322" spans="2:13" ht="31.2" x14ac:dyDescent="0.3">
      <c r="B322" s="68" t="s">
        <v>442</v>
      </c>
      <c r="C322" s="75" t="s">
        <v>74</v>
      </c>
      <c r="D322" s="80" t="s">
        <v>28</v>
      </c>
      <c r="E322" s="70">
        <v>11</v>
      </c>
      <c r="F322" s="71"/>
      <c r="G322" s="71">
        <v>5662</v>
      </c>
      <c r="H322" s="71">
        <f t="shared" si="16"/>
        <v>5662</v>
      </c>
      <c r="I322" s="71">
        <f t="shared" si="17"/>
        <v>0</v>
      </c>
      <c r="J322" s="71">
        <f t="shared" si="18"/>
        <v>62282</v>
      </c>
      <c r="K322" s="71">
        <f t="shared" si="19"/>
        <v>62282</v>
      </c>
      <c r="L322" s="65"/>
    </row>
    <row r="323" spans="2:13" x14ac:dyDescent="0.3">
      <c r="B323" s="68" t="s">
        <v>443</v>
      </c>
      <c r="C323" s="85" t="s">
        <v>525</v>
      </c>
      <c r="D323" s="80" t="s">
        <v>28</v>
      </c>
      <c r="E323" s="80">
        <v>3</v>
      </c>
      <c r="F323" s="71">
        <v>759</v>
      </c>
      <c r="G323" s="74"/>
      <c r="H323" s="71">
        <f t="shared" si="16"/>
        <v>759</v>
      </c>
      <c r="I323" s="71">
        <f t="shared" si="17"/>
        <v>2277</v>
      </c>
      <c r="J323" s="71">
        <f t="shared" si="18"/>
        <v>0</v>
      </c>
      <c r="K323" s="71">
        <f t="shared" si="19"/>
        <v>2277</v>
      </c>
      <c r="L323" s="65"/>
    </row>
    <row r="324" spans="2:13" x14ac:dyDescent="0.3">
      <c r="B324" s="68" t="s">
        <v>444</v>
      </c>
      <c r="C324" s="85" t="s">
        <v>526</v>
      </c>
      <c r="D324" s="80" t="s">
        <v>28</v>
      </c>
      <c r="E324" s="80">
        <v>8</v>
      </c>
      <c r="F324" s="71">
        <v>1036</v>
      </c>
      <c r="G324" s="74"/>
      <c r="H324" s="71">
        <f t="shared" si="16"/>
        <v>1036</v>
      </c>
      <c r="I324" s="71">
        <f t="shared" si="17"/>
        <v>8288</v>
      </c>
      <c r="J324" s="71">
        <f t="shared" si="18"/>
        <v>0</v>
      </c>
      <c r="K324" s="71">
        <f t="shared" si="19"/>
        <v>8288</v>
      </c>
      <c r="L324" s="65"/>
      <c r="M324" s="86" t="s">
        <v>560</v>
      </c>
    </row>
    <row r="325" spans="2:13" ht="31.2" x14ac:dyDescent="0.3">
      <c r="B325" s="68" t="s">
        <v>445</v>
      </c>
      <c r="C325" s="81" t="s">
        <v>527</v>
      </c>
      <c r="D325" s="80" t="s">
        <v>28</v>
      </c>
      <c r="E325" s="70">
        <v>6</v>
      </c>
      <c r="F325" s="56"/>
      <c r="G325" s="57">
        <v>2500</v>
      </c>
      <c r="H325" s="71">
        <f t="shared" si="16"/>
        <v>2500</v>
      </c>
      <c r="I325" s="71">
        <f t="shared" si="17"/>
        <v>0</v>
      </c>
      <c r="J325" s="71">
        <f t="shared" si="18"/>
        <v>15000</v>
      </c>
      <c r="K325" s="71">
        <f t="shared" si="19"/>
        <v>15000</v>
      </c>
      <c r="L325" s="65"/>
    </row>
    <row r="326" spans="2:13" x14ac:dyDescent="0.3">
      <c r="B326" s="68" t="s">
        <v>446</v>
      </c>
      <c r="C326" s="85" t="s">
        <v>528</v>
      </c>
      <c r="D326" s="80" t="s">
        <v>28</v>
      </c>
      <c r="E326" s="70">
        <v>6</v>
      </c>
      <c r="F326" s="71">
        <v>55300</v>
      </c>
      <c r="G326" s="82"/>
      <c r="H326" s="71">
        <f t="shared" si="16"/>
        <v>55300</v>
      </c>
      <c r="I326" s="71">
        <f t="shared" si="17"/>
        <v>331800</v>
      </c>
      <c r="J326" s="71">
        <f t="shared" si="18"/>
        <v>0</v>
      </c>
      <c r="K326" s="71">
        <f t="shared" si="19"/>
        <v>331800</v>
      </c>
      <c r="L326" s="65"/>
      <c r="M326" s="86" t="s">
        <v>561</v>
      </c>
    </row>
    <row r="327" spans="2:13" ht="31.2" x14ac:dyDescent="0.3">
      <c r="B327" s="68" t="s">
        <v>447</v>
      </c>
      <c r="C327" s="81" t="s">
        <v>530</v>
      </c>
      <c r="D327" s="80" t="s">
        <v>28</v>
      </c>
      <c r="E327" s="70">
        <v>8</v>
      </c>
      <c r="F327" s="56"/>
      <c r="G327" s="71">
        <v>5662</v>
      </c>
      <c r="H327" s="71">
        <f t="shared" si="16"/>
        <v>5662</v>
      </c>
      <c r="I327" s="71">
        <f t="shared" si="17"/>
        <v>0</v>
      </c>
      <c r="J327" s="71">
        <f t="shared" si="18"/>
        <v>45296</v>
      </c>
      <c r="K327" s="71">
        <f t="shared" si="19"/>
        <v>45296</v>
      </c>
      <c r="L327" s="65"/>
    </row>
    <row r="328" spans="2:13" x14ac:dyDescent="0.3">
      <c r="B328" s="68" t="s">
        <v>448</v>
      </c>
      <c r="C328" s="85" t="s">
        <v>529</v>
      </c>
      <c r="D328" s="80" t="s">
        <v>28</v>
      </c>
      <c r="E328" s="70">
        <v>8</v>
      </c>
      <c r="F328" s="56">
        <f>2081+6000</f>
        <v>8081</v>
      </c>
      <c r="G328" s="76"/>
      <c r="H328" s="71">
        <f t="shared" si="16"/>
        <v>8081</v>
      </c>
      <c r="I328" s="71">
        <f t="shared" si="17"/>
        <v>64648</v>
      </c>
      <c r="J328" s="71">
        <f t="shared" si="18"/>
        <v>0</v>
      </c>
      <c r="K328" s="71">
        <f t="shared" si="19"/>
        <v>64648</v>
      </c>
      <c r="L328" s="65"/>
    </row>
    <row r="329" spans="2:13" x14ac:dyDescent="0.3">
      <c r="B329" s="68" t="s">
        <v>449</v>
      </c>
      <c r="C329" s="85" t="s">
        <v>531</v>
      </c>
      <c r="D329" s="80" t="s">
        <v>28</v>
      </c>
      <c r="E329" s="70">
        <v>8</v>
      </c>
      <c r="F329" s="56">
        <f>10316+7809</f>
        <v>18125</v>
      </c>
      <c r="G329" s="76"/>
      <c r="H329" s="71">
        <f t="shared" si="16"/>
        <v>18125</v>
      </c>
      <c r="I329" s="71">
        <f t="shared" si="17"/>
        <v>145000</v>
      </c>
      <c r="J329" s="71">
        <f t="shared" si="18"/>
        <v>0</v>
      </c>
      <c r="K329" s="71">
        <f t="shared" si="19"/>
        <v>145000</v>
      </c>
      <c r="L329" s="65"/>
    </row>
    <row r="330" spans="2:13" ht="31.2" x14ac:dyDescent="0.3">
      <c r="B330" s="68" t="s">
        <v>450</v>
      </c>
      <c r="C330" s="75" t="s">
        <v>148</v>
      </c>
      <c r="D330" s="80" t="s">
        <v>21</v>
      </c>
      <c r="E330" s="70">
        <f>((3.14*2.2)*(3.5+1.4+1.8+1.7+1.4+1.4+0.8+0.8+0.92+1.14))+18.1+6.24</f>
        <v>126.99288000000003</v>
      </c>
      <c r="F330" s="56">
        <v>68.5</v>
      </c>
      <c r="G330" s="56">
        <v>150</v>
      </c>
      <c r="H330" s="71">
        <f t="shared" si="16"/>
        <v>218.5</v>
      </c>
      <c r="I330" s="71">
        <f t="shared" si="17"/>
        <v>8699.01</v>
      </c>
      <c r="J330" s="71">
        <f t="shared" si="18"/>
        <v>19048.93</v>
      </c>
      <c r="K330" s="71">
        <f t="shared" si="19"/>
        <v>27747.940000000002</v>
      </c>
      <c r="L330" s="65"/>
    </row>
    <row r="331" spans="2:13" ht="46.8" x14ac:dyDescent="0.3">
      <c r="B331" s="68" t="s">
        <v>451</v>
      </c>
      <c r="C331" s="75" t="s">
        <v>149</v>
      </c>
      <c r="D331" s="80" t="s">
        <v>21</v>
      </c>
      <c r="E331" s="70">
        <f>E330</f>
        <v>126.99288000000003</v>
      </c>
      <c r="F331" s="56">
        <v>927</v>
      </c>
      <c r="G331" s="56">
        <v>400</v>
      </c>
      <c r="H331" s="71">
        <f t="shared" si="16"/>
        <v>1327</v>
      </c>
      <c r="I331" s="71">
        <f t="shared" si="17"/>
        <v>117722.4</v>
      </c>
      <c r="J331" s="71">
        <f t="shared" si="18"/>
        <v>50797.15</v>
      </c>
      <c r="K331" s="71">
        <f t="shared" si="19"/>
        <v>168519.55</v>
      </c>
      <c r="L331" s="65"/>
    </row>
    <row r="332" spans="2:13" x14ac:dyDescent="0.3">
      <c r="B332" s="68" t="s">
        <v>452</v>
      </c>
      <c r="C332" s="81" t="s">
        <v>533</v>
      </c>
      <c r="D332" s="80" t="s">
        <v>28</v>
      </c>
      <c r="E332" s="70">
        <v>8</v>
      </c>
      <c r="F332" s="56"/>
      <c r="G332" s="56">
        <v>97.61</v>
      </c>
      <c r="H332" s="71">
        <f t="shared" ref="H332:H348" si="20">F332+G332</f>
        <v>97.61</v>
      </c>
      <c r="I332" s="71">
        <f t="shared" ref="I332:I348" si="21">ROUND(F332*E332,2)</f>
        <v>0</v>
      </c>
      <c r="J332" s="71">
        <f t="shared" ref="J332:J348" si="22">ROUND(G332*E332,2)</f>
        <v>780.88</v>
      </c>
      <c r="K332" s="71">
        <f t="shared" ref="K332:K348" si="23">I332+J332</f>
        <v>780.88</v>
      </c>
      <c r="L332" s="65"/>
    </row>
    <row r="333" spans="2:13" x14ac:dyDescent="0.3">
      <c r="B333" s="68" t="s">
        <v>453</v>
      </c>
      <c r="C333" s="85" t="s">
        <v>534</v>
      </c>
      <c r="D333" s="80" t="s">
        <v>28</v>
      </c>
      <c r="E333" s="70">
        <v>6</v>
      </c>
      <c r="F333" s="56">
        <v>71</v>
      </c>
      <c r="G333" s="76"/>
      <c r="H333" s="71">
        <f t="shared" si="20"/>
        <v>71</v>
      </c>
      <c r="I333" s="71">
        <f t="shared" si="21"/>
        <v>426</v>
      </c>
      <c r="J333" s="71">
        <f t="shared" si="22"/>
        <v>0</v>
      </c>
      <c r="K333" s="71">
        <f t="shared" si="23"/>
        <v>426</v>
      </c>
      <c r="L333" s="65"/>
    </row>
    <row r="334" spans="2:13" x14ac:dyDescent="0.3">
      <c r="B334" s="68" t="s">
        <v>454</v>
      </c>
      <c r="C334" s="85" t="s">
        <v>535</v>
      </c>
      <c r="D334" s="80" t="s">
        <v>28</v>
      </c>
      <c r="E334" s="70">
        <v>2</v>
      </c>
      <c r="F334" s="56">
        <v>71</v>
      </c>
      <c r="G334" s="76"/>
      <c r="H334" s="71">
        <f t="shared" si="20"/>
        <v>71</v>
      </c>
      <c r="I334" s="71">
        <f t="shared" si="21"/>
        <v>142</v>
      </c>
      <c r="J334" s="71">
        <f t="shared" si="22"/>
        <v>0</v>
      </c>
      <c r="K334" s="71">
        <f t="shared" si="23"/>
        <v>142</v>
      </c>
      <c r="L334" s="65"/>
    </row>
    <row r="335" spans="2:13" x14ac:dyDescent="0.3">
      <c r="B335" s="68" t="s">
        <v>455</v>
      </c>
      <c r="C335" s="81" t="s">
        <v>532</v>
      </c>
      <c r="D335" s="80" t="s">
        <v>28</v>
      </c>
      <c r="E335" s="70">
        <v>6</v>
      </c>
      <c r="F335" s="56"/>
      <c r="G335" s="57">
        <v>5860</v>
      </c>
      <c r="H335" s="71">
        <f t="shared" si="20"/>
        <v>5860</v>
      </c>
      <c r="I335" s="71">
        <f t="shared" si="21"/>
        <v>0</v>
      </c>
      <c r="J335" s="71">
        <f t="shared" si="22"/>
        <v>35160</v>
      </c>
      <c r="K335" s="71">
        <f t="shared" si="23"/>
        <v>35160</v>
      </c>
      <c r="L335" s="65"/>
    </row>
    <row r="336" spans="2:13" x14ac:dyDescent="0.3">
      <c r="B336" s="68" t="s">
        <v>456</v>
      </c>
      <c r="C336" s="77" t="s">
        <v>25</v>
      </c>
      <c r="D336" s="80" t="s">
        <v>22</v>
      </c>
      <c r="E336" s="70">
        <f>0.25*6</f>
        <v>1.5</v>
      </c>
      <c r="F336" s="57">
        <v>7100</v>
      </c>
      <c r="G336" s="76"/>
      <c r="H336" s="71">
        <f t="shared" si="20"/>
        <v>7100</v>
      </c>
      <c r="I336" s="71">
        <f t="shared" si="21"/>
        <v>10650</v>
      </c>
      <c r="J336" s="71">
        <f t="shared" si="22"/>
        <v>0</v>
      </c>
      <c r="K336" s="71">
        <f t="shared" si="23"/>
        <v>10650</v>
      </c>
      <c r="L336" s="65"/>
    </row>
    <row r="337" spans="2:12" ht="31.2" x14ac:dyDescent="0.3">
      <c r="B337" s="68" t="s">
        <v>457</v>
      </c>
      <c r="C337" s="75" t="s">
        <v>147</v>
      </c>
      <c r="D337" s="80" t="s">
        <v>28</v>
      </c>
      <c r="E337" s="70">
        <v>16</v>
      </c>
      <c r="F337" s="56"/>
      <c r="G337" s="56">
        <v>1464</v>
      </c>
      <c r="H337" s="71">
        <f t="shared" si="20"/>
        <v>1464</v>
      </c>
      <c r="I337" s="71">
        <f t="shared" si="21"/>
        <v>0</v>
      </c>
      <c r="J337" s="71">
        <f t="shared" si="22"/>
        <v>23424</v>
      </c>
      <c r="K337" s="71">
        <f t="shared" si="23"/>
        <v>23424</v>
      </c>
      <c r="L337" s="65"/>
    </row>
    <row r="338" spans="2:12" x14ac:dyDescent="0.3">
      <c r="B338" s="68" t="s">
        <v>458</v>
      </c>
      <c r="C338" s="79" t="s">
        <v>550</v>
      </c>
      <c r="D338" s="80" t="s">
        <v>28</v>
      </c>
      <c r="E338" s="70">
        <v>16</v>
      </c>
      <c r="F338" s="57">
        <f>5464*0.25</f>
        <v>1366</v>
      </c>
      <c r="G338" s="76"/>
      <c r="H338" s="71">
        <f t="shared" si="20"/>
        <v>1366</v>
      </c>
      <c r="I338" s="71">
        <f t="shared" si="21"/>
        <v>21856</v>
      </c>
      <c r="J338" s="71">
        <f t="shared" si="22"/>
        <v>0</v>
      </c>
      <c r="K338" s="71">
        <f t="shared" si="23"/>
        <v>21856</v>
      </c>
      <c r="L338" s="65"/>
    </row>
    <row r="339" spans="2:12" ht="33.6" x14ac:dyDescent="0.3">
      <c r="B339" s="68" t="s">
        <v>459</v>
      </c>
      <c r="C339" s="75" t="s">
        <v>564</v>
      </c>
      <c r="D339" s="80" t="s">
        <v>22</v>
      </c>
      <c r="E339" s="70">
        <f>12.25+11.86+10.78+24+8.46+7.83</f>
        <v>75.179999999999993</v>
      </c>
      <c r="F339" s="56"/>
      <c r="G339" s="56">
        <v>439</v>
      </c>
      <c r="H339" s="71">
        <f t="shared" si="20"/>
        <v>439</v>
      </c>
      <c r="I339" s="71">
        <f t="shared" si="21"/>
        <v>0</v>
      </c>
      <c r="J339" s="71">
        <f t="shared" si="22"/>
        <v>33004.019999999997</v>
      </c>
      <c r="K339" s="71">
        <f t="shared" si="23"/>
        <v>33004.019999999997</v>
      </c>
      <c r="L339" s="65"/>
    </row>
    <row r="340" spans="2:12" ht="31.2" x14ac:dyDescent="0.3">
      <c r="B340" s="68" t="s">
        <v>460</v>
      </c>
      <c r="C340" s="75" t="s">
        <v>543</v>
      </c>
      <c r="D340" s="84"/>
      <c r="E340" s="87"/>
      <c r="F340" s="88"/>
      <c r="G340" s="88"/>
      <c r="H340" s="71">
        <f t="shared" si="20"/>
        <v>0</v>
      </c>
      <c r="I340" s="71">
        <f t="shared" si="21"/>
        <v>0</v>
      </c>
      <c r="J340" s="71">
        <f t="shared" si="22"/>
        <v>0</v>
      </c>
      <c r="K340" s="71">
        <f t="shared" si="23"/>
        <v>0</v>
      </c>
      <c r="L340" s="84"/>
    </row>
    <row r="341" spans="2:12" ht="31.2" x14ac:dyDescent="0.3">
      <c r="B341" s="68" t="s">
        <v>461</v>
      </c>
      <c r="C341" s="77" t="s">
        <v>544</v>
      </c>
      <c r="D341" s="84" t="s">
        <v>28</v>
      </c>
      <c r="E341" s="87">
        <v>9</v>
      </c>
      <c r="F341" s="88">
        <v>26061</v>
      </c>
      <c r="G341" s="88">
        <v>5000</v>
      </c>
      <c r="H341" s="71">
        <f t="shared" si="20"/>
        <v>31061</v>
      </c>
      <c r="I341" s="71">
        <f t="shared" si="21"/>
        <v>234549</v>
      </c>
      <c r="J341" s="71">
        <f t="shared" si="22"/>
        <v>45000</v>
      </c>
      <c r="K341" s="71">
        <f t="shared" si="23"/>
        <v>279549</v>
      </c>
      <c r="L341" s="84"/>
    </row>
    <row r="342" spans="2:12" ht="31.2" x14ac:dyDescent="0.3">
      <c r="B342" s="68" t="s">
        <v>462</v>
      </c>
      <c r="C342" s="77" t="s">
        <v>545</v>
      </c>
      <c r="D342" s="84" t="s">
        <v>28</v>
      </c>
      <c r="E342" s="87">
        <v>3</v>
      </c>
      <c r="F342" s="88">
        <v>17038</v>
      </c>
      <c r="G342" s="88">
        <v>5000</v>
      </c>
      <c r="H342" s="71">
        <f t="shared" si="20"/>
        <v>22038</v>
      </c>
      <c r="I342" s="71">
        <f t="shared" si="21"/>
        <v>51114</v>
      </c>
      <c r="J342" s="71">
        <f t="shared" si="22"/>
        <v>15000</v>
      </c>
      <c r="K342" s="71">
        <f t="shared" si="23"/>
        <v>66114</v>
      </c>
      <c r="L342" s="84"/>
    </row>
    <row r="343" spans="2:12" x14ac:dyDescent="0.3">
      <c r="B343" s="68" t="s">
        <v>463</v>
      </c>
      <c r="C343" s="77" t="s">
        <v>546</v>
      </c>
      <c r="D343" s="84" t="s">
        <v>28</v>
      </c>
      <c r="E343" s="87">
        <v>2</v>
      </c>
      <c r="F343" s="88">
        <v>25535</v>
      </c>
      <c r="G343" s="88">
        <v>3000</v>
      </c>
      <c r="H343" s="71">
        <f t="shared" si="20"/>
        <v>28535</v>
      </c>
      <c r="I343" s="71">
        <f t="shared" si="21"/>
        <v>51070</v>
      </c>
      <c r="J343" s="71">
        <f t="shared" si="22"/>
        <v>6000</v>
      </c>
      <c r="K343" s="71">
        <f t="shared" si="23"/>
        <v>57070</v>
      </c>
      <c r="L343" s="84"/>
    </row>
    <row r="344" spans="2:12" ht="31.2" x14ac:dyDescent="0.3">
      <c r="B344" s="68" t="s">
        <v>464</v>
      </c>
      <c r="C344" s="77" t="s">
        <v>547</v>
      </c>
      <c r="D344" s="84" t="s">
        <v>28</v>
      </c>
      <c r="E344" s="87">
        <v>6</v>
      </c>
      <c r="F344" s="88">
        <v>16624</v>
      </c>
      <c r="G344" s="88"/>
      <c r="H344" s="71">
        <f t="shared" si="20"/>
        <v>16624</v>
      </c>
      <c r="I344" s="71">
        <f t="shared" si="21"/>
        <v>99744</v>
      </c>
      <c r="J344" s="71">
        <f t="shared" si="22"/>
        <v>0</v>
      </c>
      <c r="K344" s="71">
        <f t="shared" si="23"/>
        <v>99744</v>
      </c>
      <c r="L344" s="84"/>
    </row>
    <row r="345" spans="2:12" ht="31.2" x14ac:dyDescent="0.3">
      <c r="B345" s="68" t="s">
        <v>465</v>
      </c>
      <c r="C345" s="77" t="s">
        <v>548</v>
      </c>
      <c r="D345" s="84" t="s">
        <v>28</v>
      </c>
      <c r="E345" s="87">
        <v>1</v>
      </c>
      <c r="F345" s="88">
        <v>12152</v>
      </c>
      <c r="G345" s="88">
        <v>2500</v>
      </c>
      <c r="H345" s="71">
        <f t="shared" si="20"/>
        <v>14652</v>
      </c>
      <c r="I345" s="71">
        <f t="shared" si="21"/>
        <v>12152</v>
      </c>
      <c r="J345" s="71">
        <f t="shared" si="22"/>
        <v>2500</v>
      </c>
      <c r="K345" s="71">
        <f t="shared" si="23"/>
        <v>14652</v>
      </c>
      <c r="L345" s="84"/>
    </row>
    <row r="346" spans="2:12" ht="31.2" x14ac:dyDescent="0.3">
      <c r="B346" s="68" t="s">
        <v>554</v>
      </c>
      <c r="C346" s="77" t="s">
        <v>549</v>
      </c>
      <c r="D346" s="84" t="s">
        <v>28</v>
      </c>
      <c r="E346" s="87">
        <v>5</v>
      </c>
      <c r="F346" s="88">
        <v>8400</v>
      </c>
      <c r="G346" s="88">
        <v>2500</v>
      </c>
      <c r="H346" s="71">
        <f t="shared" si="20"/>
        <v>10900</v>
      </c>
      <c r="I346" s="71">
        <f t="shared" si="21"/>
        <v>42000</v>
      </c>
      <c r="J346" s="71">
        <f t="shared" si="22"/>
        <v>12500</v>
      </c>
      <c r="K346" s="71">
        <f t="shared" si="23"/>
        <v>54500</v>
      </c>
      <c r="L346" s="84"/>
    </row>
    <row r="347" spans="2:12" ht="31.2" x14ac:dyDescent="0.3">
      <c r="B347" s="68" t="s">
        <v>555</v>
      </c>
      <c r="C347" s="77" t="s">
        <v>42</v>
      </c>
      <c r="D347" s="84" t="s">
        <v>28</v>
      </c>
      <c r="E347" s="87">
        <v>16</v>
      </c>
      <c r="F347" s="88">
        <v>2067</v>
      </c>
      <c r="G347" s="88">
        <v>1500</v>
      </c>
      <c r="H347" s="71">
        <f t="shared" si="20"/>
        <v>3567</v>
      </c>
      <c r="I347" s="71">
        <f t="shared" si="21"/>
        <v>33072</v>
      </c>
      <c r="J347" s="71">
        <f t="shared" si="22"/>
        <v>24000</v>
      </c>
      <c r="K347" s="71">
        <f t="shared" si="23"/>
        <v>57072</v>
      </c>
      <c r="L347" s="84"/>
    </row>
    <row r="348" spans="2:12" ht="31.2" x14ac:dyDescent="0.3">
      <c r="B348" s="68" t="s">
        <v>556</v>
      </c>
      <c r="C348" s="79" t="s">
        <v>41</v>
      </c>
      <c r="D348" s="84" t="s">
        <v>28</v>
      </c>
      <c r="E348" s="87">
        <v>16</v>
      </c>
      <c r="F348" s="88">
        <v>1925</v>
      </c>
      <c r="G348" s="88"/>
      <c r="H348" s="71">
        <f t="shared" si="20"/>
        <v>1925</v>
      </c>
      <c r="I348" s="71">
        <f t="shared" si="21"/>
        <v>30800</v>
      </c>
      <c r="J348" s="71">
        <f t="shared" si="22"/>
        <v>0</v>
      </c>
      <c r="K348" s="71">
        <f t="shared" si="23"/>
        <v>30800</v>
      </c>
      <c r="L348" s="84"/>
    </row>
    <row r="349" spans="2:12" x14ac:dyDescent="0.3">
      <c r="B349" s="92"/>
      <c r="C349" s="93" t="s">
        <v>10</v>
      </c>
      <c r="D349" s="91"/>
      <c r="E349" s="94"/>
      <c r="F349" s="91"/>
      <c r="G349" s="91"/>
      <c r="H349" s="93"/>
      <c r="I349" s="95">
        <f>SUM(I11:I348)</f>
        <v>2936056.3999999994</v>
      </c>
      <c r="J349" s="95">
        <f>SUM(J11:J348)</f>
        <v>2989841.2</v>
      </c>
      <c r="K349" s="95">
        <f t="shared" ref="K349" si="24">SUM(K11:K348)</f>
        <v>5925897.5999999996</v>
      </c>
    </row>
    <row r="350" spans="2:12" x14ac:dyDescent="0.3">
      <c r="B350" s="90"/>
      <c r="C350" s="84" t="s">
        <v>558</v>
      </c>
      <c r="D350" s="84"/>
      <c r="E350" s="87"/>
      <c r="F350" s="84"/>
      <c r="G350" s="84"/>
      <c r="H350" s="84"/>
      <c r="I350" s="56">
        <f>I349/6</f>
        <v>489342.73333333322</v>
      </c>
      <c r="J350" s="56">
        <f t="shared" ref="J350:K350" si="25">J349/6</f>
        <v>498306.8666666667</v>
      </c>
      <c r="K350" s="56">
        <f t="shared" si="25"/>
        <v>987649.6</v>
      </c>
    </row>
  </sheetData>
  <autoFilter ref="B10:L350" xr:uid="{33CB8EE5-31D8-454A-B5D5-CE9FB5E5D3F4}"/>
  <mergeCells count="12">
    <mergeCell ref="I8:K8"/>
    <mergeCell ref="B5:L5"/>
    <mergeCell ref="K3:L3"/>
    <mergeCell ref="B7:B9"/>
    <mergeCell ref="C7:C9"/>
    <mergeCell ref="D7:D9"/>
    <mergeCell ref="E7:E9"/>
    <mergeCell ref="F7:H7"/>
    <mergeCell ref="I7:K7"/>
    <mergeCell ref="L7:L9"/>
    <mergeCell ref="F8:H8"/>
    <mergeCell ref="B6:K6"/>
  </mergeCells>
  <phoneticPr fontId="1" type="noConversion"/>
  <hyperlinks>
    <hyperlink ref="M316" r:id="rId1" display="https://www.крым.жби-завод.сайт/catalog/fundamentnye-bloki-fbs/blok-fundamentnyy-fbs-12-4-6/?ysclid=m4gyyl20en450363803" xr:uid="{DEAA4083-4E78-48AF-A7A5-953151DEB724}"/>
    <hyperlink ref="M324" r:id="rId2" display="https://simferopol.uik-rus.ru/product/kolodeznye-kolca-ks-7-5/" xr:uid="{CA0BF1CC-78D0-4A9D-AA00-C0EB1FA2747C}"/>
    <hyperlink ref="M326" r:id="rId3" display="https://gbi-24.ru/kolodec_plita_pvg-20.html" xr:uid="{A39F200B-9CAF-471F-B0A1-AB79C8CA2353}"/>
  </hyperlinks>
  <pageMargins left="0.25" right="0.25" top="0.75" bottom="0.75" header="0.3" footer="0.3"/>
  <pageSetup paperSize="9" scale="58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3"/>
  <sheetViews>
    <sheetView zoomScale="85" zoomScaleNormal="85" zoomScaleSheetLayoutView="85" workbookViewId="0">
      <selection activeCell="P296" sqref="P296"/>
    </sheetView>
  </sheetViews>
  <sheetFormatPr defaultColWidth="8.88671875" defaultRowHeight="15.6" x14ac:dyDescent="0.3"/>
  <cols>
    <col min="1" max="1" width="7.5546875" style="6" customWidth="1"/>
    <col min="2" max="2" width="64.6640625" style="13" customWidth="1"/>
    <col min="3" max="3" width="9.33203125" style="7" customWidth="1"/>
    <col min="4" max="4" width="12" style="28" customWidth="1"/>
    <col min="5" max="7" width="12" style="7" hidden="1" customWidth="1"/>
    <col min="8" max="8" width="14.33203125" style="8" hidden="1" customWidth="1"/>
    <col min="9" max="9" width="13.88671875" style="7" hidden="1" customWidth="1"/>
    <col min="10" max="10" width="13" style="7" hidden="1" customWidth="1"/>
    <col min="11" max="11" width="15.44140625" style="7" hidden="1" customWidth="1"/>
    <col min="12" max="12" width="13.33203125" style="7" customWidth="1"/>
    <col min="13" max="13" width="12.44140625" style="7" customWidth="1"/>
    <col min="14" max="14" width="22" style="7" customWidth="1"/>
    <col min="15" max="15" width="11.88671875" style="7" bestFit="1" customWidth="1"/>
    <col min="16" max="16384" width="8.88671875" style="7"/>
  </cols>
  <sheetData>
    <row r="1" spans="1:14" x14ac:dyDescent="0.3">
      <c r="N1" s="16" t="s">
        <v>12</v>
      </c>
    </row>
    <row r="2" spans="1:14" x14ac:dyDescent="0.3">
      <c r="N2" s="16" t="s">
        <v>14</v>
      </c>
    </row>
    <row r="3" spans="1:14" x14ac:dyDescent="0.3">
      <c r="N3" s="16" t="s">
        <v>13</v>
      </c>
    </row>
    <row r="4" spans="1:14" x14ac:dyDescent="0.3">
      <c r="N4" s="9"/>
    </row>
    <row r="5" spans="1:14" x14ac:dyDescent="0.3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ht="61.5" customHeight="1" x14ac:dyDescent="0.3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19.2" customHeight="1" x14ac:dyDescent="0.3">
      <c r="A7" s="114" t="s">
        <v>11</v>
      </c>
      <c r="B7" s="115" t="s">
        <v>0</v>
      </c>
      <c r="C7" s="112" t="s">
        <v>1</v>
      </c>
      <c r="D7" s="116" t="s">
        <v>2</v>
      </c>
      <c r="E7" s="112" t="s">
        <v>4</v>
      </c>
      <c r="F7" s="112"/>
      <c r="G7" s="112"/>
      <c r="H7" s="112" t="s">
        <v>5</v>
      </c>
      <c r="I7" s="112"/>
      <c r="J7" s="112"/>
      <c r="K7" s="113" t="s">
        <v>6</v>
      </c>
    </row>
    <row r="8" spans="1:14" ht="19.2" customHeight="1" x14ac:dyDescent="0.3">
      <c r="A8" s="114"/>
      <c r="B8" s="115"/>
      <c r="C8" s="112"/>
      <c r="D8" s="116"/>
      <c r="E8" s="112" t="s">
        <v>7</v>
      </c>
      <c r="F8" s="112"/>
      <c r="G8" s="112"/>
      <c r="H8" s="112" t="s">
        <v>7</v>
      </c>
      <c r="I8" s="112"/>
      <c r="J8" s="112"/>
      <c r="K8" s="113"/>
    </row>
    <row r="9" spans="1:14" ht="27" customHeight="1" x14ac:dyDescent="0.3">
      <c r="A9" s="114"/>
      <c r="B9" s="115"/>
      <c r="C9" s="112"/>
      <c r="D9" s="116"/>
      <c r="E9" s="1" t="s">
        <v>8</v>
      </c>
      <c r="F9" s="1" t="s">
        <v>9</v>
      </c>
      <c r="G9" s="1" t="s">
        <v>10</v>
      </c>
      <c r="H9" s="1" t="s">
        <v>8</v>
      </c>
      <c r="I9" s="1" t="s">
        <v>9</v>
      </c>
      <c r="J9" s="1" t="s">
        <v>10</v>
      </c>
      <c r="K9" s="113"/>
    </row>
    <row r="10" spans="1:14" ht="15.6" customHeight="1" x14ac:dyDescent="0.3">
      <c r="A10" s="19">
        <v>1</v>
      </c>
      <c r="B10" s="18">
        <v>2</v>
      </c>
      <c r="C10" s="18">
        <v>3</v>
      </c>
      <c r="D10" s="22">
        <v>4</v>
      </c>
      <c r="E10" s="19">
        <v>8</v>
      </c>
      <c r="F10" s="19">
        <v>9</v>
      </c>
      <c r="G10" s="18">
        <v>10</v>
      </c>
      <c r="H10" s="18">
        <v>11</v>
      </c>
      <c r="I10" s="19">
        <v>12</v>
      </c>
      <c r="J10" s="19">
        <v>13</v>
      </c>
      <c r="K10" s="18">
        <v>14</v>
      </c>
    </row>
    <row r="11" spans="1:14" x14ac:dyDescent="0.3">
      <c r="A11" s="21"/>
      <c r="B11" s="23" t="s">
        <v>111</v>
      </c>
      <c r="C11" s="20"/>
      <c r="D11" s="29"/>
      <c r="E11" s="21"/>
      <c r="F11" s="21"/>
      <c r="G11" s="20"/>
      <c r="H11" s="20"/>
      <c r="I11" s="21"/>
      <c r="J11" s="21"/>
      <c r="K11" s="20"/>
    </row>
    <row r="12" spans="1:14" ht="31.2" x14ac:dyDescent="0.3">
      <c r="A12" s="21"/>
      <c r="B12" s="24" t="s">
        <v>16</v>
      </c>
      <c r="C12" s="31" t="s">
        <v>23</v>
      </c>
      <c r="D12" s="30">
        <v>11.9</v>
      </c>
      <c r="E12" s="21"/>
      <c r="F12" s="21"/>
      <c r="G12" s="20"/>
      <c r="H12" s="20"/>
      <c r="I12" s="21"/>
      <c r="J12" s="21"/>
      <c r="K12" s="20"/>
    </row>
    <row r="13" spans="1:14" ht="15.6" customHeight="1" x14ac:dyDescent="0.3">
      <c r="A13" s="21"/>
      <c r="B13" s="25" t="s">
        <v>17</v>
      </c>
      <c r="C13" s="31" t="s">
        <v>22</v>
      </c>
      <c r="D13" s="29">
        <f>D12*0.6704*0.9</f>
        <v>7.1799840000000001</v>
      </c>
      <c r="E13" s="21"/>
      <c r="F13" s="21"/>
      <c r="G13" s="20"/>
      <c r="H13" s="20"/>
      <c r="I13" s="21"/>
      <c r="J13" s="21"/>
      <c r="K13" s="20"/>
    </row>
    <row r="14" spans="1:14" ht="15.6" customHeight="1" x14ac:dyDescent="0.3">
      <c r="A14" s="21"/>
      <c r="B14" s="25" t="s">
        <v>18</v>
      </c>
      <c r="C14" s="31" t="s">
        <v>22</v>
      </c>
      <c r="D14" s="29">
        <f>0.6704*D12*0.1</f>
        <v>0.79777600000000004</v>
      </c>
      <c r="E14" s="21"/>
      <c r="F14" s="21"/>
      <c r="G14" s="20"/>
      <c r="H14" s="20"/>
      <c r="I14" s="21"/>
      <c r="J14" s="21"/>
      <c r="K14" s="20"/>
    </row>
    <row r="15" spans="1:14" ht="31.2" x14ac:dyDescent="0.3">
      <c r="A15" s="21"/>
      <c r="B15" s="25" t="s">
        <v>20</v>
      </c>
      <c r="C15" s="31" t="s">
        <v>21</v>
      </c>
      <c r="D15" s="29">
        <f>D12*0.45</f>
        <v>5.3550000000000004</v>
      </c>
      <c r="E15" s="21"/>
      <c r="F15" s="21"/>
      <c r="G15" s="20"/>
      <c r="H15" s="20"/>
      <c r="I15" s="21"/>
      <c r="J15" s="21"/>
      <c r="K15" s="20"/>
    </row>
    <row r="16" spans="1:14" ht="15.6" customHeight="1" x14ac:dyDescent="0.3">
      <c r="A16" s="21"/>
      <c r="B16" s="25" t="s">
        <v>19</v>
      </c>
      <c r="C16" s="31" t="s">
        <v>22</v>
      </c>
      <c r="D16" s="29">
        <f>0.32/10*D12</f>
        <v>0.38080000000000003</v>
      </c>
      <c r="E16" s="21"/>
      <c r="F16" s="21"/>
      <c r="G16" s="20"/>
      <c r="H16" s="20"/>
      <c r="I16" s="21"/>
      <c r="J16" s="21"/>
      <c r="K16" s="20"/>
    </row>
    <row r="17" spans="1:11" ht="15.6" customHeight="1" x14ac:dyDescent="0.3">
      <c r="A17" s="21"/>
      <c r="B17" s="25" t="s">
        <v>24</v>
      </c>
      <c r="C17" s="31" t="s">
        <v>22</v>
      </c>
      <c r="D17" s="29">
        <f>0.73/10*D12</f>
        <v>0.86869999999999992</v>
      </c>
      <c r="E17" s="21"/>
      <c r="F17" s="21"/>
      <c r="G17" s="20"/>
      <c r="H17" s="20"/>
      <c r="I17" s="21"/>
      <c r="J17" s="21"/>
      <c r="K17" s="20"/>
    </row>
    <row r="18" spans="1:11" ht="15.6" customHeight="1" x14ac:dyDescent="0.3">
      <c r="A18" s="21"/>
      <c r="B18" s="32" t="s">
        <v>25</v>
      </c>
      <c r="C18" s="31" t="s">
        <v>22</v>
      </c>
      <c r="D18" s="29">
        <f>D17*1.02</f>
        <v>0.88607399999999992</v>
      </c>
      <c r="E18" s="21"/>
      <c r="F18" s="21"/>
      <c r="G18" s="20"/>
      <c r="H18" s="20"/>
      <c r="I18" s="21"/>
      <c r="J18" s="21"/>
      <c r="K18" s="20"/>
    </row>
    <row r="19" spans="1:11" ht="15.6" customHeight="1" x14ac:dyDescent="0.3">
      <c r="A19" s="21"/>
      <c r="B19" s="32" t="s">
        <v>26</v>
      </c>
      <c r="C19" s="31" t="s">
        <v>27</v>
      </c>
      <c r="D19" s="29">
        <f>22.21/10*D12*1.04</f>
        <v>27.487096000000005</v>
      </c>
      <c r="E19" s="21"/>
      <c r="F19" s="21"/>
      <c r="G19" s="20"/>
      <c r="H19" s="20"/>
      <c r="I19" s="21"/>
      <c r="J19" s="21"/>
      <c r="K19" s="20"/>
    </row>
    <row r="20" spans="1:11" ht="15.6" customHeight="1" x14ac:dyDescent="0.3">
      <c r="A20" s="27"/>
      <c r="B20" s="25" t="s">
        <v>33</v>
      </c>
      <c r="C20" s="31" t="s">
        <v>23</v>
      </c>
      <c r="D20" s="30">
        <v>11.9</v>
      </c>
      <c r="E20" s="27"/>
      <c r="F20" s="27"/>
      <c r="G20" s="26"/>
      <c r="H20" s="26"/>
      <c r="I20" s="27"/>
      <c r="J20" s="27"/>
      <c r="K20" s="26"/>
    </row>
    <row r="21" spans="1:11" ht="31.2" x14ac:dyDescent="0.3">
      <c r="A21" s="27"/>
      <c r="B21" s="32" t="s">
        <v>34</v>
      </c>
      <c r="C21" s="31" t="s">
        <v>23</v>
      </c>
      <c r="D21" s="29">
        <f>D20*1.1</f>
        <v>13.090000000000002</v>
      </c>
      <c r="E21" s="27"/>
      <c r="F21" s="27"/>
      <c r="G21" s="26"/>
      <c r="H21" s="26"/>
      <c r="I21" s="27"/>
      <c r="J21" s="27"/>
      <c r="K21" s="26"/>
    </row>
    <row r="22" spans="1:11" x14ac:dyDescent="0.3">
      <c r="A22" s="27"/>
      <c r="B22" s="32" t="s">
        <v>37</v>
      </c>
      <c r="C22" s="31" t="s">
        <v>28</v>
      </c>
      <c r="D22" s="29">
        <v>1</v>
      </c>
      <c r="E22" s="27"/>
      <c r="F22" s="27"/>
      <c r="G22" s="26"/>
      <c r="H22" s="26"/>
      <c r="I22" s="27"/>
      <c r="J22" s="27"/>
      <c r="K22" s="26"/>
    </row>
    <row r="23" spans="1:11" ht="33.6" x14ac:dyDescent="0.3">
      <c r="A23" s="27"/>
      <c r="B23" s="25" t="s">
        <v>35</v>
      </c>
      <c r="C23" s="31" t="s">
        <v>22</v>
      </c>
      <c r="D23" s="29">
        <v>6.8</v>
      </c>
      <c r="E23" s="27"/>
      <c r="F23" s="27"/>
      <c r="G23" s="26"/>
      <c r="H23" s="26"/>
      <c r="I23" s="27"/>
      <c r="J23" s="27"/>
      <c r="K23" s="26"/>
    </row>
    <row r="24" spans="1:11" ht="15.6" customHeight="1" x14ac:dyDescent="0.3">
      <c r="A24" s="21"/>
      <c r="B24" s="43" t="s">
        <v>142</v>
      </c>
      <c r="C24" s="31" t="s">
        <v>28</v>
      </c>
      <c r="D24" s="29">
        <v>1</v>
      </c>
      <c r="E24" s="21"/>
      <c r="F24" s="21"/>
      <c r="G24" s="20"/>
      <c r="H24" s="20"/>
      <c r="I24" s="21"/>
      <c r="J24" s="21"/>
      <c r="K24" s="20"/>
    </row>
    <row r="25" spans="1:11" ht="15.6" customHeight="1" x14ac:dyDescent="0.3">
      <c r="A25" s="21"/>
      <c r="B25" s="25" t="s">
        <v>29</v>
      </c>
      <c r="C25" s="31" t="s">
        <v>22</v>
      </c>
      <c r="D25" s="29">
        <f>29.2*0.9</f>
        <v>26.28</v>
      </c>
      <c r="E25" s="21"/>
      <c r="F25" s="21"/>
      <c r="G25" s="20"/>
      <c r="H25" s="20"/>
      <c r="I25" s="21"/>
      <c r="J25" s="21"/>
      <c r="K25" s="20"/>
    </row>
    <row r="26" spans="1:11" ht="15.6" customHeight="1" x14ac:dyDescent="0.3">
      <c r="A26" s="21"/>
      <c r="B26" s="25" t="s">
        <v>18</v>
      </c>
      <c r="C26" s="31" t="s">
        <v>22</v>
      </c>
      <c r="D26" s="29">
        <f>29.2*0.1</f>
        <v>2.92</v>
      </c>
      <c r="E26" s="21"/>
      <c r="F26" s="21"/>
      <c r="G26" s="20"/>
      <c r="H26" s="20"/>
      <c r="I26" s="21"/>
      <c r="J26" s="21"/>
      <c r="K26" s="20"/>
    </row>
    <row r="27" spans="1:11" ht="31.2" x14ac:dyDescent="0.3">
      <c r="A27" s="21"/>
      <c r="B27" s="25" t="s">
        <v>30</v>
      </c>
      <c r="C27" s="31" t="s">
        <v>28</v>
      </c>
      <c r="D27" s="29">
        <v>1</v>
      </c>
      <c r="E27" s="21"/>
      <c r="F27" s="21"/>
      <c r="G27" s="20"/>
      <c r="H27" s="20"/>
      <c r="I27" s="21"/>
      <c r="J27" s="21"/>
      <c r="K27" s="20"/>
    </row>
    <row r="28" spans="1:11" x14ac:dyDescent="0.3">
      <c r="A28" s="21"/>
      <c r="B28" s="32" t="s">
        <v>31</v>
      </c>
      <c r="C28" s="31" t="s">
        <v>28</v>
      </c>
      <c r="D28" s="29">
        <v>1</v>
      </c>
      <c r="E28" s="21"/>
      <c r="F28" s="21"/>
      <c r="G28" s="20"/>
      <c r="H28" s="20"/>
      <c r="I28" s="21"/>
      <c r="J28" s="21"/>
      <c r="K28" s="20"/>
    </row>
    <row r="29" spans="1:11" x14ac:dyDescent="0.3">
      <c r="A29" s="34"/>
      <c r="B29" s="25" t="s">
        <v>49</v>
      </c>
      <c r="C29" s="31"/>
      <c r="D29" s="29"/>
      <c r="E29" s="34"/>
      <c r="F29" s="34"/>
      <c r="G29" s="33"/>
      <c r="H29" s="33"/>
      <c r="I29" s="34"/>
      <c r="J29" s="34"/>
      <c r="K29" s="33"/>
    </row>
    <row r="30" spans="1:11" ht="31.2" x14ac:dyDescent="0.3">
      <c r="A30" s="27"/>
      <c r="B30" s="32" t="s">
        <v>39</v>
      </c>
      <c r="C30" s="31" t="s">
        <v>28</v>
      </c>
      <c r="D30" s="29">
        <v>1</v>
      </c>
      <c r="E30" s="27"/>
      <c r="F30" s="27"/>
      <c r="G30" s="26"/>
      <c r="H30" s="26"/>
      <c r="I30" s="27"/>
      <c r="J30" s="27"/>
      <c r="K30" s="26"/>
    </row>
    <row r="31" spans="1:11" ht="31.2" x14ac:dyDescent="0.3">
      <c r="A31" s="27"/>
      <c r="B31" s="32" t="s">
        <v>38</v>
      </c>
      <c r="C31" s="31" t="s">
        <v>28</v>
      </c>
      <c r="D31" s="29">
        <v>1</v>
      </c>
      <c r="E31" s="27"/>
      <c r="F31" s="27"/>
      <c r="G31" s="26"/>
      <c r="H31" s="26"/>
      <c r="I31" s="27"/>
      <c r="J31" s="27"/>
      <c r="K31" s="26"/>
    </row>
    <row r="32" spans="1:11" ht="31.2" x14ac:dyDescent="0.3">
      <c r="A32" s="27"/>
      <c r="B32" s="32" t="s">
        <v>41</v>
      </c>
      <c r="C32" s="31" t="s">
        <v>28</v>
      </c>
      <c r="D32" s="29">
        <v>2</v>
      </c>
      <c r="E32" s="27"/>
      <c r="F32" s="27"/>
      <c r="G32" s="26"/>
      <c r="H32" s="26"/>
      <c r="I32" s="27"/>
      <c r="J32" s="27"/>
      <c r="K32" s="26"/>
    </row>
    <row r="33" spans="1:11" ht="31.2" x14ac:dyDescent="0.3">
      <c r="A33" s="27"/>
      <c r="B33" s="32" t="s">
        <v>40</v>
      </c>
      <c r="C33" s="31" t="s">
        <v>28</v>
      </c>
      <c r="D33" s="29">
        <v>1</v>
      </c>
      <c r="E33" s="27"/>
      <c r="F33" s="27"/>
      <c r="G33" s="26"/>
      <c r="H33" s="26"/>
      <c r="I33" s="27"/>
      <c r="J33" s="27"/>
      <c r="K33" s="26"/>
    </row>
    <row r="34" spans="1:11" ht="31.2" x14ac:dyDescent="0.3">
      <c r="A34" s="27"/>
      <c r="B34" s="32" t="s">
        <v>42</v>
      </c>
      <c r="C34" s="31" t="s">
        <v>28</v>
      </c>
      <c r="D34" s="29">
        <v>2</v>
      </c>
      <c r="E34" s="27"/>
      <c r="F34" s="27"/>
      <c r="G34" s="26"/>
      <c r="H34" s="26"/>
      <c r="I34" s="27"/>
      <c r="J34" s="27"/>
      <c r="K34" s="26"/>
    </row>
    <row r="35" spans="1:11" ht="31.2" x14ac:dyDescent="0.3">
      <c r="A35" s="27"/>
      <c r="B35" s="32" t="s">
        <v>43</v>
      </c>
      <c r="C35" s="31" t="s">
        <v>28</v>
      </c>
      <c r="D35" s="29">
        <v>1.5</v>
      </c>
      <c r="E35" s="27"/>
      <c r="F35" s="27"/>
      <c r="G35" s="26"/>
      <c r="H35" s="26"/>
      <c r="I35" s="27"/>
      <c r="J35" s="27"/>
      <c r="K35" s="26"/>
    </row>
    <row r="36" spans="1:11" ht="15.6" customHeight="1" x14ac:dyDescent="0.3">
      <c r="A36" s="21"/>
      <c r="B36" s="25" t="s">
        <v>36</v>
      </c>
      <c r="C36" s="31" t="s">
        <v>28</v>
      </c>
      <c r="D36" s="29">
        <v>2</v>
      </c>
      <c r="E36" s="21"/>
      <c r="F36" s="21"/>
      <c r="G36" s="20"/>
      <c r="H36" s="20"/>
      <c r="I36" s="21"/>
      <c r="J36" s="21"/>
      <c r="K36" s="20"/>
    </row>
    <row r="37" spans="1:11" ht="15.6" customHeight="1" x14ac:dyDescent="0.3">
      <c r="A37" s="21"/>
      <c r="B37" s="32" t="s">
        <v>32</v>
      </c>
      <c r="C37" s="31" t="s">
        <v>28</v>
      </c>
      <c r="D37" s="29">
        <v>2</v>
      </c>
      <c r="E37" s="21"/>
      <c r="F37" s="21"/>
      <c r="G37" s="20"/>
      <c r="H37" s="20"/>
      <c r="I37" s="21"/>
      <c r="J37" s="21"/>
      <c r="K37" s="20"/>
    </row>
    <row r="38" spans="1:11" ht="33.6" x14ac:dyDescent="0.3">
      <c r="A38" s="21"/>
      <c r="B38" s="25" t="s">
        <v>44</v>
      </c>
      <c r="C38" s="31" t="s">
        <v>22</v>
      </c>
      <c r="D38" s="29">
        <v>21.9</v>
      </c>
      <c r="E38" s="21"/>
      <c r="F38" s="21"/>
      <c r="G38" s="20"/>
      <c r="H38" s="20"/>
      <c r="I38" s="21"/>
      <c r="J38" s="21"/>
      <c r="K38" s="20"/>
    </row>
    <row r="39" spans="1:11" x14ac:dyDescent="0.3">
      <c r="A39" s="21"/>
      <c r="B39" s="23" t="s">
        <v>112</v>
      </c>
      <c r="C39" s="31"/>
      <c r="D39" s="29"/>
      <c r="E39" s="21"/>
      <c r="F39" s="21"/>
      <c r="G39" s="20"/>
      <c r="H39" s="20"/>
      <c r="I39" s="21"/>
      <c r="J39" s="21"/>
      <c r="K39" s="20"/>
    </row>
    <row r="40" spans="1:11" ht="31.2" x14ac:dyDescent="0.3">
      <c r="A40" s="21"/>
      <c r="B40" s="24" t="s">
        <v>45</v>
      </c>
      <c r="C40" s="31" t="s">
        <v>23</v>
      </c>
      <c r="D40" s="29">
        <v>14.3</v>
      </c>
      <c r="E40" s="21"/>
      <c r="F40" s="21"/>
      <c r="G40" s="20"/>
      <c r="H40" s="20"/>
      <c r="I40" s="21"/>
      <c r="J40" s="21"/>
      <c r="K40" s="20"/>
    </row>
    <row r="41" spans="1:11" ht="15.6" customHeight="1" x14ac:dyDescent="0.3">
      <c r="A41" s="21"/>
      <c r="B41" s="25" t="s">
        <v>17</v>
      </c>
      <c r="C41" s="31" t="s">
        <v>22</v>
      </c>
      <c r="D41" s="29">
        <f>1.194*D40*0.9</f>
        <v>15.366780000000002</v>
      </c>
      <c r="E41" s="21"/>
      <c r="F41" s="21"/>
      <c r="G41" s="20"/>
      <c r="H41" s="20"/>
      <c r="I41" s="21"/>
      <c r="J41" s="21"/>
      <c r="K41" s="20"/>
    </row>
    <row r="42" spans="1:11" ht="15.6" customHeight="1" x14ac:dyDescent="0.3">
      <c r="A42" s="21"/>
      <c r="B42" s="25" t="s">
        <v>18</v>
      </c>
      <c r="C42" s="31" t="s">
        <v>22</v>
      </c>
      <c r="D42" s="54">
        <f>1.194*D40*0.1</f>
        <v>1.7074200000000002</v>
      </c>
      <c r="E42" s="21"/>
      <c r="F42" s="21"/>
      <c r="G42" s="20"/>
      <c r="H42" s="20"/>
      <c r="I42" s="21"/>
      <c r="J42" s="21"/>
      <c r="K42" s="20"/>
    </row>
    <row r="43" spans="1:11" ht="15.6" customHeight="1" x14ac:dyDescent="0.3">
      <c r="A43" s="21"/>
      <c r="B43" s="25" t="s">
        <v>20</v>
      </c>
      <c r="C43" s="31" t="s">
        <v>21</v>
      </c>
      <c r="D43" s="29">
        <f>0.9*D40</f>
        <v>12.870000000000001</v>
      </c>
      <c r="E43" s="21"/>
      <c r="F43" s="21"/>
      <c r="G43" s="20"/>
      <c r="H43" s="20"/>
      <c r="I43" s="21"/>
      <c r="J43" s="21"/>
      <c r="K43" s="20"/>
    </row>
    <row r="44" spans="1:11" ht="15.6" customHeight="1" x14ac:dyDescent="0.3">
      <c r="A44" s="21"/>
      <c r="B44" s="25" t="s">
        <v>19</v>
      </c>
      <c r="C44" s="31" t="s">
        <v>22</v>
      </c>
      <c r="D44" s="29">
        <f>0.32*2/10*D40</f>
        <v>0.91520000000000001</v>
      </c>
      <c r="E44" s="21"/>
      <c r="F44" s="21"/>
      <c r="G44" s="20"/>
      <c r="H44" s="20"/>
      <c r="I44" s="21"/>
      <c r="J44" s="21"/>
      <c r="K44" s="20"/>
    </row>
    <row r="45" spans="1:11" ht="15.6" customHeight="1" x14ac:dyDescent="0.3">
      <c r="A45" s="21"/>
      <c r="B45" s="25" t="s">
        <v>24</v>
      </c>
      <c r="C45" s="31" t="s">
        <v>22</v>
      </c>
      <c r="D45" s="29">
        <f>0.73*2/10*D40</f>
        <v>2.0878000000000001</v>
      </c>
      <c r="E45" s="21"/>
      <c r="F45" s="21"/>
      <c r="G45" s="20"/>
      <c r="H45" s="20"/>
      <c r="I45" s="21"/>
      <c r="J45" s="21"/>
      <c r="K45" s="20"/>
    </row>
    <row r="46" spans="1:11" ht="15.6" customHeight="1" x14ac:dyDescent="0.3">
      <c r="A46" s="21"/>
      <c r="B46" s="32" t="s">
        <v>25</v>
      </c>
      <c r="C46" s="31" t="s">
        <v>22</v>
      </c>
      <c r="D46" s="29">
        <f>D45*1.02</f>
        <v>2.129556</v>
      </c>
      <c r="E46" s="21"/>
      <c r="F46" s="21"/>
      <c r="G46" s="20"/>
      <c r="H46" s="20"/>
      <c r="I46" s="21"/>
      <c r="J46" s="21"/>
      <c r="K46" s="20"/>
    </row>
    <row r="47" spans="1:11" ht="15.6" customHeight="1" x14ac:dyDescent="0.3">
      <c r="A47" s="21"/>
      <c r="B47" s="32" t="s">
        <v>26</v>
      </c>
      <c r="C47" s="31" t="s">
        <v>27</v>
      </c>
      <c r="D47" s="29">
        <f>22.21*2/10*D40</f>
        <v>63.520600000000009</v>
      </c>
      <c r="E47" s="21"/>
      <c r="F47" s="21"/>
      <c r="G47" s="20"/>
      <c r="H47" s="20"/>
      <c r="I47" s="21"/>
      <c r="J47" s="21"/>
      <c r="K47" s="20"/>
    </row>
    <row r="48" spans="1:11" ht="15.6" customHeight="1" x14ac:dyDescent="0.3">
      <c r="A48" s="21"/>
      <c r="B48" s="25" t="s">
        <v>46</v>
      </c>
      <c r="C48" s="31" t="s">
        <v>23</v>
      </c>
      <c r="D48" s="29">
        <v>14.3</v>
      </c>
      <c r="E48" s="21"/>
      <c r="F48" s="21"/>
      <c r="G48" s="20"/>
      <c r="H48" s="20"/>
      <c r="I48" s="21"/>
      <c r="J48" s="21"/>
      <c r="K48" s="20"/>
    </row>
    <row r="49" spans="1:11" ht="31.2" x14ac:dyDescent="0.3">
      <c r="A49" s="21"/>
      <c r="B49" s="32" t="s">
        <v>34</v>
      </c>
      <c r="C49" s="31" t="s">
        <v>23</v>
      </c>
      <c r="D49" s="29">
        <f>14.3*2*1.1</f>
        <v>31.460000000000004</v>
      </c>
      <c r="E49" s="21"/>
      <c r="F49" s="21"/>
      <c r="G49" s="20"/>
      <c r="H49" s="20"/>
      <c r="I49" s="21"/>
      <c r="J49" s="21"/>
      <c r="K49" s="20"/>
    </row>
    <row r="50" spans="1:11" x14ac:dyDescent="0.3">
      <c r="A50" s="34"/>
      <c r="B50" s="32" t="s">
        <v>53</v>
      </c>
      <c r="C50" s="31" t="s">
        <v>28</v>
      </c>
      <c r="D50" s="29">
        <v>2</v>
      </c>
      <c r="E50" s="34"/>
      <c r="F50" s="34"/>
      <c r="G50" s="33"/>
      <c r="H50" s="33"/>
      <c r="I50" s="34"/>
      <c r="J50" s="34"/>
      <c r="K50" s="33"/>
    </row>
    <row r="51" spans="1:11" ht="15.6" customHeight="1" x14ac:dyDescent="0.3">
      <c r="A51" s="21"/>
      <c r="B51" s="32" t="s">
        <v>37</v>
      </c>
      <c r="C51" s="31" t="s">
        <v>28</v>
      </c>
      <c r="D51" s="29">
        <v>2</v>
      </c>
      <c r="E51" s="21"/>
      <c r="F51" s="21"/>
      <c r="G51" s="20"/>
      <c r="H51" s="20"/>
      <c r="I51" s="21"/>
      <c r="J51" s="21"/>
      <c r="K51" s="20"/>
    </row>
    <row r="52" spans="1:11" ht="33.6" x14ac:dyDescent="0.3">
      <c r="A52" s="21"/>
      <c r="B52" s="25" t="s">
        <v>35</v>
      </c>
      <c r="C52" s="31" t="s">
        <v>22</v>
      </c>
      <c r="D52" s="29">
        <v>8.8000000000000007</v>
      </c>
      <c r="E52" s="21"/>
      <c r="F52" s="21"/>
      <c r="G52" s="20"/>
      <c r="H52" s="20"/>
      <c r="I52" s="21"/>
      <c r="J52" s="21"/>
      <c r="K52" s="20"/>
    </row>
    <row r="53" spans="1:11" ht="15.6" customHeight="1" x14ac:dyDescent="0.3">
      <c r="A53" s="21"/>
      <c r="B53" s="43" t="s">
        <v>47</v>
      </c>
      <c r="C53" s="31" t="s">
        <v>28</v>
      </c>
      <c r="D53" s="29">
        <v>1</v>
      </c>
      <c r="E53" s="21"/>
      <c r="F53" s="21"/>
      <c r="G53" s="20"/>
      <c r="H53" s="20"/>
      <c r="I53" s="21"/>
      <c r="J53" s="21"/>
      <c r="K53" s="20"/>
    </row>
    <row r="54" spans="1:11" ht="15.6" customHeight="1" x14ac:dyDescent="0.3">
      <c r="A54" s="21"/>
      <c r="B54" s="25" t="s">
        <v>29</v>
      </c>
      <c r="C54" s="31" t="s">
        <v>22</v>
      </c>
      <c r="D54" s="29">
        <f>176.8*0.9</f>
        <v>159.12</v>
      </c>
      <c r="E54" s="21"/>
      <c r="F54" s="21"/>
      <c r="G54" s="20"/>
      <c r="H54" s="20"/>
      <c r="I54" s="21"/>
      <c r="J54" s="21"/>
      <c r="K54" s="20"/>
    </row>
    <row r="55" spans="1:11" ht="15.6" customHeight="1" x14ac:dyDescent="0.3">
      <c r="A55" s="21"/>
      <c r="B55" s="25" t="s">
        <v>18</v>
      </c>
      <c r="C55" s="31" t="s">
        <v>22</v>
      </c>
      <c r="D55" s="29">
        <f>176.8*0.1</f>
        <v>17.680000000000003</v>
      </c>
      <c r="E55" s="21"/>
      <c r="F55" s="21"/>
      <c r="G55" s="20"/>
      <c r="H55" s="20"/>
      <c r="I55" s="21"/>
      <c r="J55" s="21"/>
      <c r="K55" s="20"/>
    </row>
    <row r="56" spans="1:11" ht="31.2" x14ac:dyDescent="0.3">
      <c r="A56" s="21"/>
      <c r="B56" s="25" t="s">
        <v>48</v>
      </c>
      <c r="C56" s="31" t="s">
        <v>28</v>
      </c>
      <c r="D56" s="29">
        <v>1</v>
      </c>
      <c r="E56" s="21"/>
      <c r="F56" s="21"/>
      <c r="G56" s="20"/>
      <c r="H56" s="20"/>
      <c r="I56" s="21"/>
      <c r="J56" s="21"/>
      <c r="K56" s="20"/>
    </row>
    <row r="57" spans="1:11" ht="31.2" x14ac:dyDescent="0.3">
      <c r="A57" s="34"/>
      <c r="B57" s="25" t="s">
        <v>52</v>
      </c>
      <c r="C57" s="31" t="s">
        <v>28</v>
      </c>
      <c r="D57" s="29">
        <v>2</v>
      </c>
      <c r="E57" s="34"/>
      <c r="F57" s="34"/>
      <c r="G57" s="33"/>
      <c r="H57" s="33"/>
      <c r="I57" s="34"/>
      <c r="J57" s="34"/>
      <c r="K57" s="33"/>
    </row>
    <row r="58" spans="1:11" x14ac:dyDescent="0.3">
      <c r="A58" s="34"/>
      <c r="B58" s="32" t="s">
        <v>25</v>
      </c>
      <c r="C58" s="31" t="s">
        <v>22</v>
      </c>
      <c r="D58" s="29">
        <v>0.02</v>
      </c>
      <c r="E58" s="34"/>
      <c r="F58" s="34"/>
      <c r="G58" s="33"/>
      <c r="H58" s="33"/>
      <c r="I58" s="34"/>
      <c r="J58" s="34"/>
      <c r="K58" s="33"/>
    </row>
    <row r="59" spans="1:11" x14ac:dyDescent="0.3">
      <c r="A59" s="34"/>
      <c r="B59" s="25" t="s">
        <v>49</v>
      </c>
      <c r="C59" s="31"/>
      <c r="D59" s="29"/>
      <c r="E59" s="34"/>
      <c r="F59" s="34"/>
      <c r="G59" s="33"/>
      <c r="H59" s="33"/>
      <c r="I59" s="34"/>
      <c r="J59" s="34"/>
      <c r="K59" s="33"/>
    </row>
    <row r="60" spans="1:11" ht="15.6" customHeight="1" x14ac:dyDescent="0.3">
      <c r="A60" s="21"/>
      <c r="B60" s="32" t="s">
        <v>50</v>
      </c>
      <c r="C60" s="31" t="s">
        <v>28</v>
      </c>
      <c r="D60" s="29">
        <v>2</v>
      </c>
      <c r="E60" s="21"/>
      <c r="F60" s="21"/>
      <c r="G60" s="20"/>
      <c r="H60" s="20"/>
      <c r="I60" s="21"/>
      <c r="J60" s="21"/>
      <c r="K60" s="20"/>
    </row>
    <row r="61" spans="1:11" ht="31.2" x14ac:dyDescent="0.3">
      <c r="A61" s="21"/>
      <c r="B61" s="32" t="s">
        <v>51</v>
      </c>
      <c r="C61" s="31" t="s">
        <v>28</v>
      </c>
      <c r="D61" s="29">
        <v>5</v>
      </c>
      <c r="E61" s="21"/>
      <c r="F61" s="21"/>
      <c r="G61" s="20"/>
      <c r="H61" s="20"/>
      <c r="I61" s="21"/>
      <c r="J61" s="21"/>
      <c r="K61" s="20"/>
    </row>
    <row r="62" spans="1:11" ht="15.6" customHeight="1" x14ac:dyDescent="0.3">
      <c r="A62" s="21"/>
      <c r="B62" s="32" t="s">
        <v>41</v>
      </c>
      <c r="C62" s="31" t="s">
        <v>28</v>
      </c>
      <c r="D62" s="29">
        <v>4</v>
      </c>
      <c r="E62" s="21"/>
      <c r="F62" s="21"/>
      <c r="G62" s="20"/>
      <c r="H62" s="20"/>
      <c r="I62" s="21"/>
      <c r="J62" s="21"/>
      <c r="K62" s="20"/>
    </row>
    <row r="63" spans="1:11" ht="15.6" customHeight="1" x14ac:dyDescent="0.3">
      <c r="A63" s="21"/>
      <c r="B63" s="32" t="s">
        <v>42</v>
      </c>
      <c r="C63" s="31" t="s">
        <v>28</v>
      </c>
      <c r="D63" s="29">
        <v>2</v>
      </c>
      <c r="E63" s="21"/>
      <c r="F63" s="21"/>
      <c r="G63" s="20"/>
      <c r="H63" s="20"/>
      <c r="I63" s="21"/>
      <c r="J63" s="21"/>
      <c r="K63" s="20"/>
    </row>
    <row r="64" spans="1:11" ht="15.6" customHeight="1" x14ac:dyDescent="0.3">
      <c r="A64" s="21"/>
      <c r="B64" s="25" t="s">
        <v>36</v>
      </c>
      <c r="C64" s="31" t="s">
        <v>28</v>
      </c>
      <c r="D64" s="29">
        <v>4</v>
      </c>
      <c r="E64" s="21"/>
      <c r="F64" s="21"/>
      <c r="G64" s="20"/>
      <c r="H64" s="20"/>
      <c r="I64" s="21"/>
      <c r="J64" s="21"/>
      <c r="K64" s="20"/>
    </row>
    <row r="65" spans="1:12" ht="15.6" customHeight="1" x14ac:dyDescent="0.3">
      <c r="A65" s="21"/>
      <c r="B65" s="32" t="s">
        <v>32</v>
      </c>
      <c r="C65" s="31" t="s">
        <v>28</v>
      </c>
      <c r="D65" s="29">
        <v>4</v>
      </c>
      <c r="E65" s="21"/>
      <c r="F65" s="21"/>
      <c r="G65" s="20"/>
      <c r="H65" s="20"/>
      <c r="I65" s="21"/>
      <c r="J65" s="21"/>
      <c r="K65" s="20"/>
    </row>
    <row r="66" spans="1:12" ht="33.6" x14ac:dyDescent="0.3">
      <c r="A66" s="21"/>
      <c r="B66" s="25" t="s">
        <v>44</v>
      </c>
      <c r="C66" s="31" t="s">
        <v>22</v>
      </c>
      <c r="D66" s="29">
        <f>D54-68.07</f>
        <v>91.050000000000011</v>
      </c>
      <c r="E66" s="21"/>
      <c r="F66" s="21"/>
      <c r="G66" s="20"/>
      <c r="H66" s="20"/>
      <c r="I66" s="21"/>
      <c r="J66" s="21"/>
      <c r="K66" s="20"/>
    </row>
    <row r="67" spans="1:12" ht="31.2" x14ac:dyDescent="0.3">
      <c r="A67" s="21"/>
      <c r="B67" s="23" t="s">
        <v>113</v>
      </c>
      <c r="C67" s="31"/>
      <c r="D67" s="29"/>
      <c r="E67" s="21"/>
      <c r="F67" s="21"/>
      <c r="G67" s="20"/>
      <c r="H67" s="20"/>
      <c r="I67" s="21"/>
      <c r="J67" s="21"/>
      <c r="K67" s="20"/>
    </row>
    <row r="68" spans="1:12" ht="78" x14ac:dyDescent="0.3">
      <c r="A68" s="21"/>
      <c r="B68" s="24" t="s">
        <v>54</v>
      </c>
      <c r="C68" s="31" t="s">
        <v>23</v>
      </c>
      <c r="D68" s="29">
        <f>3.5+7.3+14.2+12.8+26.8+3.4+9.5</f>
        <v>77.5</v>
      </c>
      <c r="E68" s="21"/>
      <c r="F68" s="21"/>
      <c r="G68" s="20"/>
      <c r="H68" s="20"/>
      <c r="I68" s="21"/>
      <c r="J68" s="21"/>
      <c r="K68" s="20"/>
    </row>
    <row r="69" spans="1:12" ht="15.6" customHeight="1" x14ac:dyDescent="0.3">
      <c r="A69" s="21"/>
      <c r="B69" s="25" t="s">
        <v>17</v>
      </c>
      <c r="C69" s="31" t="s">
        <v>22</v>
      </c>
      <c r="D69" s="29">
        <f>(4+1.5)/2*5*77.5</f>
        <v>1065.625</v>
      </c>
      <c r="E69" s="21"/>
      <c r="F69" s="21"/>
      <c r="G69" s="20"/>
      <c r="H69" s="20"/>
      <c r="I69" s="21"/>
      <c r="J69" s="21"/>
      <c r="K69" s="20"/>
      <c r="L69" s="14" t="s">
        <v>143</v>
      </c>
    </row>
    <row r="70" spans="1:12" ht="15.6" customHeight="1" x14ac:dyDescent="0.3">
      <c r="A70" s="21"/>
      <c r="B70" s="25" t="s">
        <v>18</v>
      </c>
      <c r="C70" s="31" t="s">
        <v>22</v>
      </c>
      <c r="D70" s="29">
        <f>0.3+0.3+1.1+1+2.5+0.3+0.5</f>
        <v>6</v>
      </c>
      <c r="E70" s="21"/>
      <c r="F70" s="21"/>
      <c r="G70" s="20"/>
      <c r="H70" s="20"/>
      <c r="I70" s="21"/>
      <c r="J70" s="21"/>
      <c r="K70" s="20"/>
    </row>
    <row r="71" spans="1:12" ht="31.2" x14ac:dyDescent="0.3">
      <c r="A71" s="21"/>
      <c r="B71" s="25" t="s">
        <v>55</v>
      </c>
      <c r="C71" s="31" t="s">
        <v>21</v>
      </c>
      <c r="D71" s="29">
        <f>2.16+2.448+7.8+6.89+15.99+2.304+3.63</f>
        <v>41.222000000000008</v>
      </c>
      <c r="E71" s="21"/>
      <c r="F71" s="21"/>
      <c r="G71" s="20"/>
      <c r="H71" s="20"/>
      <c r="I71" s="21"/>
      <c r="J71" s="21"/>
      <c r="K71" s="20"/>
    </row>
    <row r="72" spans="1:12" ht="15.6" customHeight="1" x14ac:dyDescent="0.3">
      <c r="A72" s="21"/>
      <c r="B72" s="25" t="s">
        <v>19</v>
      </c>
      <c r="C72" s="31" t="s">
        <v>22</v>
      </c>
      <c r="D72" s="29">
        <f>D71*0.07</f>
        <v>2.8855400000000007</v>
      </c>
      <c r="E72" s="21"/>
      <c r="F72" s="21"/>
      <c r="G72" s="20"/>
      <c r="H72" s="20"/>
      <c r="I72" s="21"/>
      <c r="J72" s="21"/>
      <c r="K72" s="20"/>
    </row>
    <row r="73" spans="1:12" ht="15.6" customHeight="1" x14ac:dyDescent="0.3">
      <c r="A73" s="21"/>
      <c r="B73" s="25" t="s">
        <v>24</v>
      </c>
      <c r="C73" s="31" t="s">
        <v>22</v>
      </c>
      <c r="D73" s="29">
        <f>0.73/10*(2.4+2.4+2.56+2.56)+0.8/10*(5.1+7.56)+1.34/10*(12+10.6+24.6)</f>
        <v>8.0617599999999996</v>
      </c>
      <c r="E73" s="21"/>
      <c r="F73" s="21"/>
      <c r="G73" s="20"/>
      <c r="H73" s="20"/>
      <c r="I73" s="21"/>
      <c r="J73" s="21"/>
      <c r="K73" s="20"/>
    </row>
    <row r="74" spans="1:12" ht="15.6" customHeight="1" x14ac:dyDescent="0.3">
      <c r="A74" s="21"/>
      <c r="B74" s="32" t="s">
        <v>25</v>
      </c>
      <c r="C74" s="31" t="s">
        <v>22</v>
      </c>
      <c r="D74" s="29">
        <f>D73*1.02</f>
        <v>8.2229951999999997</v>
      </c>
      <c r="E74" s="21"/>
      <c r="F74" s="21"/>
      <c r="G74" s="20"/>
      <c r="H74" s="20"/>
      <c r="I74" s="21"/>
      <c r="J74" s="21"/>
      <c r="K74" s="20"/>
    </row>
    <row r="75" spans="1:12" ht="15.6" customHeight="1" x14ac:dyDescent="0.3">
      <c r="A75" s="21"/>
      <c r="B75" s="32" t="s">
        <v>26</v>
      </c>
      <c r="C75" s="31" t="s">
        <v>27</v>
      </c>
      <c r="D75" s="29">
        <f>(22.21/10*(2.4+2.4+2.56+2.56)+31.39/10*(5.1+7.56)+33.29/10*(12+10.3+24.6))*1.04</f>
        <v>226.6182464</v>
      </c>
      <c r="E75" s="21"/>
      <c r="F75" s="21"/>
      <c r="G75" s="20"/>
      <c r="H75" s="20"/>
      <c r="I75" s="21"/>
      <c r="J75" s="21"/>
      <c r="K75" s="20"/>
    </row>
    <row r="76" spans="1:12" ht="15.6" customHeight="1" x14ac:dyDescent="0.3">
      <c r="A76" s="21"/>
      <c r="B76" s="25" t="s">
        <v>57</v>
      </c>
      <c r="C76" s="31" t="s">
        <v>23</v>
      </c>
      <c r="D76" s="29">
        <f>3.5+3.4</f>
        <v>6.9</v>
      </c>
      <c r="E76" s="21"/>
      <c r="F76" s="21"/>
      <c r="G76" s="20"/>
      <c r="H76" s="20"/>
      <c r="I76" s="21"/>
      <c r="J76" s="21"/>
      <c r="K76" s="20"/>
    </row>
    <row r="77" spans="1:12" ht="15.6" customHeight="1" x14ac:dyDescent="0.3">
      <c r="A77" s="21"/>
      <c r="B77" s="32" t="s">
        <v>56</v>
      </c>
      <c r="C77" s="31" t="s">
        <v>23</v>
      </c>
      <c r="D77" s="29">
        <f>D76*2*1.1</f>
        <v>15.180000000000001</v>
      </c>
      <c r="E77" s="21"/>
      <c r="F77" s="21"/>
      <c r="G77" s="20"/>
      <c r="H77" s="20"/>
      <c r="I77" s="21"/>
      <c r="J77" s="21"/>
      <c r="K77" s="20"/>
    </row>
    <row r="78" spans="1:12" ht="15.6" customHeight="1" x14ac:dyDescent="0.3">
      <c r="A78" s="21"/>
      <c r="B78" s="25" t="s">
        <v>58</v>
      </c>
      <c r="C78" s="31" t="s">
        <v>23</v>
      </c>
      <c r="D78" s="29">
        <f>7.3+9.5</f>
        <v>16.8</v>
      </c>
      <c r="E78" s="21"/>
      <c r="F78" s="21"/>
      <c r="G78" s="20"/>
      <c r="H78" s="20"/>
      <c r="I78" s="21"/>
      <c r="J78" s="21"/>
      <c r="K78" s="20"/>
    </row>
    <row r="79" spans="1:12" ht="31.2" x14ac:dyDescent="0.3">
      <c r="A79" s="21"/>
      <c r="B79" s="32" t="s">
        <v>59</v>
      </c>
      <c r="C79" s="31" t="s">
        <v>23</v>
      </c>
      <c r="D79" s="29">
        <f>D78*1.1</f>
        <v>18.480000000000004</v>
      </c>
      <c r="E79" s="21"/>
      <c r="F79" s="21"/>
      <c r="G79" s="20"/>
      <c r="H79" s="20"/>
      <c r="I79" s="21"/>
      <c r="J79" s="21"/>
      <c r="K79" s="20"/>
    </row>
    <row r="80" spans="1:12" ht="15.6" customHeight="1" x14ac:dyDescent="0.3">
      <c r="A80" s="21"/>
      <c r="B80" s="25" t="s">
        <v>60</v>
      </c>
      <c r="C80" s="31" t="s">
        <v>23</v>
      </c>
      <c r="D80" s="29">
        <f>14.2+12.8+26.8</f>
        <v>53.8</v>
      </c>
      <c r="E80" s="21"/>
      <c r="F80" s="21"/>
      <c r="G80" s="20"/>
      <c r="H80" s="20"/>
      <c r="I80" s="21"/>
      <c r="J80" s="21"/>
      <c r="K80" s="20"/>
    </row>
    <row r="81" spans="1:12" ht="31.2" x14ac:dyDescent="0.3">
      <c r="A81" s="21"/>
      <c r="B81" s="32" t="s">
        <v>61</v>
      </c>
      <c r="C81" s="31" t="s">
        <v>23</v>
      </c>
      <c r="D81" s="29">
        <f>D80*1.1</f>
        <v>59.18</v>
      </c>
      <c r="E81" s="21"/>
      <c r="F81" s="21"/>
      <c r="G81" s="20"/>
      <c r="H81" s="20"/>
      <c r="I81" s="21"/>
      <c r="J81" s="21"/>
      <c r="K81" s="20"/>
    </row>
    <row r="82" spans="1:12" ht="33.6" x14ac:dyDescent="0.3">
      <c r="A82" s="2"/>
      <c r="B82" s="25" t="s">
        <v>35</v>
      </c>
      <c r="C82" s="3" t="s">
        <v>22</v>
      </c>
      <c r="D82" s="29">
        <f>(D69+D70)-(0.007*(2.4*2+2.56*2)+0.73/10*(2.4*2+2.56*2)+0.027*(5.1+7.56)+0.8/10*(12+10.6+24.6)+0.125*(12+10.6+24.8)+1.34/10*(12+10.6+24.8))</f>
        <v>1054.4369799999999</v>
      </c>
      <c r="E82" s="10"/>
      <c r="F82" s="4"/>
      <c r="G82" s="4"/>
      <c r="H82" s="4"/>
      <c r="I82" s="4"/>
      <c r="J82" s="4"/>
      <c r="K82" s="5"/>
    </row>
    <row r="83" spans="1:12" x14ac:dyDescent="0.3">
      <c r="A83" s="2"/>
      <c r="B83" s="43" t="s">
        <v>62</v>
      </c>
      <c r="C83" s="3" t="s">
        <v>28</v>
      </c>
      <c r="D83" s="29">
        <v>1</v>
      </c>
      <c r="E83" s="10"/>
      <c r="F83" s="4"/>
      <c r="G83" s="4"/>
      <c r="H83" s="4"/>
      <c r="I83" s="4"/>
      <c r="J83" s="4"/>
      <c r="K83" s="5"/>
    </row>
    <row r="84" spans="1:12" x14ac:dyDescent="0.3">
      <c r="A84" s="2"/>
      <c r="B84" s="25" t="s">
        <v>29</v>
      </c>
      <c r="C84" s="3" t="s">
        <v>22</v>
      </c>
      <c r="D84" s="55">
        <f>(4+8)/2*2*2</f>
        <v>24</v>
      </c>
      <c r="E84" s="10"/>
      <c r="F84" s="4"/>
      <c r="G84" s="4"/>
      <c r="H84" s="4"/>
      <c r="I84" s="4"/>
      <c r="J84" s="4"/>
      <c r="K84" s="5"/>
    </row>
    <row r="85" spans="1:12" x14ac:dyDescent="0.3">
      <c r="A85" s="2"/>
      <c r="B85" s="25" t="s">
        <v>18</v>
      </c>
      <c r="C85" s="3" t="s">
        <v>22</v>
      </c>
      <c r="D85" s="29">
        <v>1.1299999999999999</v>
      </c>
      <c r="E85" s="10"/>
      <c r="F85" s="4"/>
      <c r="G85" s="4"/>
      <c r="H85" s="4"/>
      <c r="I85" s="4"/>
      <c r="J85" s="4"/>
      <c r="K85" s="5"/>
    </row>
    <row r="86" spans="1:12" x14ac:dyDescent="0.3">
      <c r="A86" s="2"/>
      <c r="B86" s="25" t="s">
        <v>63</v>
      </c>
      <c r="C86" s="3" t="s">
        <v>21</v>
      </c>
      <c r="D86" s="29">
        <v>5.72</v>
      </c>
      <c r="E86" s="10"/>
      <c r="F86" s="4"/>
      <c r="G86" s="4"/>
      <c r="H86" s="4"/>
      <c r="I86" s="4"/>
      <c r="J86" s="4"/>
      <c r="K86" s="5"/>
    </row>
    <row r="87" spans="1:12" x14ac:dyDescent="0.3">
      <c r="A87" s="2"/>
      <c r="B87" s="25" t="s">
        <v>64</v>
      </c>
      <c r="C87" s="3" t="s">
        <v>22</v>
      </c>
      <c r="D87" s="29">
        <v>0.56999999999999995</v>
      </c>
      <c r="E87" s="10"/>
      <c r="F87" s="4"/>
      <c r="G87" s="4"/>
      <c r="H87" s="4"/>
      <c r="I87" s="4"/>
      <c r="J87" s="4"/>
      <c r="K87" s="5"/>
    </row>
    <row r="88" spans="1:12" ht="46.8" x14ac:dyDescent="0.3">
      <c r="A88" s="2"/>
      <c r="B88" s="25" t="s">
        <v>66</v>
      </c>
      <c r="C88" s="3" t="s">
        <v>21</v>
      </c>
      <c r="D88" s="29">
        <v>4.91</v>
      </c>
      <c r="E88" s="10"/>
      <c r="F88" s="4"/>
      <c r="G88" s="4"/>
      <c r="H88" s="4"/>
      <c r="I88" s="4"/>
      <c r="J88" s="4"/>
      <c r="K88" s="5"/>
    </row>
    <row r="89" spans="1:12" ht="31.2" x14ac:dyDescent="0.3">
      <c r="A89" s="2"/>
      <c r="B89" s="25" t="s">
        <v>65</v>
      </c>
      <c r="C89" s="3" t="s">
        <v>28</v>
      </c>
      <c r="D89" s="29">
        <v>1</v>
      </c>
      <c r="E89" s="10"/>
      <c r="F89" s="4"/>
      <c r="G89" s="4"/>
      <c r="H89" s="4"/>
      <c r="I89" s="4"/>
      <c r="J89" s="4"/>
      <c r="K89" s="5"/>
    </row>
    <row r="90" spans="1:12" x14ac:dyDescent="0.3">
      <c r="A90" s="2"/>
      <c r="B90" s="17" t="s">
        <v>67</v>
      </c>
      <c r="C90" s="3" t="s">
        <v>28</v>
      </c>
      <c r="D90" s="29">
        <v>1</v>
      </c>
      <c r="E90" s="10"/>
      <c r="F90" s="4"/>
      <c r="G90" s="4"/>
      <c r="H90" s="4"/>
      <c r="I90" s="4"/>
      <c r="J90" s="4"/>
      <c r="K90" s="5"/>
    </row>
    <row r="91" spans="1:12" x14ac:dyDescent="0.3">
      <c r="A91" s="2"/>
      <c r="B91" s="17" t="s">
        <v>68</v>
      </c>
      <c r="C91" s="3" t="s">
        <v>22</v>
      </c>
      <c r="D91" s="29">
        <f>0.05*1.02</f>
        <v>5.1000000000000004E-2</v>
      </c>
      <c r="E91" s="10"/>
      <c r="F91" s="4"/>
      <c r="G91" s="4"/>
      <c r="H91" s="4"/>
      <c r="I91" s="4"/>
      <c r="J91" s="4"/>
      <c r="K91" s="5"/>
    </row>
    <row r="92" spans="1:12" ht="46.8" x14ac:dyDescent="0.3">
      <c r="A92" s="2"/>
      <c r="B92" s="25" t="s">
        <v>70</v>
      </c>
      <c r="C92" s="3" t="s">
        <v>22</v>
      </c>
      <c r="D92" s="37">
        <v>1.2</v>
      </c>
      <c r="E92" s="10"/>
      <c r="F92" s="4"/>
      <c r="G92" s="4"/>
      <c r="H92" s="4"/>
      <c r="I92" s="4"/>
      <c r="J92" s="4"/>
      <c r="K92" s="5"/>
      <c r="L92" s="38" t="s">
        <v>69</v>
      </c>
    </row>
    <row r="93" spans="1:12" x14ac:dyDescent="0.3">
      <c r="A93" s="2"/>
      <c r="B93" s="17" t="s">
        <v>71</v>
      </c>
      <c r="C93" s="3" t="s">
        <v>22</v>
      </c>
      <c r="D93" s="37">
        <f>D92*1.02</f>
        <v>1.224</v>
      </c>
      <c r="E93" s="10"/>
      <c r="F93" s="4"/>
      <c r="G93" s="4"/>
      <c r="H93" s="4"/>
      <c r="I93" s="4"/>
      <c r="J93" s="4"/>
      <c r="K93" s="5"/>
      <c r="L93" s="38"/>
    </row>
    <row r="94" spans="1:12" ht="31.2" x14ac:dyDescent="0.3">
      <c r="A94" s="2"/>
      <c r="B94" s="25" t="s">
        <v>74</v>
      </c>
      <c r="C94" s="3" t="s">
        <v>28</v>
      </c>
      <c r="D94" s="29">
        <f>SUM(D95:D98)</f>
        <v>7</v>
      </c>
      <c r="E94" s="10"/>
      <c r="F94" s="4"/>
      <c r="G94" s="4"/>
      <c r="H94" s="4"/>
      <c r="I94" s="4"/>
      <c r="J94" s="4"/>
      <c r="K94" s="5"/>
    </row>
    <row r="95" spans="1:12" x14ac:dyDescent="0.3">
      <c r="A95" s="2"/>
      <c r="B95" s="17" t="s">
        <v>72</v>
      </c>
      <c r="C95" s="3" t="s">
        <v>28</v>
      </c>
      <c r="D95" s="29">
        <v>3</v>
      </c>
      <c r="E95" s="10"/>
      <c r="F95" s="4"/>
      <c r="G95" s="4"/>
      <c r="H95" s="4"/>
      <c r="I95" s="4"/>
      <c r="J95" s="4"/>
      <c r="K95" s="5"/>
    </row>
    <row r="96" spans="1:12" x14ac:dyDescent="0.3">
      <c r="A96" s="2"/>
      <c r="B96" s="17" t="s">
        <v>73</v>
      </c>
      <c r="C96" s="3" t="s">
        <v>28</v>
      </c>
      <c r="D96" s="29">
        <v>2</v>
      </c>
      <c r="E96" s="10"/>
      <c r="F96" s="4"/>
      <c r="G96" s="4"/>
      <c r="H96" s="4"/>
      <c r="I96" s="4"/>
      <c r="J96" s="4"/>
      <c r="K96" s="5"/>
    </row>
    <row r="97" spans="1:12" x14ac:dyDescent="0.3">
      <c r="A97" s="2"/>
      <c r="B97" s="17" t="s">
        <v>76</v>
      </c>
      <c r="C97" s="3" t="s">
        <v>28</v>
      </c>
      <c r="D97" s="29">
        <v>1</v>
      </c>
      <c r="E97" s="10"/>
      <c r="F97" s="4"/>
      <c r="G97" s="4"/>
      <c r="H97" s="4"/>
      <c r="I97" s="4"/>
      <c r="J97" s="4"/>
      <c r="K97" s="5"/>
    </row>
    <row r="98" spans="1:12" x14ac:dyDescent="0.3">
      <c r="A98" s="2"/>
      <c r="B98" s="40" t="s">
        <v>77</v>
      </c>
      <c r="C98" s="3" t="s">
        <v>28</v>
      </c>
      <c r="D98" s="37">
        <v>1</v>
      </c>
      <c r="E98" s="10"/>
      <c r="F98" s="4"/>
      <c r="G98" s="4"/>
      <c r="H98" s="4"/>
      <c r="I98" s="4"/>
      <c r="J98" s="4"/>
      <c r="K98" s="5"/>
      <c r="L98" s="38" t="s">
        <v>78</v>
      </c>
    </row>
    <row r="99" spans="1:12" ht="31.2" x14ac:dyDescent="0.3">
      <c r="A99" s="2"/>
      <c r="B99" s="25" t="s">
        <v>81</v>
      </c>
      <c r="C99" s="3" t="s">
        <v>28</v>
      </c>
      <c r="D99" s="29">
        <v>1</v>
      </c>
      <c r="E99" s="10"/>
      <c r="F99" s="4"/>
      <c r="G99" s="4"/>
      <c r="H99" s="4"/>
      <c r="I99" s="4"/>
      <c r="J99" s="4"/>
      <c r="K99" s="5"/>
    </row>
    <row r="100" spans="1:12" x14ac:dyDescent="0.3">
      <c r="A100" s="2"/>
      <c r="B100" s="17" t="s">
        <v>75</v>
      </c>
      <c r="C100" s="3" t="s">
        <v>28</v>
      </c>
      <c r="D100" s="29">
        <v>1</v>
      </c>
      <c r="E100" s="10"/>
      <c r="F100" s="4"/>
      <c r="G100" s="4"/>
      <c r="H100" s="4"/>
      <c r="I100" s="4"/>
      <c r="J100" s="4"/>
      <c r="K100" s="5"/>
    </row>
    <row r="101" spans="1:12" ht="31.2" x14ac:dyDescent="0.3">
      <c r="A101" s="2"/>
      <c r="B101" s="25" t="s">
        <v>82</v>
      </c>
      <c r="C101" s="3" t="s">
        <v>28</v>
      </c>
      <c r="D101" s="29">
        <v>1</v>
      </c>
      <c r="E101" s="10"/>
      <c r="F101" s="4"/>
      <c r="G101" s="4"/>
      <c r="H101" s="4"/>
      <c r="I101" s="4"/>
      <c r="J101" s="4"/>
      <c r="K101" s="5"/>
    </row>
    <row r="102" spans="1:12" x14ac:dyDescent="0.3">
      <c r="A102" s="2"/>
      <c r="B102" s="17" t="s">
        <v>80</v>
      </c>
      <c r="C102" s="3" t="s">
        <v>28</v>
      </c>
      <c r="D102" s="29">
        <v>1</v>
      </c>
      <c r="E102" s="10"/>
      <c r="F102" s="4"/>
      <c r="G102" s="4"/>
      <c r="H102" s="4"/>
      <c r="I102" s="4"/>
      <c r="J102" s="4"/>
      <c r="K102" s="5"/>
    </row>
    <row r="103" spans="1:12" x14ac:dyDescent="0.3">
      <c r="A103" s="2"/>
      <c r="B103" s="25" t="s">
        <v>83</v>
      </c>
      <c r="C103" s="3" t="s">
        <v>28</v>
      </c>
      <c r="D103" s="29">
        <v>1</v>
      </c>
      <c r="E103" s="10"/>
      <c r="F103" s="4"/>
      <c r="G103" s="4"/>
      <c r="H103" s="4"/>
      <c r="I103" s="4"/>
      <c r="J103" s="4"/>
      <c r="K103" s="5"/>
    </row>
    <row r="104" spans="1:12" x14ac:dyDescent="0.3">
      <c r="A104" s="2"/>
      <c r="B104" s="17" t="s">
        <v>84</v>
      </c>
      <c r="C104" s="3" t="s">
        <v>28</v>
      </c>
      <c r="D104" s="29">
        <v>1</v>
      </c>
      <c r="E104" s="10"/>
      <c r="F104" s="4"/>
      <c r="G104" s="4"/>
      <c r="H104" s="4"/>
      <c r="I104" s="4"/>
      <c r="J104" s="4"/>
      <c r="K104" s="5"/>
    </row>
    <row r="105" spans="1:12" ht="78" x14ac:dyDescent="0.3">
      <c r="A105" s="2"/>
      <c r="B105" s="41" t="s">
        <v>86</v>
      </c>
      <c r="C105" s="3" t="s">
        <v>21</v>
      </c>
      <c r="D105" s="29">
        <f>((0.3+0.03+0.013)*3.14*2.4)+16.77+7.4+0.64+0.32+0.1275+3.4</f>
        <v>31.242348000000003</v>
      </c>
      <c r="E105" s="10"/>
      <c r="F105" s="4"/>
      <c r="G105" s="4"/>
      <c r="H105" s="4"/>
      <c r="I105" s="4"/>
      <c r="J105" s="4"/>
      <c r="K105" s="5"/>
      <c r="L105" s="42" t="s">
        <v>85</v>
      </c>
    </row>
    <row r="106" spans="1:12" x14ac:dyDescent="0.3">
      <c r="A106" s="2"/>
      <c r="B106" s="25" t="s">
        <v>87</v>
      </c>
      <c r="C106" s="3" t="s">
        <v>28</v>
      </c>
      <c r="D106" s="29">
        <v>1</v>
      </c>
      <c r="E106" s="10"/>
      <c r="F106" s="4"/>
      <c r="G106" s="4"/>
      <c r="H106" s="4"/>
      <c r="I106" s="4"/>
      <c r="J106" s="4"/>
      <c r="K106" s="5"/>
    </row>
    <row r="107" spans="1:12" x14ac:dyDescent="0.3">
      <c r="A107" s="2"/>
      <c r="B107" s="17" t="s">
        <v>88</v>
      </c>
      <c r="C107" s="3" t="s">
        <v>27</v>
      </c>
      <c r="D107" s="29">
        <v>38.9</v>
      </c>
      <c r="E107" s="10"/>
      <c r="F107" s="4"/>
      <c r="G107" s="4"/>
      <c r="H107" s="4"/>
      <c r="I107" s="4"/>
      <c r="J107" s="4"/>
      <c r="K107" s="5"/>
    </row>
    <row r="108" spans="1:12" x14ac:dyDescent="0.3">
      <c r="A108" s="2"/>
      <c r="B108" s="25" t="s">
        <v>89</v>
      </c>
      <c r="C108" s="3" t="s">
        <v>28</v>
      </c>
      <c r="D108" s="29">
        <v>1</v>
      </c>
      <c r="E108" s="10"/>
      <c r="F108" s="4"/>
      <c r="G108" s="4"/>
      <c r="H108" s="4"/>
      <c r="I108" s="4"/>
      <c r="J108" s="4"/>
      <c r="K108" s="5"/>
    </row>
    <row r="109" spans="1:12" x14ac:dyDescent="0.3">
      <c r="A109" s="2"/>
      <c r="B109" s="17" t="s">
        <v>90</v>
      </c>
      <c r="C109" s="3" t="s">
        <v>27</v>
      </c>
      <c r="D109" s="29">
        <v>0.8</v>
      </c>
      <c r="E109" s="10"/>
      <c r="F109" s="4"/>
      <c r="G109" s="4"/>
      <c r="H109" s="4"/>
      <c r="I109" s="4"/>
      <c r="J109" s="4"/>
      <c r="K109" s="5"/>
    </row>
    <row r="110" spans="1:12" x14ac:dyDescent="0.3">
      <c r="A110" s="2"/>
      <c r="B110" s="25" t="s">
        <v>91</v>
      </c>
      <c r="C110" s="3" t="s">
        <v>28</v>
      </c>
      <c r="D110" s="29">
        <v>3</v>
      </c>
      <c r="E110" s="10"/>
      <c r="F110" s="4"/>
      <c r="G110" s="4"/>
      <c r="H110" s="4"/>
      <c r="I110" s="4"/>
      <c r="J110" s="4"/>
      <c r="K110" s="5"/>
    </row>
    <row r="111" spans="1:12" ht="33.6" x14ac:dyDescent="0.3">
      <c r="A111" s="2"/>
      <c r="B111" s="25" t="s">
        <v>92</v>
      </c>
      <c r="C111" s="3" t="s">
        <v>22</v>
      </c>
      <c r="D111" s="29">
        <f>D84+D85-(0.57+0.59+15.4+0.32)</f>
        <v>8.25</v>
      </c>
      <c r="E111" s="10"/>
      <c r="F111" s="4"/>
      <c r="G111" s="4"/>
      <c r="H111" s="4"/>
      <c r="I111" s="4"/>
      <c r="J111" s="4"/>
      <c r="K111" s="5"/>
    </row>
    <row r="112" spans="1:12" x14ac:dyDescent="0.3">
      <c r="A112" s="2"/>
      <c r="B112" s="43" t="s">
        <v>93</v>
      </c>
      <c r="C112" s="3" t="s">
        <v>28</v>
      </c>
      <c r="D112" s="46">
        <v>1</v>
      </c>
      <c r="E112" s="10"/>
      <c r="F112" s="4"/>
      <c r="G112" s="4"/>
      <c r="H112" s="4"/>
      <c r="I112" s="4"/>
      <c r="J112" s="4"/>
      <c r="K112" s="5"/>
    </row>
    <row r="113" spans="1:12" x14ac:dyDescent="0.3">
      <c r="A113" s="2"/>
      <c r="B113" s="25" t="s">
        <v>29</v>
      </c>
      <c r="C113" s="3" t="s">
        <v>22</v>
      </c>
      <c r="D113" s="55">
        <f>(4+8)/2*5*2</f>
        <v>60</v>
      </c>
      <c r="E113" s="10"/>
      <c r="F113" s="4"/>
      <c r="G113" s="4"/>
      <c r="H113" s="4"/>
      <c r="I113" s="4"/>
      <c r="J113" s="4"/>
      <c r="K113" s="5"/>
    </row>
    <row r="114" spans="1:12" x14ac:dyDescent="0.3">
      <c r="A114" s="2"/>
      <c r="B114" s="25" t="s">
        <v>18</v>
      </c>
      <c r="C114" s="3" t="s">
        <v>22</v>
      </c>
      <c r="D114" s="46">
        <v>1.1299999999999999</v>
      </c>
      <c r="E114" s="10"/>
      <c r="F114" s="4"/>
      <c r="G114" s="4"/>
      <c r="H114" s="4"/>
      <c r="I114" s="4"/>
      <c r="J114" s="4"/>
      <c r="K114" s="5"/>
    </row>
    <row r="115" spans="1:12" x14ac:dyDescent="0.3">
      <c r="A115" s="2"/>
      <c r="B115" s="25" t="s">
        <v>63</v>
      </c>
      <c r="C115" s="3" t="s">
        <v>21</v>
      </c>
      <c r="D115" s="46">
        <v>5.72</v>
      </c>
      <c r="E115" s="10"/>
      <c r="F115" s="4"/>
      <c r="G115" s="4"/>
      <c r="H115" s="4"/>
      <c r="I115" s="4"/>
      <c r="J115" s="4"/>
      <c r="K115" s="5"/>
    </row>
    <row r="116" spans="1:12" x14ac:dyDescent="0.3">
      <c r="A116" s="2"/>
      <c r="B116" s="25" t="s">
        <v>64</v>
      </c>
      <c r="C116" s="3" t="s">
        <v>22</v>
      </c>
      <c r="D116" s="46">
        <v>0.56999999999999995</v>
      </c>
      <c r="E116" s="10"/>
      <c r="F116" s="4"/>
      <c r="G116" s="4"/>
      <c r="H116" s="4"/>
      <c r="I116" s="4"/>
      <c r="J116" s="4"/>
      <c r="K116" s="5"/>
    </row>
    <row r="117" spans="1:12" ht="46.8" x14ac:dyDescent="0.3">
      <c r="A117" s="2"/>
      <c r="B117" s="25" t="s">
        <v>66</v>
      </c>
      <c r="C117" s="3" t="s">
        <v>21</v>
      </c>
      <c r="D117" s="46">
        <v>4.91</v>
      </c>
      <c r="E117" s="10"/>
      <c r="F117" s="4"/>
      <c r="G117" s="4"/>
      <c r="H117" s="4"/>
      <c r="I117" s="4"/>
      <c r="J117" s="4"/>
      <c r="K117" s="5"/>
    </row>
    <row r="118" spans="1:12" ht="31.2" x14ac:dyDescent="0.3">
      <c r="A118" s="2"/>
      <c r="B118" s="25" t="s">
        <v>65</v>
      </c>
      <c r="C118" s="3" t="s">
        <v>28</v>
      </c>
      <c r="D118" s="46">
        <v>1</v>
      </c>
      <c r="E118" s="10"/>
      <c r="F118" s="4"/>
      <c r="G118" s="4"/>
      <c r="H118" s="4"/>
      <c r="I118" s="4"/>
      <c r="J118" s="4"/>
      <c r="K118" s="5"/>
    </row>
    <row r="119" spans="1:12" x14ac:dyDescent="0.3">
      <c r="A119" s="2"/>
      <c r="B119" s="17" t="s">
        <v>67</v>
      </c>
      <c r="C119" s="3" t="s">
        <v>28</v>
      </c>
      <c r="D119" s="46">
        <v>1</v>
      </c>
      <c r="E119" s="10"/>
      <c r="F119" s="4"/>
      <c r="G119" s="4"/>
      <c r="H119" s="4"/>
      <c r="I119" s="4"/>
      <c r="J119" s="4"/>
      <c r="K119" s="5"/>
    </row>
    <row r="120" spans="1:12" x14ac:dyDescent="0.3">
      <c r="A120" s="2"/>
      <c r="B120" s="17" t="s">
        <v>68</v>
      </c>
      <c r="C120" s="3" t="s">
        <v>22</v>
      </c>
      <c r="D120" s="46">
        <f>0.05*1.02</f>
        <v>5.1000000000000004E-2</v>
      </c>
      <c r="E120" s="10"/>
      <c r="F120" s="4"/>
      <c r="G120" s="4"/>
      <c r="H120" s="4"/>
      <c r="I120" s="4"/>
      <c r="J120" s="4"/>
      <c r="K120" s="5"/>
    </row>
    <row r="121" spans="1:12" ht="46.8" x14ac:dyDescent="0.3">
      <c r="A121" s="2"/>
      <c r="B121" s="25" t="s">
        <v>70</v>
      </c>
      <c r="C121" s="3" t="s">
        <v>22</v>
      </c>
      <c r="D121" s="37">
        <v>1.2</v>
      </c>
      <c r="E121" s="10"/>
      <c r="F121" s="4"/>
      <c r="G121" s="4"/>
      <c r="H121" s="4"/>
      <c r="I121" s="4"/>
      <c r="J121" s="4"/>
      <c r="K121" s="5"/>
      <c r="L121" s="38" t="s">
        <v>69</v>
      </c>
    </row>
    <row r="122" spans="1:12" x14ac:dyDescent="0.3">
      <c r="A122" s="2"/>
      <c r="B122" s="17" t="s">
        <v>71</v>
      </c>
      <c r="C122" s="3" t="s">
        <v>22</v>
      </c>
      <c r="D122" s="37">
        <f>D121*1.02</f>
        <v>1.224</v>
      </c>
      <c r="E122" s="10"/>
      <c r="F122" s="4"/>
      <c r="G122" s="4"/>
      <c r="H122" s="4"/>
      <c r="I122" s="4"/>
      <c r="J122" s="4"/>
      <c r="K122" s="5"/>
      <c r="L122" s="38"/>
    </row>
    <row r="123" spans="1:12" ht="31.2" x14ac:dyDescent="0.3">
      <c r="A123" s="2"/>
      <c r="B123" s="25" t="s">
        <v>74</v>
      </c>
      <c r="C123" s="3" t="s">
        <v>28</v>
      </c>
      <c r="D123" s="46">
        <f>SUM(D124:D126)</f>
        <v>7</v>
      </c>
      <c r="E123" s="10"/>
      <c r="F123" s="4"/>
      <c r="G123" s="4"/>
      <c r="H123" s="4"/>
      <c r="I123" s="4"/>
      <c r="J123" s="4"/>
      <c r="K123" s="5"/>
    </row>
    <row r="124" spans="1:12" x14ac:dyDescent="0.3">
      <c r="A124" s="2"/>
      <c r="B124" s="17" t="s">
        <v>72</v>
      </c>
      <c r="C124" s="3" t="s">
        <v>28</v>
      </c>
      <c r="D124" s="46">
        <v>5</v>
      </c>
      <c r="E124" s="10"/>
      <c r="F124" s="4"/>
      <c r="G124" s="4"/>
      <c r="H124" s="4"/>
      <c r="I124" s="4"/>
      <c r="J124" s="4"/>
      <c r="K124" s="5"/>
    </row>
    <row r="125" spans="1:12" x14ac:dyDescent="0.3">
      <c r="A125" s="2"/>
      <c r="B125" s="17" t="s">
        <v>76</v>
      </c>
      <c r="C125" s="3" t="s">
        <v>28</v>
      </c>
      <c r="D125" s="46">
        <v>1</v>
      </c>
      <c r="E125" s="10"/>
      <c r="F125" s="4"/>
      <c r="G125" s="4"/>
      <c r="H125" s="4"/>
      <c r="I125" s="4"/>
      <c r="J125" s="4"/>
      <c r="K125" s="5"/>
    </row>
    <row r="126" spans="1:12" x14ac:dyDescent="0.3">
      <c r="A126" s="2"/>
      <c r="B126" s="40" t="s">
        <v>94</v>
      </c>
      <c r="C126" s="3" t="s">
        <v>28</v>
      </c>
      <c r="D126" s="46">
        <v>1</v>
      </c>
      <c r="E126" s="10"/>
      <c r="F126" s="4"/>
      <c r="G126" s="4"/>
      <c r="H126" s="4"/>
      <c r="I126" s="4"/>
      <c r="J126" s="4"/>
      <c r="K126" s="5"/>
      <c r="L126" s="38" t="s">
        <v>79</v>
      </c>
    </row>
    <row r="127" spans="1:12" ht="31.2" x14ac:dyDescent="0.3">
      <c r="A127" s="2"/>
      <c r="B127" s="25" t="s">
        <v>81</v>
      </c>
      <c r="C127" s="3" t="s">
        <v>28</v>
      </c>
      <c r="D127" s="46">
        <v>1</v>
      </c>
      <c r="E127" s="10"/>
      <c r="F127" s="4"/>
      <c r="G127" s="4"/>
      <c r="H127" s="4"/>
      <c r="I127" s="4"/>
      <c r="J127" s="4"/>
      <c r="K127" s="5"/>
    </row>
    <row r="128" spans="1:12" x14ac:dyDescent="0.3">
      <c r="A128" s="2"/>
      <c r="B128" s="17" t="s">
        <v>75</v>
      </c>
      <c r="C128" s="3" t="s">
        <v>28</v>
      </c>
      <c r="D128" s="46">
        <v>1</v>
      </c>
      <c r="E128" s="10"/>
      <c r="F128" s="4"/>
      <c r="G128" s="4"/>
      <c r="H128" s="4"/>
      <c r="I128" s="4"/>
      <c r="J128" s="4"/>
      <c r="K128" s="5"/>
    </row>
    <row r="129" spans="1:15" ht="31.2" x14ac:dyDescent="0.3">
      <c r="A129" s="2"/>
      <c r="B129" s="25" t="s">
        <v>82</v>
      </c>
      <c r="C129" s="3" t="s">
        <v>28</v>
      </c>
      <c r="D129" s="46">
        <v>1</v>
      </c>
      <c r="E129" s="10"/>
      <c r="F129" s="4"/>
      <c r="G129" s="4"/>
      <c r="H129" s="4"/>
      <c r="I129" s="4"/>
      <c r="J129" s="4"/>
      <c r="K129" s="5"/>
    </row>
    <row r="130" spans="1:15" x14ac:dyDescent="0.3">
      <c r="A130" s="2"/>
      <c r="B130" s="17" t="s">
        <v>80</v>
      </c>
      <c r="C130" s="3" t="s">
        <v>28</v>
      </c>
      <c r="D130" s="46">
        <v>1</v>
      </c>
      <c r="E130" s="10"/>
      <c r="F130" s="4"/>
      <c r="G130" s="4"/>
      <c r="H130" s="4"/>
      <c r="I130" s="4"/>
      <c r="J130" s="4"/>
      <c r="K130" s="5"/>
    </row>
    <row r="131" spans="1:15" x14ac:dyDescent="0.3">
      <c r="A131" s="2"/>
      <c r="B131" s="25" t="s">
        <v>83</v>
      </c>
      <c r="C131" s="3" t="s">
        <v>28</v>
      </c>
      <c r="D131" s="46">
        <v>1</v>
      </c>
      <c r="E131" s="10"/>
      <c r="F131" s="4"/>
      <c r="G131" s="4"/>
      <c r="H131" s="4"/>
      <c r="I131" s="4"/>
      <c r="J131" s="4"/>
      <c r="K131" s="5"/>
    </row>
    <row r="132" spans="1:15" x14ac:dyDescent="0.3">
      <c r="A132" s="2"/>
      <c r="B132" s="17" t="s">
        <v>84</v>
      </c>
      <c r="C132" s="3" t="s">
        <v>28</v>
      </c>
      <c r="D132" s="46">
        <v>1</v>
      </c>
      <c r="E132" s="10"/>
      <c r="F132" s="4"/>
      <c r="G132" s="4"/>
      <c r="H132" s="4"/>
      <c r="I132" s="4"/>
      <c r="J132" s="4"/>
      <c r="K132" s="5"/>
    </row>
    <row r="133" spans="1:15" ht="78" x14ac:dyDescent="0.3">
      <c r="A133" s="2"/>
      <c r="B133" s="41" t="s">
        <v>86</v>
      </c>
      <c r="C133" s="3" t="s">
        <v>21</v>
      </c>
      <c r="D133" s="46">
        <f>((0.5+0.03+0.044)*3.14*2.4)+27.95+0.64+0.21+0.1257+3.4</f>
        <v>36.651364000000001</v>
      </c>
      <c r="E133" s="10"/>
      <c r="F133" s="4"/>
      <c r="G133" s="4"/>
      <c r="H133" s="4"/>
      <c r="I133" s="4"/>
      <c r="J133" s="4"/>
      <c r="K133" s="5"/>
      <c r="L133" s="42" t="s">
        <v>85</v>
      </c>
    </row>
    <row r="134" spans="1:15" x14ac:dyDescent="0.3">
      <c r="A134" s="15"/>
      <c r="B134" s="48" t="s">
        <v>95</v>
      </c>
      <c r="C134" s="3" t="s">
        <v>28</v>
      </c>
      <c r="D134" s="47">
        <v>1</v>
      </c>
      <c r="E134" s="44"/>
      <c r="F134" s="45"/>
      <c r="G134" s="45"/>
      <c r="H134" s="45"/>
      <c r="I134" s="45"/>
      <c r="J134" s="45"/>
      <c r="K134" s="5"/>
    </row>
    <row r="135" spans="1:15" x14ac:dyDescent="0.3">
      <c r="A135" s="15"/>
      <c r="B135" s="17" t="s">
        <v>99</v>
      </c>
      <c r="C135" s="3" t="s">
        <v>27</v>
      </c>
      <c r="D135" s="47">
        <v>45.4</v>
      </c>
      <c r="E135" s="44"/>
      <c r="F135" s="45"/>
      <c r="G135" s="45"/>
      <c r="H135" s="45"/>
      <c r="I135" s="45"/>
      <c r="J135" s="45"/>
      <c r="K135" s="5"/>
    </row>
    <row r="136" spans="1:15" x14ac:dyDescent="0.3">
      <c r="B136" s="25" t="s">
        <v>89</v>
      </c>
      <c r="C136" s="3" t="s">
        <v>28</v>
      </c>
      <c r="D136" s="47">
        <v>1</v>
      </c>
      <c r="E136" s="44"/>
      <c r="F136" s="45"/>
      <c r="G136" s="45"/>
      <c r="H136" s="45"/>
      <c r="I136" s="45"/>
      <c r="J136" s="45"/>
      <c r="K136" s="5"/>
      <c r="L136" s="11"/>
      <c r="M136" s="11"/>
      <c r="O136" s="12"/>
    </row>
    <row r="137" spans="1:15" ht="18" customHeight="1" x14ac:dyDescent="0.3">
      <c r="B137" s="17" t="s">
        <v>90</v>
      </c>
      <c r="C137" s="3" t="s">
        <v>27</v>
      </c>
      <c r="D137" s="46">
        <v>0.8</v>
      </c>
      <c r="E137" s="44"/>
      <c r="F137" s="45"/>
      <c r="G137" s="45"/>
      <c r="H137" s="45"/>
      <c r="I137" s="45"/>
      <c r="J137" s="45"/>
      <c r="K137" s="5"/>
      <c r="O137" s="12"/>
    </row>
    <row r="138" spans="1:15" x14ac:dyDescent="0.3">
      <c r="B138" s="25" t="s">
        <v>91</v>
      </c>
      <c r="C138" s="3" t="s">
        <v>28</v>
      </c>
      <c r="D138" s="47">
        <v>3</v>
      </c>
      <c r="E138" s="44"/>
      <c r="F138" s="45"/>
      <c r="G138" s="45"/>
      <c r="H138" s="45"/>
      <c r="I138" s="45"/>
      <c r="J138" s="45"/>
      <c r="K138" s="5"/>
      <c r="O138" s="12"/>
    </row>
    <row r="139" spans="1:15" ht="33.6" x14ac:dyDescent="0.3">
      <c r="B139" s="25" t="s">
        <v>92</v>
      </c>
      <c r="C139" s="3" t="s">
        <v>22</v>
      </c>
      <c r="D139" s="46">
        <f>D113+D114-(0.57+0.59+17.67+0.27)</f>
        <v>42.03</v>
      </c>
      <c r="E139" s="44"/>
      <c r="F139" s="45"/>
      <c r="G139" s="45"/>
      <c r="H139" s="45"/>
      <c r="I139" s="45"/>
      <c r="J139" s="45"/>
      <c r="K139" s="5"/>
    </row>
    <row r="140" spans="1:15" x14ac:dyDescent="0.3">
      <c r="B140" s="43" t="s">
        <v>96</v>
      </c>
      <c r="C140" s="3" t="s">
        <v>28</v>
      </c>
      <c r="D140" s="46">
        <v>1</v>
      </c>
      <c r="E140" s="10"/>
      <c r="F140" s="4"/>
      <c r="G140" s="4"/>
      <c r="H140" s="4"/>
      <c r="I140" s="4"/>
      <c r="J140" s="4"/>
      <c r="K140" s="5"/>
    </row>
    <row r="141" spans="1:15" x14ac:dyDescent="0.3">
      <c r="B141" s="25" t="s">
        <v>29</v>
      </c>
      <c r="C141" s="3" t="s">
        <v>22</v>
      </c>
      <c r="D141" s="55">
        <f>(4+8)/2*5*2</f>
        <v>60</v>
      </c>
      <c r="E141" s="10"/>
      <c r="F141" s="4"/>
      <c r="G141" s="4"/>
      <c r="H141" s="4"/>
      <c r="I141" s="4"/>
      <c r="J141" s="4"/>
      <c r="K141" s="5"/>
    </row>
    <row r="142" spans="1:15" x14ac:dyDescent="0.3">
      <c r="B142" s="25" t="s">
        <v>18</v>
      </c>
      <c r="C142" s="3" t="s">
        <v>22</v>
      </c>
      <c r="D142" s="46">
        <v>1.1299999999999999</v>
      </c>
      <c r="E142" s="10"/>
      <c r="F142" s="4"/>
      <c r="G142" s="4"/>
      <c r="H142" s="4"/>
      <c r="I142" s="4"/>
      <c r="J142" s="4"/>
      <c r="K142" s="5"/>
    </row>
    <row r="143" spans="1:15" x14ac:dyDescent="0.3">
      <c r="B143" s="25" t="s">
        <v>63</v>
      </c>
      <c r="C143" s="3" t="s">
        <v>21</v>
      </c>
      <c r="D143" s="46">
        <v>5.72</v>
      </c>
      <c r="E143" s="10"/>
      <c r="F143" s="4"/>
      <c r="G143" s="4"/>
      <c r="H143" s="4"/>
      <c r="I143" s="4"/>
      <c r="J143" s="4"/>
      <c r="K143" s="5"/>
    </row>
    <row r="144" spans="1:15" x14ac:dyDescent="0.3">
      <c r="B144" s="25" t="s">
        <v>64</v>
      </c>
      <c r="C144" s="3" t="s">
        <v>22</v>
      </c>
      <c r="D144" s="46">
        <v>0.56999999999999995</v>
      </c>
      <c r="E144" s="10"/>
      <c r="F144" s="4"/>
      <c r="G144" s="4"/>
      <c r="H144" s="4"/>
      <c r="I144" s="4"/>
      <c r="J144" s="4"/>
      <c r="K144" s="5"/>
    </row>
    <row r="145" spans="2:12" ht="46.8" x14ac:dyDescent="0.3">
      <c r="B145" s="25" t="s">
        <v>66</v>
      </c>
      <c r="C145" s="3" t="s">
        <v>21</v>
      </c>
      <c r="D145" s="46">
        <v>4.91</v>
      </c>
      <c r="E145" s="10"/>
      <c r="F145" s="4"/>
      <c r="G145" s="4"/>
      <c r="H145" s="4"/>
      <c r="I145" s="4"/>
      <c r="J145" s="4"/>
      <c r="K145" s="5"/>
    </row>
    <row r="146" spans="2:12" ht="31.2" x14ac:dyDescent="0.3">
      <c r="B146" s="25" t="s">
        <v>65</v>
      </c>
      <c r="C146" s="3" t="s">
        <v>28</v>
      </c>
      <c r="D146" s="46">
        <v>1</v>
      </c>
      <c r="E146" s="10"/>
      <c r="F146" s="4"/>
      <c r="G146" s="4"/>
      <c r="H146" s="4"/>
      <c r="I146" s="4"/>
      <c r="J146" s="4"/>
      <c r="K146" s="5"/>
    </row>
    <row r="147" spans="2:12" x14ac:dyDescent="0.3">
      <c r="B147" s="17" t="s">
        <v>67</v>
      </c>
      <c r="C147" s="3" t="s">
        <v>28</v>
      </c>
      <c r="D147" s="46">
        <v>1</v>
      </c>
      <c r="E147" s="10"/>
      <c r="F147" s="4"/>
      <c r="G147" s="4"/>
      <c r="H147" s="4"/>
      <c r="I147" s="4"/>
      <c r="J147" s="4"/>
      <c r="K147" s="5"/>
    </row>
    <row r="148" spans="2:12" x14ac:dyDescent="0.3">
      <c r="B148" s="17" t="s">
        <v>97</v>
      </c>
      <c r="C148" s="3" t="s">
        <v>22</v>
      </c>
      <c r="D148" s="46">
        <f>0.05*1.02</f>
        <v>5.1000000000000004E-2</v>
      </c>
      <c r="E148" s="10"/>
      <c r="F148" s="4"/>
      <c r="G148" s="4"/>
      <c r="H148" s="4"/>
      <c r="I148" s="4"/>
      <c r="J148" s="4"/>
      <c r="K148" s="5"/>
    </row>
    <row r="149" spans="2:12" ht="46.8" x14ac:dyDescent="0.3">
      <c r="B149" s="25" t="s">
        <v>70</v>
      </c>
      <c r="C149" s="3" t="s">
        <v>22</v>
      </c>
      <c r="D149" s="37">
        <v>1.2</v>
      </c>
      <c r="E149" s="10"/>
      <c r="F149" s="4"/>
      <c r="G149" s="4"/>
      <c r="H149" s="4"/>
      <c r="I149" s="4"/>
      <c r="J149" s="4"/>
      <c r="K149" s="5"/>
      <c r="L149" s="38" t="s">
        <v>69</v>
      </c>
    </row>
    <row r="150" spans="2:12" x14ac:dyDescent="0.3">
      <c r="B150" s="17" t="s">
        <v>71</v>
      </c>
      <c r="C150" s="3" t="s">
        <v>22</v>
      </c>
      <c r="D150" s="37">
        <f>D149*1.02</f>
        <v>1.224</v>
      </c>
      <c r="E150" s="10"/>
      <c r="F150" s="4"/>
      <c r="G150" s="4"/>
      <c r="H150" s="4"/>
      <c r="I150" s="4"/>
      <c r="J150" s="4"/>
      <c r="K150" s="5"/>
      <c r="L150" s="38"/>
    </row>
    <row r="151" spans="2:12" ht="31.2" x14ac:dyDescent="0.3">
      <c r="B151" s="25" t="s">
        <v>74</v>
      </c>
      <c r="C151" s="3" t="s">
        <v>28</v>
      </c>
      <c r="D151" s="46">
        <f>SUM(D152:D154)</f>
        <v>5</v>
      </c>
      <c r="E151" s="10"/>
      <c r="F151" s="4"/>
      <c r="G151" s="4"/>
      <c r="H151" s="4"/>
      <c r="I151" s="4"/>
      <c r="J151" s="4"/>
      <c r="K151" s="5"/>
    </row>
    <row r="152" spans="2:12" x14ac:dyDescent="0.3">
      <c r="B152" s="17" t="s">
        <v>72</v>
      </c>
      <c r="C152" s="3" t="s">
        <v>28</v>
      </c>
      <c r="D152" s="46">
        <v>2</v>
      </c>
      <c r="E152" s="10"/>
      <c r="F152" s="4"/>
      <c r="G152" s="4"/>
      <c r="H152" s="4"/>
      <c r="I152" s="4"/>
      <c r="J152" s="4"/>
      <c r="K152" s="5"/>
    </row>
    <row r="153" spans="2:12" x14ac:dyDescent="0.3">
      <c r="B153" s="17" t="s">
        <v>73</v>
      </c>
      <c r="C153" s="3"/>
      <c r="D153" s="46">
        <v>2</v>
      </c>
      <c r="E153" s="10"/>
      <c r="F153" s="4"/>
      <c r="G153" s="4"/>
      <c r="H153" s="4"/>
      <c r="I153" s="4"/>
      <c r="J153" s="4"/>
      <c r="K153" s="5"/>
    </row>
    <row r="154" spans="2:12" x14ac:dyDescent="0.3">
      <c r="B154" s="17" t="s">
        <v>76</v>
      </c>
      <c r="C154" s="3" t="s">
        <v>28</v>
      </c>
      <c r="D154" s="46">
        <v>1</v>
      </c>
      <c r="E154" s="10"/>
      <c r="F154" s="4"/>
      <c r="G154" s="4"/>
      <c r="H154" s="4"/>
      <c r="I154" s="4"/>
      <c r="J154" s="4"/>
      <c r="K154" s="5"/>
    </row>
    <row r="155" spans="2:12" ht="31.2" x14ac:dyDescent="0.3">
      <c r="B155" s="25" t="s">
        <v>81</v>
      </c>
      <c r="C155" s="3" t="s">
        <v>28</v>
      </c>
      <c r="D155" s="46">
        <v>1</v>
      </c>
      <c r="E155" s="10"/>
      <c r="F155" s="4"/>
      <c r="G155" s="4"/>
      <c r="H155" s="4"/>
      <c r="I155" s="4"/>
      <c r="J155" s="4"/>
      <c r="K155" s="5"/>
    </row>
    <row r="156" spans="2:12" x14ac:dyDescent="0.3">
      <c r="B156" s="17" t="s">
        <v>75</v>
      </c>
      <c r="C156" s="3" t="s">
        <v>28</v>
      </c>
      <c r="D156" s="46">
        <v>1</v>
      </c>
      <c r="E156" s="10"/>
      <c r="F156" s="4"/>
      <c r="G156" s="4"/>
      <c r="H156" s="4"/>
      <c r="I156" s="4"/>
      <c r="J156" s="4"/>
      <c r="K156" s="5"/>
    </row>
    <row r="157" spans="2:12" ht="31.2" x14ac:dyDescent="0.3">
      <c r="B157" s="25" t="s">
        <v>82</v>
      </c>
      <c r="C157" s="3" t="s">
        <v>28</v>
      </c>
      <c r="D157" s="46">
        <v>1</v>
      </c>
      <c r="E157" s="10"/>
      <c r="F157" s="4"/>
      <c r="G157" s="4"/>
      <c r="H157" s="4"/>
      <c r="I157" s="4"/>
      <c r="J157" s="4"/>
      <c r="K157" s="5"/>
    </row>
    <row r="158" spans="2:12" x14ac:dyDescent="0.3">
      <c r="B158" s="17" t="s">
        <v>80</v>
      </c>
      <c r="C158" s="3" t="s">
        <v>28</v>
      </c>
      <c r="D158" s="46">
        <v>1</v>
      </c>
      <c r="E158" s="10"/>
      <c r="F158" s="4"/>
      <c r="G158" s="4"/>
      <c r="H158" s="4"/>
      <c r="I158" s="4"/>
      <c r="J158" s="4"/>
      <c r="K158" s="5"/>
    </row>
    <row r="159" spans="2:12" x14ac:dyDescent="0.3">
      <c r="B159" s="25" t="s">
        <v>83</v>
      </c>
      <c r="C159" s="3" t="s">
        <v>28</v>
      </c>
      <c r="D159" s="46">
        <v>1</v>
      </c>
      <c r="E159" s="10"/>
      <c r="F159" s="4"/>
      <c r="G159" s="4"/>
      <c r="H159" s="4"/>
      <c r="I159" s="4"/>
      <c r="J159" s="4"/>
      <c r="K159" s="5"/>
    </row>
    <row r="160" spans="2:12" x14ac:dyDescent="0.3">
      <c r="B160" s="17" t="s">
        <v>84</v>
      </c>
      <c r="C160" s="3" t="s">
        <v>28</v>
      </c>
      <c r="D160" s="46">
        <v>1</v>
      </c>
      <c r="E160" s="10"/>
      <c r="F160" s="4"/>
      <c r="G160" s="4"/>
      <c r="H160" s="4"/>
      <c r="I160" s="4"/>
      <c r="J160" s="4"/>
      <c r="K160" s="5"/>
    </row>
    <row r="161" spans="2:12" ht="78" x14ac:dyDescent="0.3">
      <c r="B161" s="41" t="s">
        <v>86</v>
      </c>
      <c r="C161" s="3" t="s">
        <v>21</v>
      </c>
      <c r="D161" s="46">
        <f>((0.5+0.03+0.044)*3.14*2.4)+11.18+7.4+0.64+0.1257+3.4</f>
        <v>27.071363999999999</v>
      </c>
      <c r="E161" s="10"/>
      <c r="F161" s="4"/>
      <c r="G161" s="4"/>
      <c r="H161" s="4"/>
      <c r="I161" s="4"/>
      <c r="J161" s="4"/>
      <c r="K161" s="5"/>
      <c r="L161" s="42" t="s">
        <v>85</v>
      </c>
    </row>
    <row r="162" spans="2:12" x14ac:dyDescent="0.3">
      <c r="B162" s="48" t="s">
        <v>98</v>
      </c>
      <c r="C162" s="3" t="s">
        <v>28</v>
      </c>
      <c r="D162" s="47">
        <v>1</v>
      </c>
      <c r="E162" s="44"/>
      <c r="F162" s="45"/>
      <c r="G162" s="45"/>
      <c r="H162" s="45"/>
      <c r="I162" s="45"/>
      <c r="J162" s="45"/>
      <c r="K162" s="5"/>
    </row>
    <row r="163" spans="2:12" x14ac:dyDescent="0.3">
      <c r="B163" s="17" t="s">
        <v>100</v>
      </c>
      <c r="C163" s="3" t="s">
        <v>27</v>
      </c>
      <c r="D163" s="47">
        <v>29.2</v>
      </c>
      <c r="E163" s="44"/>
      <c r="F163" s="45"/>
      <c r="G163" s="45"/>
      <c r="H163" s="45"/>
      <c r="I163" s="45"/>
      <c r="J163" s="45"/>
      <c r="K163" s="5"/>
    </row>
    <row r="164" spans="2:12" x14ac:dyDescent="0.3">
      <c r="B164" s="25" t="s">
        <v>89</v>
      </c>
      <c r="C164" s="3" t="s">
        <v>28</v>
      </c>
      <c r="D164" s="47">
        <v>1</v>
      </c>
      <c r="E164" s="44"/>
      <c r="F164" s="45"/>
      <c r="G164" s="45"/>
      <c r="H164" s="45"/>
      <c r="I164" s="45"/>
      <c r="J164" s="45"/>
      <c r="K164" s="5"/>
      <c r="L164" s="11"/>
    </row>
    <row r="165" spans="2:12" x14ac:dyDescent="0.3">
      <c r="B165" s="17" t="s">
        <v>90</v>
      </c>
      <c r="C165" s="3" t="s">
        <v>27</v>
      </c>
      <c r="D165" s="46">
        <v>0.8</v>
      </c>
      <c r="E165" s="44"/>
      <c r="F165" s="45"/>
      <c r="G165" s="45"/>
      <c r="H165" s="45"/>
      <c r="I165" s="45"/>
      <c r="J165" s="45"/>
      <c r="K165" s="5"/>
    </row>
    <row r="166" spans="2:12" x14ac:dyDescent="0.3">
      <c r="B166" s="25" t="s">
        <v>91</v>
      </c>
      <c r="C166" s="3" t="s">
        <v>28</v>
      </c>
      <c r="D166" s="47">
        <v>2</v>
      </c>
      <c r="E166" s="44"/>
      <c r="F166" s="45"/>
      <c r="G166" s="45"/>
      <c r="H166" s="45"/>
      <c r="I166" s="45"/>
      <c r="J166" s="45"/>
      <c r="K166" s="5"/>
    </row>
    <row r="167" spans="2:12" ht="33.6" x14ac:dyDescent="0.3">
      <c r="B167" s="25" t="s">
        <v>92</v>
      </c>
      <c r="C167" s="3" t="s">
        <v>22</v>
      </c>
      <c r="D167" s="46">
        <f>D141+D142-(0.57+0.59+11.97+0.27)</f>
        <v>47.730000000000004</v>
      </c>
      <c r="E167" s="44"/>
      <c r="F167" s="45"/>
      <c r="G167" s="45"/>
      <c r="H167" s="45"/>
      <c r="I167" s="45"/>
      <c r="J167" s="45"/>
      <c r="K167" s="5"/>
    </row>
    <row r="168" spans="2:12" x14ac:dyDescent="0.3">
      <c r="B168" s="43" t="s">
        <v>101</v>
      </c>
      <c r="C168" s="3" t="s">
        <v>28</v>
      </c>
      <c r="D168" s="46">
        <v>1</v>
      </c>
      <c r="E168" s="10"/>
      <c r="F168" s="4"/>
      <c r="G168" s="4"/>
      <c r="H168" s="4"/>
      <c r="I168" s="4"/>
      <c r="J168" s="4"/>
      <c r="K168" s="5"/>
    </row>
    <row r="169" spans="2:12" x14ac:dyDescent="0.3">
      <c r="B169" s="48" t="s">
        <v>29</v>
      </c>
      <c r="C169" s="3" t="s">
        <v>22</v>
      </c>
      <c r="D169" s="55">
        <f>(4+8)/2*5*2</f>
        <v>60</v>
      </c>
      <c r="E169" s="10"/>
      <c r="F169" s="4"/>
      <c r="G169" s="4"/>
      <c r="H169" s="4"/>
      <c r="I169" s="4"/>
      <c r="J169" s="4"/>
      <c r="K169" s="5"/>
    </row>
    <row r="170" spans="2:12" x14ac:dyDescent="0.3">
      <c r="B170" s="48" t="s">
        <v>18</v>
      </c>
      <c r="C170" s="3" t="s">
        <v>22</v>
      </c>
      <c r="D170" s="46">
        <v>1.1299999999999999</v>
      </c>
      <c r="E170" s="10"/>
      <c r="F170" s="4"/>
      <c r="G170" s="4"/>
      <c r="H170" s="4"/>
      <c r="I170" s="4"/>
      <c r="J170" s="4"/>
      <c r="K170" s="5"/>
    </row>
    <row r="171" spans="2:12" x14ac:dyDescent="0.3">
      <c r="B171" s="48" t="s">
        <v>63</v>
      </c>
      <c r="C171" s="3" t="s">
        <v>21</v>
      </c>
      <c r="D171" s="46">
        <v>5.72</v>
      </c>
      <c r="E171" s="10"/>
      <c r="F171" s="4"/>
      <c r="G171" s="4"/>
      <c r="H171" s="4"/>
      <c r="I171" s="4"/>
      <c r="J171" s="4"/>
      <c r="K171" s="5"/>
    </row>
    <row r="172" spans="2:12" x14ac:dyDescent="0.3">
      <c r="B172" s="48" t="s">
        <v>64</v>
      </c>
      <c r="C172" s="3" t="s">
        <v>22</v>
      </c>
      <c r="D172" s="46">
        <v>0.56999999999999995</v>
      </c>
      <c r="E172" s="10"/>
      <c r="F172" s="4"/>
      <c r="G172" s="4"/>
      <c r="H172" s="4"/>
      <c r="I172" s="4"/>
      <c r="J172" s="4"/>
      <c r="K172" s="5"/>
    </row>
    <row r="173" spans="2:12" ht="46.8" x14ac:dyDescent="0.3">
      <c r="B173" s="48" t="s">
        <v>66</v>
      </c>
      <c r="C173" s="3" t="s">
        <v>21</v>
      </c>
      <c r="D173" s="46">
        <v>4.91</v>
      </c>
      <c r="E173" s="10"/>
      <c r="F173" s="4"/>
      <c r="G173" s="4"/>
      <c r="H173" s="4"/>
      <c r="I173" s="4"/>
      <c r="J173" s="4"/>
      <c r="K173" s="5"/>
    </row>
    <row r="174" spans="2:12" ht="31.2" x14ac:dyDescent="0.3">
      <c r="B174" s="48" t="s">
        <v>65</v>
      </c>
      <c r="C174" s="3" t="s">
        <v>28</v>
      </c>
      <c r="D174" s="46">
        <v>1</v>
      </c>
      <c r="E174" s="10"/>
      <c r="F174" s="4"/>
      <c r="G174" s="4"/>
      <c r="H174" s="4"/>
      <c r="I174" s="4"/>
      <c r="J174" s="4"/>
      <c r="K174" s="5"/>
    </row>
    <row r="175" spans="2:12" x14ac:dyDescent="0.3">
      <c r="B175" s="17" t="s">
        <v>67</v>
      </c>
      <c r="C175" s="3" t="s">
        <v>28</v>
      </c>
      <c r="D175" s="46">
        <v>1</v>
      </c>
      <c r="E175" s="10"/>
      <c r="F175" s="4"/>
      <c r="G175" s="4"/>
      <c r="H175" s="4"/>
      <c r="I175" s="4"/>
      <c r="J175" s="4"/>
      <c r="K175" s="5"/>
    </row>
    <row r="176" spans="2:12" x14ac:dyDescent="0.3">
      <c r="B176" s="17" t="s">
        <v>97</v>
      </c>
      <c r="C176" s="3" t="s">
        <v>22</v>
      </c>
      <c r="D176" s="46">
        <f>0.05*1.02</f>
        <v>5.1000000000000004E-2</v>
      </c>
      <c r="E176" s="10"/>
      <c r="F176" s="4"/>
      <c r="G176" s="4"/>
      <c r="H176" s="4"/>
      <c r="I176" s="4"/>
      <c r="J176" s="4"/>
      <c r="K176" s="5"/>
    </row>
    <row r="177" spans="2:12" ht="46.8" x14ac:dyDescent="0.3">
      <c r="B177" s="25" t="s">
        <v>70</v>
      </c>
      <c r="C177" s="3" t="s">
        <v>22</v>
      </c>
      <c r="D177" s="37">
        <v>1.2</v>
      </c>
      <c r="E177" s="10"/>
      <c r="F177" s="4"/>
      <c r="G177" s="4"/>
      <c r="H177" s="4"/>
      <c r="I177" s="4"/>
      <c r="J177" s="4"/>
      <c r="K177" s="5"/>
      <c r="L177" s="38" t="s">
        <v>69</v>
      </c>
    </row>
    <row r="178" spans="2:12" x14ac:dyDescent="0.3">
      <c r="B178" s="17" t="s">
        <v>71</v>
      </c>
      <c r="C178" s="3" t="s">
        <v>22</v>
      </c>
      <c r="D178" s="37">
        <f>D177*1.02</f>
        <v>1.224</v>
      </c>
      <c r="E178" s="10"/>
      <c r="F178" s="4"/>
      <c r="G178" s="4"/>
      <c r="H178" s="4"/>
      <c r="I178" s="4"/>
      <c r="J178" s="4"/>
      <c r="K178" s="5"/>
      <c r="L178" s="38"/>
    </row>
    <row r="179" spans="2:12" ht="31.2" x14ac:dyDescent="0.3">
      <c r="B179" s="25" t="s">
        <v>74</v>
      </c>
      <c r="C179" s="3" t="s">
        <v>28</v>
      </c>
      <c r="D179" s="46">
        <f>SUM(D180:D182)</f>
        <v>5</v>
      </c>
      <c r="E179" s="10"/>
      <c r="F179" s="4"/>
      <c r="G179" s="4"/>
      <c r="H179" s="4"/>
      <c r="I179" s="4"/>
      <c r="J179" s="4"/>
      <c r="K179" s="5"/>
    </row>
    <row r="180" spans="2:12" x14ac:dyDescent="0.3">
      <c r="B180" s="17" t="s">
        <v>72</v>
      </c>
      <c r="C180" s="3" t="s">
        <v>28</v>
      </c>
      <c r="D180" s="46">
        <v>2</v>
      </c>
      <c r="E180" s="10"/>
      <c r="F180" s="4"/>
      <c r="G180" s="4"/>
      <c r="H180" s="4"/>
      <c r="I180" s="4"/>
      <c r="J180" s="4"/>
      <c r="K180" s="5"/>
    </row>
    <row r="181" spans="2:12" x14ac:dyDescent="0.3">
      <c r="B181" s="17" t="s">
        <v>73</v>
      </c>
      <c r="C181" s="3"/>
      <c r="D181" s="46">
        <v>2</v>
      </c>
      <c r="E181" s="10"/>
      <c r="F181" s="4"/>
      <c r="G181" s="4"/>
      <c r="H181" s="4"/>
      <c r="I181" s="4"/>
      <c r="J181" s="4"/>
      <c r="K181" s="5"/>
    </row>
    <row r="182" spans="2:12" x14ac:dyDescent="0.3">
      <c r="B182" s="17" t="s">
        <v>76</v>
      </c>
      <c r="C182" s="3" t="s">
        <v>28</v>
      </c>
      <c r="D182" s="46">
        <v>1</v>
      </c>
      <c r="E182" s="10"/>
      <c r="F182" s="4"/>
      <c r="G182" s="4"/>
      <c r="H182" s="4"/>
      <c r="I182" s="4"/>
      <c r="J182" s="4"/>
      <c r="K182" s="5"/>
    </row>
    <row r="183" spans="2:12" ht="31.2" x14ac:dyDescent="0.3">
      <c r="B183" s="48" t="s">
        <v>81</v>
      </c>
      <c r="C183" s="3" t="s">
        <v>28</v>
      </c>
      <c r="D183" s="46">
        <v>1</v>
      </c>
      <c r="E183" s="10"/>
      <c r="F183" s="4"/>
      <c r="G183" s="4"/>
      <c r="H183" s="4"/>
      <c r="I183" s="4"/>
      <c r="J183" s="4"/>
      <c r="K183" s="5"/>
    </row>
    <row r="184" spans="2:12" x14ac:dyDescent="0.3">
      <c r="B184" s="17" t="s">
        <v>75</v>
      </c>
      <c r="C184" s="3" t="s">
        <v>28</v>
      </c>
      <c r="D184" s="46">
        <v>1</v>
      </c>
      <c r="E184" s="10"/>
      <c r="F184" s="4"/>
      <c r="G184" s="4"/>
      <c r="H184" s="4"/>
      <c r="I184" s="4"/>
      <c r="J184" s="4"/>
      <c r="K184" s="5"/>
    </row>
    <row r="185" spans="2:12" ht="31.2" x14ac:dyDescent="0.3">
      <c r="B185" s="25" t="s">
        <v>82</v>
      </c>
      <c r="C185" s="3" t="s">
        <v>28</v>
      </c>
      <c r="D185" s="46">
        <v>2</v>
      </c>
      <c r="E185" s="10"/>
      <c r="F185" s="4"/>
      <c r="G185" s="4"/>
      <c r="H185" s="4"/>
      <c r="I185" s="4"/>
      <c r="J185" s="4"/>
      <c r="K185" s="5"/>
    </row>
    <row r="186" spans="2:12" x14ac:dyDescent="0.3">
      <c r="B186" s="17" t="s">
        <v>80</v>
      </c>
      <c r="C186" s="3" t="s">
        <v>28</v>
      </c>
      <c r="D186" s="46">
        <v>2</v>
      </c>
      <c r="E186" s="10"/>
      <c r="F186" s="4"/>
      <c r="G186" s="4"/>
      <c r="H186" s="4"/>
      <c r="I186" s="4"/>
      <c r="J186" s="4"/>
      <c r="K186" s="5"/>
    </row>
    <row r="187" spans="2:12" x14ac:dyDescent="0.3">
      <c r="B187" s="25" t="s">
        <v>83</v>
      </c>
      <c r="C187" s="3" t="s">
        <v>28</v>
      </c>
      <c r="D187" s="46">
        <v>1</v>
      </c>
      <c r="E187" s="10"/>
      <c r="F187" s="4"/>
      <c r="G187" s="4"/>
      <c r="H187" s="4"/>
      <c r="I187" s="4"/>
      <c r="J187" s="4"/>
      <c r="K187" s="5"/>
    </row>
    <row r="188" spans="2:12" x14ac:dyDescent="0.3">
      <c r="B188" s="17" t="s">
        <v>84</v>
      </c>
      <c r="C188" s="3" t="s">
        <v>28</v>
      </c>
      <c r="D188" s="46">
        <v>1</v>
      </c>
      <c r="E188" s="10"/>
      <c r="F188" s="4"/>
      <c r="G188" s="4"/>
      <c r="H188" s="4"/>
      <c r="I188" s="4"/>
      <c r="J188" s="4"/>
      <c r="K188" s="5"/>
    </row>
    <row r="189" spans="2:12" ht="78" x14ac:dyDescent="0.3">
      <c r="B189" s="41" t="s">
        <v>86</v>
      </c>
      <c r="C189" s="3" t="s">
        <v>21</v>
      </c>
      <c r="D189" s="46">
        <f>((0.5+0.03+0.044)*3.14*2.4)+11.18+7.4+0.64+2.55+3.4</f>
        <v>29.495664000000001</v>
      </c>
      <c r="E189" s="10"/>
      <c r="F189" s="4"/>
      <c r="G189" s="4"/>
      <c r="H189" s="4"/>
      <c r="I189" s="4"/>
      <c r="J189" s="4"/>
      <c r="K189" s="5"/>
      <c r="L189" s="42" t="s">
        <v>85</v>
      </c>
    </row>
    <row r="190" spans="2:12" x14ac:dyDescent="0.3">
      <c r="B190" s="48" t="s">
        <v>98</v>
      </c>
      <c r="C190" s="3" t="s">
        <v>28</v>
      </c>
      <c r="D190" s="47">
        <v>1</v>
      </c>
      <c r="E190" s="44"/>
      <c r="F190" s="45"/>
      <c r="G190" s="45"/>
      <c r="H190" s="45"/>
      <c r="I190" s="45"/>
      <c r="J190" s="45"/>
      <c r="K190" s="5"/>
    </row>
    <row r="191" spans="2:12" x14ac:dyDescent="0.3">
      <c r="B191" s="17" t="s">
        <v>100</v>
      </c>
      <c r="C191" s="3" t="s">
        <v>27</v>
      </c>
      <c r="D191" s="47">
        <v>29.2</v>
      </c>
      <c r="E191" s="44"/>
      <c r="F191" s="45"/>
      <c r="G191" s="45"/>
      <c r="H191" s="45"/>
      <c r="I191" s="45"/>
      <c r="J191" s="45"/>
      <c r="K191" s="5"/>
    </row>
    <row r="192" spans="2:12" x14ac:dyDescent="0.3">
      <c r="B192" s="25" t="s">
        <v>89</v>
      </c>
      <c r="C192" s="3" t="s">
        <v>28</v>
      </c>
      <c r="D192" s="47">
        <v>1</v>
      </c>
      <c r="E192" s="44"/>
      <c r="F192" s="45"/>
      <c r="G192" s="45"/>
      <c r="H192" s="45"/>
      <c r="I192" s="45"/>
      <c r="J192" s="45"/>
      <c r="K192" s="5"/>
      <c r="L192" s="11"/>
    </row>
    <row r="193" spans="2:12" x14ac:dyDescent="0.3">
      <c r="B193" s="17" t="s">
        <v>90</v>
      </c>
      <c r="C193" s="3" t="s">
        <v>27</v>
      </c>
      <c r="D193" s="46">
        <v>0.8</v>
      </c>
      <c r="E193" s="44"/>
      <c r="F193" s="45"/>
      <c r="G193" s="45"/>
      <c r="H193" s="45"/>
      <c r="I193" s="45"/>
      <c r="J193" s="45"/>
      <c r="K193" s="5"/>
    </row>
    <row r="194" spans="2:12" x14ac:dyDescent="0.3">
      <c r="B194" s="25" t="s">
        <v>91</v>
      </c>
      <c r="C194" s="3" t="s">
        <v>28</v>
      </c>
      <c r="D194" s="47">
        <v>3</v>
      </c>
      <c r="E194" s="44"/>
      <c r="F194" s="45"/>
      <c r="G194" s="45"/>
      <c r="H194" s="45"/>
      <c r="I194" s="45"/>
      <c r="J194" s="45"/>
      <c r="K194" s="5"/>
    </row>
    <row r="195" spans="2:12" ht="33.6" x14ac:dyDescent="0.3">
      <c r="B195" s="25" t="s">
        <v>92</v>
      </c>
      <c r="C195" s="3" t="s">
        <v>22</v>
      </c>
      <c r="D195" s="46">
        <f>D169+D170-(0.57+0.59+11.97+0.29)</f>
        <v>47.71</v>
      </c>
      <c r="E195" s="44"/>
      <c r="F195" s="45"/>
      <c r="G195" s="45"/>
      <c r="H195" s="45"/>
      <c r="I195" s="45"/>
      <c r="J195" s="45"/>
      <c r="K195" s="5"/>
    </row>
    <row r="196" spans="2:12" x14ac:dyDescent="0.3">
      <c r="B196" s="43" t="s">
        <v>102</v>
      </c>
      <c r="C196" s="3" t="s">
        <v>28</v>
      </c>
      <c r="D196" s="46">
        <v>1</v>
      </c>
      <c r="E196" s="10"/>
      <c r="F196" s="4"/>
      <c r="G196" s="4"/>
      <c r="H196" s="4"/>
      <c r="I196" s="4"/>
      <c r="J196" s="4"/>
      <c r="K196" s="5"/>
    </row>
    <row r="197" spans="2:12" x14ac:dyDescent="0.3">
      <c r="B197" s="48" t="s">
        <v>29</v>
      </c>
      <c r="C197" s="3" t="s">
        <v>22</v>
      </c>
      <c r="D197" s="55">
        <f>(4+8)/2*3*2</f>
        <v>36</v>
      </c>
      <c r="E197" s="10"/>
      <c r="F197" s="4"/>
      <c r="G197" s="4"/>
      <c r="H197" s="4"/>
      <c r="I197" s="4"/>
      <c r="J197" s="4"/>
      <c r="K197" s="5"/>
    </row>
    <row r="198" spans="2:12" x14ac:dyDescent="0.3">
      <c r="B198" s="48" t="s">
        <v>18</v>
      </c>
      <c r="C198" s="3" t="s">
        <v>22</v>
      </c>
      <c r="D198" s="46">
        <v>0.86</v>
      </c>
      <c r="E198" s="10"/>
      <c r="F198" s="4"/>
      <c r="G198" s="4"/>
      <c r="H198" s="4"/>
      <c r="I198" s="4"/>
      <c r="J198" s="4"/>
      <c r="K198" s="5"/>
    </row>
    <row r="199" spans="2:12" x14ac:dyDescent="0.3">
      <c r="B199" s="48" t="s">
        <v>63</v>
      </c>
      <c r="C199" s="3" t="s">
        <v>21</v>
      </c>
      <c r="D199" s="46">
        <v>3.8</v>
      </c>
      <c r="E199" s="10"/>
      <c r="F199" s="4"/>
      <c r="G199" s="4"/>
      <c r="H199" s="4"/>
      <c r="I199" s="4"/>
      <c r="J199" s="4"/>
      <c r="K199" s="5"/>
    </row>
    <row r="200" spans="2:12" x14ac:dyDescent="0.3">
      <c r="B200" s="48" t="s">
        <v>64</v>
      </c>
      <c r="C200" s="3" t="s">
        <v>22</v>
      </c>
      <c r="D200" s="46">
        <v>0.38</v>
      </c>
      <c r="E200" s="10"/>
      <c r="F200" s="4"/>
      <c r="G200" s="4"/>
      <c r="H200" s="4"/>
      <c r="I200" s="4"/>
      <c r="J200" s="4"/>
      <c r="K200" s="5"/>
    </row>
    <row r="201" spans="2:12" ht="46.8" x14ac:dyDescent="0.3">
      <c r="B201" s="48" t="s">
        <v>66</v>
      </c>
      <c r="C201" s="3" t="s">
        <v>21</v>
      </c>
      <c r="D201" s="46">
        <v>3.14</v>
      </c>
      <c r="E201" s="10"/>
      <c r="F201" s="4"/>
      <c r="G201" s="4"/>
      <c r="H201" s="4"/>
      <c r="I201" s="4"/>
      <c r="J201" s="4"/>
      <c r="K201" s="5"/>
    </row>
    <row r="202" spans="2:12" ht="31.2" x14ac:dyDescent="0.3">
      <c r="B202" s="48" t="s">
        <v>103</v>
      </c>
      <c r="C202" s="3" t="s">
        <v>28</v>
      </c>
      <c r="D202" s="46">
        <v>1</v>
      </c>
      <c r="E202" s="10"/>
      <c r="F202" s="4"/>
      <c r="G202" s="4"/>
      <c r="H202" s="4"/>
      <c r="I202" s="4"/>
      <c r="J202" s="4"/>
      <c r="K202" s="5"/>
    </row>
    <row r="203" spans="2:12" x14ac:dyDescent="0.3">
      <c r="B203" s="17" t="s">
        <v>104</v>
      </c>
      <c r="C203" s="3" t="s">
        <v>28</v>
      </c>
      <c r="D203" s="46">
        <v>1</v>
      </c>
      <c r="E203" s="10"/>
      <c r="F203" s="4"/>
      <c r="G203" s="4"/>
      <c r="H203" s="4"/>
      <c r="I203" s="4"/>
      <c r="J203" s="4"/>
      <c r="K203" s="5"/>
    </row>
    <row r="204" spans="2:12" x14ac:dyDescent="0.3">
      <c r="B204" s="17" t="s">
        <v>97</v>
      </c>
      <c r="C204" s="3" t="s">
        <v>22</v>
      </c>
      <c r="D204" s="46">
        <v>3.1E-2</v>
      </c>
      <c r="E204" s="10"/>
      <c r="F204" s="4"/>
      <c r="G204" s="4"/>
      <c r="H204" s="4"/>
      <c r="I204" s="4"/>
      <c r="J204" s="4"/>
      <c r="K204" s="5"/>
    </row>
    <row r="205" spans="2:12" ht="46.8" x14ac:dyDescent="0.3">
      <c r="B205" s="25" t="s">
        <v>70</v>
      </c>
      <c r="C205" s="3" t="s">
        <v>22</v>
      </c>
      <c r="D205" s="37">
        <v>1.2</v>
      </c>
      <c r="E205" s="10"/>
      <c r="F205" s="4"/>
      <c r="G205" s="4"/>
      <c r="H205" s="4"/>
      <c r="I205" s="4"/>
      <c r="J205" s="4"/>
      <c r="K205" s="5"/>
      <c r="L205" s="38" t="s">
        <v>69</v>
      </c>
    </row>
    <row r="206" spans="2:12" x14ac:dyDescent="0.3">
      <c r="B206" s="17" t="s">
        <v>71</v>
      </c>
      <c r="C206" s="3" t="s">
        <v>22</v>
      </c>
      <c r="D206" s="37">
        <f>D205*1.02</f>
        <v>1.224</v>
      </c>
      <c r="E206" s="10"/>
      <c r="F206" s="4"/>
      <c r="G206" s="4"/>
      <c r="H206" s="4"/>
      <c r="I206" s="4"/>
      <c r="J206" s="4"/>
      <c r="K206" s="5"/>
      <c r="L206" s="38"/>
    </row>
    <row r="207" spans="2:12" ht="31.2" x14ac:dyDescent="0.3">
      <c r="B207" s="25" t="s">
        <v>74</v>
      </c>
      <c r="C207" s="3" t="s">
        <v>28</v>
      </c>
      <c r="D207" s="46">
        <f>SUM(D208:D209)</f>
        <v>2</v>
      </c>
      <c r="E207" s="10"/>
      <c r="F207" s="4"/>
      <c r="G207" s="4"/>
      <c r="H207" s="4"/>
      <c r="I207" s="4"/>
      <c r="J207" s="4"/>
      <c r="K207" s="5"/>
    </row>
    <row r="208" spans="2:12" x14ac:dyDescent="0.3">
      <c r="B208" s="17" t="s">
        <v>105</v>
      </c>
      <c r="C208" s="3" t="s">
        <v>28</v>
      </c>
      <c r="D208" s="46">
        <v>1</v>
      </c>
      <c r="E208" s="10"/>
      <c r="F208" s="4"/>
      <c r="G208" s="4"/>
      <c r="H208" s="4"/>
      <c r="I208" s="4"/>
      <c r="J208" s="4"/>
      <c r="K208" s="5"/>
    </row>
    <row r="209" spans="2:12" x14ac:dyDescent="0.3">
      <c r="B209" s="17" t="s">
        <v>106</v>
      </c>
      <c r="C209" s="3"/>
      <c r="D209" s="46">
        <v>1</v>
      </c>
      <c r="E209" s="10"/>
      <c r="F209" s="4"/>
      <c r="G209" s="4"/>
      <c r="H209" s="4"/>
      <c r="I209" s="4"/>
      <c r="J209" s="4"/>
      <c r="K209" s="5"/>
    </row>
    <row r="210" spans="2:12" ht="31.2" x14ac:dyDescent="0.3">
      <c r="B210" s="48" t="s">
        <v>81</v>
      </c>
      <c r="C210" s="3" t="s">
        <v>28</v>
      </c>
      <c r="D210" s="46">
        <v>1</v>
      </c>
      <c r="E210" s="10"/>
      <c r="F210" s="4"/>
      <c r="G210" s="4"/>
      <c r="H210" s="4"/>
      <c r="I210" s="4"/>
      <c r="J210" s="4"/>
      <c r="K210" s="5"/>
    </row>
    <row r="211" spans="2:12" x14ac:dyDescent="0.3">
      <c r="B211" s="17" t="s">
        <v>107</v>
      </c>
      <c r="C211" s="3" t="s">
        <v>28</v>
      </c>
      <c r="D211" s="46">
        <v>1</v>
      </c>
      <c r="E211" s="10"/>
      <c r="F211" s="4"/>
      <c r="G211" s="4"/>
      <c r="H211" s="4"/>
      <c r="I211" s="4"/>
      <c r="J211" s="4"/>
      <c r="K211" s="5"/>
    </row>
    <row r="212" spans="2:12" ht="31.2" x14ac:dyDescent="0.3">
      <c r="B212" s="25" t="s">
        <v>138</v>
      </c>
      <c r="C212" s="3" t="s">
        <v>108</v>
      </c>
      <c r="D212" s="46">
        <v>1</v>
      </c>
      <c r="E212" s="10"/>
      <c r="F212" s="4"/>
      <c r="G212" s="4"/>
      <c r="H212" s="4"/>
      <c r="I212" s="4"/>
      <c r="J212" s="4"/>
      <c r="K212" s="5"/>
    </row>
    <row r="213" spans="2:12" x14ac:dyDescent="0.3">
      <c r="B213" s="17" t="s">
        <v>137</v>
      </c>
      <c r="C213" s="3" t="s">
        <v>108</v>
      </c>
      <c r="D213" s="46">
        <v>1</v>
      </c>
      <c r="E213" s="10"/>
      <c r="F213" s="4"/>
      <c r="G213" s="4"/>
      <c r="H213" s="4"/>
      <c r="I213" s="4"/>
      <c r="J213" s="4"/>
      <c r="K213" s="5"/>
    </row>
    <row r="214" spans="2:12" ht="78" x14ac:dyDescent="0.3">
      <c r="B214" s="41" t="s">
        <v>86</v>
      </c>
      <c r="C214" s="3" t="s">
        <v>21</v>
      </c>
      <c r="D214" s="46">
        <f>((0.3+0.03+0.013)*3.14*1.9)+4.2+2.78+(1.615*0.12*4)+(1.615*1.615)</f>
        <v>12.409762999999998</v>
      </c>
      <c r="E214" s="10"/>
      <c r="F214" s="4"/>
      <c r="G214" s="4"/>
      <c r="H214" s="4"/>
      <c r="I214" s="4"/>
      <c r="J214" s="4"/>
      <c r="K214" s="5"/>
      <c r="L214" s="42" t="s">
        <v>85</v>
      </c>
    </row>
    <row r="215" spans="2:12" x14ac:dyDescent="0.3">
      <c r="B215" s="48" t="s">
        <v>109</v>
      </c>
      <c r="C215" s="3" t="s">
        <v>28</v>
      </c>
      <c r="D215" s="47">
        <v>1</v>
      </c>
      <c r="E215" s="44"/>
      <c r="F215" s="45"/>
      <c r="G215" s="45"/>
      <c r="H215" s="45"/>
      <c r="I215" s="45"/>
      <c r="J215" s="45"/>
      <c r="K215" s="5"/>
    </row>
    <row r="216" spans="2:12" x14ac:dyDescent="0.3">
      <c r="B216" s="17" t="s">
        <v>110</v>
      </c>
      <c r="C216" s="3" t="s">
        <v>27</v>
      </c>
      <c r="D216" s="47">
        <v>12.9</v>
      </c>
      <c r="E216" s="44"/>
      <c r="F216" s="45"/>
      <c r="G216" s="45"/>
      <c r="H216" s="45"/>
      <c r="I216" s="45"/>
      <c r="J216" s="45"/>
      <c r="K216" s="5"/>
    </row>
    <row r="217" spans="2:12" x14ac:dyDescent="0.3">
      <c r="B217" s="25" t="s">
        <v>91</v>
      </c>
      <c r="C217" s="3" t="s">
        <v>28</v>
      </c>
      <c r="D217" s="47">
        <v>3</v>
      </c>
      <c r="E217" s="44"/>
      <c r="F217" s="45"/>
      <c r="G217" s="45"/>
      <c r="H217" s="45"/>
      <c r="I217" s="45"/>
      <c r="J217" s="45"/>
      <c r="K217" s="5"/>
    </row>
    <row r="218" spans="2:12" ht="33.6" x14ac:dyDescent="0.3">
      <c r="B218" s="25" t="s">
        <v>92</v>
      </c>
      <c r="C218" s="3" t="s">
        <v>22</v>
      </c>
      <c r="D218" s="46">
        <f>D197+D198-(0.38+0.47+3.66+0.65)</f>
        <v>31.7</v>
      </c>
      <c r="E218" s="44"/>
      <c r="F218" s="45"/>
      <c r="G218" s="45"/>
      <c r="H218" s="45"/>
      <c r="I218" s="45"/>
      <c r="J218" s="45"/>
      <c r="K218" s="5"/>
    </row>
    <row r="219" spans="2:12" ht="31.2" x14ac:dyDescent="0.3">
      <c r="B219" s="23" t="s">
        <v>114</v>
      </c>
      <c r="C219" s="3"/>
      <c r="D219" s="46"/>
      <c r="E219" s="44"/>
      <c r="F219" s="45"/>
      <c r="G219" s="45"/>
      <c r="H219" s="45"/>
      <c r="I219" s="45"/>
      <c r="J219" s="45"/>
      <c r="K219" s="5"/>
    </row>
    <row r="220" spans="2:12" ht="31.2" x14ac:dyDescent="0.3">
      <c r="B220" s="24" t="s">
        <v>115</v>
      </c>
      <c r="C220" s="3" t="s">
        <v>23</v>
      </c>
      <c r="D220" s="46">
        <f>30.4+30.2+6.2+3</f>
        <v>69.8</v>
      </c>
      <c r="E220" s="44"/>
      <c r="F220" s="45"/>
      <c r="G220" s="45"/>
      <c r="H220" s="45"/>
      <c r="I220" s="45"/>
      <c r="J220" s="45"/>
      <c r="K220" s="5"/>
    </row>
    <row r="221" spans="2:12" x14ac:dyDescent="0.3">
      <c r="B221" s="25" t="s">
        <v>17</v>
      </c>
      <c r="C221" s="3" t="s">
        <v>22</v>
      </c>
      <c r="D221" s="29">
        <f>(4+2)/2*5*69.8</f>
        <v>1047</v>
      </c>
      <c r="E221" s="36"/>
      <c r="F221" s="36"/>
      <c r="G221" s="35"/>
      <c r="H221" s="35"/>
      <c r="I221" s="36"/>
      <c r="J221" s="36"/>
      <c r="K221" s="35"/>
      <c r="L221" s="14" t="s">
        <v>143</v>
      </c>
    </row>
    <row r="222" spans="2:12" x14ac:dyDescent="0.3">
      <c r="B222" s="25" t="s">
        <v>18</v>
      </c>
      <c r="C222" s="31" t="s">
        <v>22</v>
      </c>
      <c r="D222" s="46">
        <f>3+4+0.6+0.2</f>
        <v>7.8</v>
      </c>
      <c r="E222" s="44"/>
      <c r="F222" s="45"/>
      <c r="G222" s="45"/>
      <c r="H222" s="45"/>
      <c r="I222" s="45"/>
      <c r="J222" s="45"/>
      <c r="K222" s="5"/>
    </row>
    <row r="223" spans="2:12" ht="31.2" x14ac:dyDescent="0.3">
      <c r="B223" s="25" t="s">
        <v>116</v>
      </c>
      <c r="C223" s="31" t="s">
        <v>21</v>
      </c>
      <c r="D223" s="46">
        <f>(0.65*28.46)+(1.05*28)+(1.05*4.26)+(1.05*1.32)</f>
        <v>53.758000000000003</v>
      </c>
      <c r="E223" s="44"/>
      <c r="F223" s="45"/>
      <c r="G223" s="45"/>
      <c r="H223" s="45"/>
      <c r="I223" s="45"/>
      <c r="J223" s="45"/>
      <c r="K223" s="5"/>
    </row>
    <row r="224" spans="2:12" x14ac:dyDescent="0.3">
      <c r="B224" s="25" t="s">
        <v>19</v>
      </c>
      <c r="C224" s="31" t="s">
        <v>22</v>
      </c>
      <c r="D224" s="46">
        <f>D223*0.07</f>
        <v>3.7630600000000007</v>
      </c>
      <c r="E224" s="44"/>
      <c r="F224" s="45"/>
      <c r="G224" s="45"/>
      <c r="H224" s="45"/>
      <c r="I224" s="45"/>
      <c r="J224" s="45"/>
      <c r="K224" s="5"/>
    </row>
    <row r="225" spans="2:11" x14ac:dyDescent="0.3">
      <c r="B225" s="25" t="s">
        <v>24</v>
      </c>
      <c r="C225" s="31" t="s">
        <v>22</v>
      </c>
      <c r="D225" s="46">
        <f>1.34/10*28.46+2.28/10*(28+4.26+1.32)</f>
        <v>11.46988</v>
      </c>
      <c r="E225" s="44"/>
      <c r="F225" s="45"/>
      <c r="G225" s="45"/>
      <c r="H225" s="45"/>
      <c r="I225" s="45"/>
      <c r="J225" s="45"/>
      <c r="K225" s="5"/>
    </row>
    <row r="226" spans="2:11" x14ac:dyDescent="0.3">
      <c r="B226" s="32" t="s">
        <v>25</v>
      </c>
      <c r="C226" s="31" t="s">
        <v>22</v>
      </c>
      <c r="D226" s="46">
        <f>D225*1.02</f>
        <v>11.6992776</v>
      </c>
      <c r="E226" s="44"/>
      <c r="F226" s="45"/>
      <c r="G226" s="45"/>
      <c r="H226" s="45"/>
      <c r="I226" s="45"/>
      <c r="J226" s="45"/>
      <c r="K226" s="5"/>
    </row>
    <row r="227" spans="2:11" x14ac:dyDescent="0.3">
      <c r="B227" s="32" t="s">
        <v>26</v>
      </c>
      <c r="C227" s="31" t="s">
        <v>27</v>
      </c>
      <c r="D227" s="46">
        <f>(33.29/10*28.46+54.4/10*(28+4.26+1.32))*1.04</f>
        <v>288.51528159999998</v>
      </c>
      <c r="E227" s="44"/>
      <c r="F227" s="45"/>
      <c r="G227" s="45"/>
      <c r="H227" s="45"/>
      <c r="I227" s="45"/>
      <c r="J227" s="45"/>
      <c r="K227" s="5"/>
    </row>
    <row r="228" spans="2:11" x14ac:dyDescent="0.3">
      <c r="B228" s="25" t="s">
        <v>60</v>
      </c>
      <c r="C228" s="31" t="s">
        <v>23</v>
      </c>
      <c r="D228" s="46">
        <v>30.4</v>
      </c>
      <c r="E228" s="44"/>
      <c r="F228" s="45"/>
      <c r="G228" s="45"/>
      <c r="H228" s="45"/>
      <c r="I228" s="45"/>
      <c r="J228" s="45"/>
      <c r="K228" s="5"/>
    </row>
    <row r="229" spans="2:11" ht="31.2" x14ac:dyDescent="0.3">
      <c r="B229" s="32" t="s">
        <v>117</v>
      </c>
      <c r="C229" s="31" t="s">
        <v>23</v>
      </c>
      <c r="D229" s="46">
        <f>D228*1.1</f>
        <v>33.44</v>
      </c>
      <c r="E229" s="44"/>
      <c r="F229" s="45"/>
      <c r="G229" s="45"/>
      <c r="H229" s="45"/>
      <c r="I229" s="45"/>
      <c r="J229" s="45"/>
      <c r="K229" s="5"/>
    </row>
    <row r="230" spans="2:11" x14ac:dyDescent="0.3">
      <c r="B230" s="25" t="s">
        <v>119</v>
      </c>
      <c r="C230" s="31" t="s">
        <v>23</v>
      </c>
      <c r="D230" s="46">
        <f>30.2+6.2+3</f>
        <v>39.4</v>
      </c>
      <c r="E230" s="44"/>
      <c r="F230" s="45"/>
      <c r="G230" s="45"/>
      <c r="H230" s="45"/>
      <c r="I230" s="45"/>
      <c r="J230" s="45"/>
      <c r="K230" s="5"/>
    </row>
    <row r="231" spans="2:11" ht="31.2" x14ac:dyDescent="0.3">
      <c r="B231" s="32" t="s">
        <v>118</v>
      </c>
      <c r="C231" s="31" t="s">
        <v>23</v>
      </c>
      <c r="D231" s="46">
        <f>D230*1.1</f>
        <v>43.34</v>
      </c>
      <c r="E231" s="44"/>
      <c r="F231" s="45"/>
      <c r="G231" s="45"/>
      <c r="H231" s="45"/>
      <c r="I231" s="45"/>
      <c r="J231" s="45"/>
      <c r="K231" s="5"/>
    </row>
    <row r="232" spans="2:11" ht="33.6" x14ac:dyDescent="0.3">
      <c r="B232" s="25" t="s">
        <v>35</v>
      </c>
      <c r="C232" s="3" t="s">
        <v>22</v>
      </c>
      <c r="D232" s="46">
        <f>D221+D222-(0.125*28.46+1.34/10*28.46+0.47*(28+4.26+1.32)+2.28/10*(28+4.26+1.32))</f>
        <v>1023.99002</v>
      </c>
      <c r="E232" s="44"/>
      <c r="F232" s="45"/>
      <c r="G232" s="45"/>
      <c r="H232" s="45"/>
      <c r="I232" s="45"/>
      <c r="J232" s="45"/>
      <c r="K232" s="5"/>
    </row>
    <row r="233" spans="2:11" x14ac:dyDescent="0.3">
      <c r="B233" s="43" t="s">
        <v>120</v>
      </c>
      <c r="C233" s="3" t="s">
        <v>28</v>
      </c>
      <c r="D233" s="46">
        <v>1</v>
      </c>
      <c r="E233" s="10"/>
      <c r="F233" s="4"/>
      <c r="G233" s="4"/>
      <c r="H233" s="4"/>
      <c r="I233" s="4"/>
      <c r="J233" s="4"/>
      <c r="K233" s="5"/>
    </row>
    <row r="234" spans="2:11" x14ac:dyDescent="0.3">
      <c r="B234" s="48" t="s">
        <v>29</v>
      </c>
      <c r="C234" s="3" t="s">
        <v>22</v>
      </c>
      <c r="D234" s="46" t="s">
        <v>144</v>
      </c>
      <c r="E234" s="10"/>
      <c r="F234" s="4"/>
      <c r="G234" s="4"/>
      <c r="H234" s="4"/>
      <c r="I234" s="4"/>
      <c r="J234" s="4"/>
      <c r="K234" s="5"/>
    </row>
    <row r="235" spans="2:11" x14ac:dyDescent="0.3">
      <c r="B235" s="48" t="s">
        <v>18</v>
      </c>
      <c r="C235" s="3" t="s">
        <v>22</v>
      </c>
      <c r="D235" s="46">
        <v>0.38</v>
      </c>
      <c r="E235" s="10"/>
      <c r="F235" s="4"/>
      <c r="G235" s="4"/>
      <c r="H235" s="4"/>
      <c r="I235" s="4"/>
      <c r="J235" s="4"/>
      <c r="K235" s="5"/>
    </row>
    <row r="236" spans="2:11" x14ac:dyDescent="0.3">
      <c r="B236" s="48" t="s">
        <v>63</v>
      </c>
      <c r="C236" s="3" t="s">
        <v>21</v>
      </c>
      <c r="D236" s="46">
        <v>3.46</v>
      </c>
      <c r="E236" s="10"/>
      <c r="F236" s="4"/>
      <c r="G236" s="4"/>
      <c r="H236" s="4"/>
      <c r="I236" s="4"/>
      <c r="J236" s="4"/>
      <c r="K236" s="5"/>
    </row>
    <row r="237" spans="2:11" x14ac:dyDescent="0.3">
      <c r="B237" s="48" t="s">
        <v>64</v>
      </c>
      <c r="C237" s="3" t="s">
        <v>22</v>
      </c>
      <c r="D237" s="46">
        <v>0.35</v>
      </c>
      <c r="E237" s="10"/>
      <c r="F237" s="4"/>
      <c r="G237" s="4"/>
      <c r="H237" s="4"/>
      <c r="I237" s="4"/>
      <c r="J237" s="4"/>
      <c r="K237" s="5"/>
    </row>
    <row r="238" spans="2:11" ht="46.8" x14ac:dyDescent="0.3">
      <c r="B238" s="48" t="s">
        <v>66</v>
      </c>
      <c r="C238" s="3" t="s">
        <v>21</v>
      </c>
      <c r="D238" s="37" t="s">
        <v>121</v>
      </c>
      <c r="E238" s="10"/>
      <c r="F238" s="4"/>
      <c r="G238" s="4"/>
      <c r="H238" s="4"/>
      <c r="I238" s="4"/>
      <c r="J238" s="4"/>
      <c r="K238" s="5"/>
    </row>
    <row r="239" spans="2:11" ht="31.2" x14ac:dyDescent="0.3">
      <c r="B239" s="48" t="s">
        <v>122</v>
      </c>
      <c r="C239" s="3" t="s">
        <v>28</v>
      </c>
      <c r="D239" s="46">
        <v>1</v>
      </c>
      <c r="E239" s="10"/>
      <c r="F239" s="4"/>
      <c r="G239" s="4"/>
      <c r="H239" s="4"/>
      <c r="I239" s="4"/>
      <c r="J239" s="4"/>
      <c r="K239" s="5"/>
    </row>
    <row r="240" spans="2:11" x14ac:dyDescent="0.3">
      <c r="B240" s="17" t="s">
        <v>123</v>
      </c>
      <c r="C240" s="3" t="s">
        <v>28</v>
      </c>
      <c r="D240" s="46">
        <v>1</v>
      </c>
      <c r="E240" s="10"/>
      <c r="F240" s="4"/>
      <c r="G240" s="4"/>
      <c r="H240" s="4"/>
      <c r="I240" s="4"/>
      <c r="J240" s="4"/>
      <c r="K240" s="5"/>
    </row>
    <row r="241" spans="2:12" x14ac:dyDescent="0.3">
      <c r="B241" s="17" t="s">
        <v>97</v>
      </c>
      <c r="C241" s="3" t="s">
        <v>22</v>
      </c>
      <c r="D241" s="46">
        <v>6.0000000000000001E-3</v>
      </c>
      <c r="E241" s="10"/>
      <c r="F241" s="4"/>
      <c r="G241" s="4"/>
      <c r="H241" s="4"/>
      <c r="I241" s="4"/>
      <c r="J241" s="4"/>
      <c r="K241" s="5"/>
    </row>
    <row r="242" spans="2:12" x14ac:dyDescent="0.3">
      <c r="B242" s="25" t="s">
        <v>127</v>
      </c>
      <c r="C242" s="3" t="s">
        <v>22</v>
      </c>
      <c r="D242" s="46">
        <v>0.03</v>
      </c>
      <c r="E242" s="10"/>
      <c r="F242" s="4"/>
      <c r="G242" s="4"/>
      <c r="H242" s="4"/>
      <c r="I242" s="4"/>
      <c r="J242" s="4"/>
      <c r="K242" s="5"/>
      <c r="L242" s="50"/>
    </row>
    <row r="243" spans="2:12" x14ac:dyDescent="0.3">
      <c r="B243" s="17" t="s">
        <v>25</v>
      </c>
      <c r="C243" s="3" t="s">
        <v>22</v>
      </c>
      <c r="D243" s="46">
        <f>D242*1.02</f>
        <v>3.0599999999999999E-2</v>
      </c>
      <c r="E243" s="10"/>
      <c r="F243" s="4"/>
      <c r="G243" s="4"/>
      <c r="H243" s="4"/>
      <c r="I243" s="4"/>
      <c r="J243" s="4"/>
      <c r="K243" s="5"/>
      <c r="L243" s="50"/>
    </row>
    <row r="244" spans="2:12" ht="31.2" x14ac:dyDescent="0.3">
      <c r="B244" s="25" t="s">
        <v>74</v>
      </c>
      <c r="C244" s="3" t="s">
        <v>28</v>
      </c>
      <c r="D244" s="46">
        <f>SUM(D245:D246)</f>
        <v>3</v>
      </c>
      <c r="E244" s="10"/>
      <c r="F244" s="4"/>
      <c r="G244" s="4"/>
      <c r="H244" s="4"/>
      <c r="I244" s="4"/>
      <c r="J244" s="4"/>
      <c r="K244" s="5"/>
    </row>
    <row r="245" spans="2:12" x14ac:dyDescent="0.3">
      <c r="B245" s="17" t="s">
        <v>125</v>
      </c>
      <c r="C245" s="3" t="s">
        <v>28</v>
      </c>
      <c r="D245" s="46">
        <v>1</v>
      </c>
      <c r="E245" s="10"/>
      <c r="F245" s="4"/>
      <c r="G245" s="4"/>
      <c r="H245" s="4"/>
      <c r="I245" s="4"/>
      <c r="J245" s="4"/>
      <c r="K245" s="5"/>
    </row>
    <row r="246" spans="2:12" x14ac:dyDescent="0.3">
      <c r="B246" s="17" t="s">
        <v>124</v>
      </c>
      <c r="C246" s="3" t="s">
        <v>28</v>
      </c>
      <c r="D246" s="46">
        <v>2</v>
      </c>
      <c r="E246" s="10"/>
      <c r="F246" s="4"/>
      <c r="G246" s="4"/>
      <c r="H246" s="4"/>
      <c r="I246" s="4"/>
      <c r="J246" s="4"/>
      <c r="K246" s="5"/>
    </row>
    <row r="247" spans="2:12" ht="31.2" x14ac:dyDescent="0.3">
      <c r="B247" s="25" t="s">
        <v>81</v>
      </c>
      <c r="C247" s="3" t="s">
        <v>28</v>
      </c>
      <c r="D247" s="46">
        <v>1</v>
      </c>
      <c r="E247" s="10"/>
      <c r="F247" s="4"/>
      <c r="G247" s="4"/>
      <c r="H247" s="4"/>
      <c r="I247" s="4"/>
      <c r="J247" s="4"/>
      <c r="K247" s="5"/>
    </row>
    <row r="248" spans="2:12" x14ac:dyDescent="0.3">
      <c r="B248" s="17" t="s">
        <v>126</v>
      </c>
      <c r="C248" s="3" t="s">
        <v>28</v>
      </c>
      <c r="D248" s="46">
        <v>1</v>
      </c>
      <c r="E248" s="10"/>
      <c r="F248" s="4"/>
      <c r="G248" s="4"/>
      <c r="H248" s="4"/>
      <c r="I248" s="4"/>
      <c r="J248" s="4"/>
      <c r="K248" s="5"/>
    </row>
    <row r="249" spans="2:12" x14ac:dyDescent="0.3">
      <c r="B249" s="25" t="s">
        <v>128</v>
      </c>
      <c r="C249" s="3" t="s">
        <v>28</v>
      </c>
      <c r="D249" s="46">
        <v>1</v>
      </c>
      <c r="E249" s="10"/>
      <c r="F249" s="4"/>
      <c r="G249" s="4"/>
      <c r="H249" s="4"/>
      <c r="I249" s="4"/>
      <c r="J249" s="4"/>
      <c r="K249" s="5"/>
    </row>
    <row r="250" spans="2:12" x14ac:dyDescent="0.3">
      <c r="B250" s="39" t="s">
        <v>129</v>
      </c>
      <c r="C250" s="3" t="s">
        <v>28</v>
      </c>
      <c r="D250" s="46">
        <v>1</v>
      </c>
      <c r="E250" s="10"/>
      <c r="F250" s="4"/>
      <c r="G250" s="4"/>
      <c r="H250" s="4"/>
      <c r="I250" s="4"/>
      <c r="J250" s="4"/>
      <c r="K250" s="5"/>
    </row>
    <row r="251" spans="2:12" ht="78" x14ac:dyDescent="0.3">
      <c r="B251" s="41" t="s">
        <v>86</v>
      </c>
      <c r="C251" s="3" t="s">
        <v>21</v>
      </c>
      <c r="D251" s="49" t="s">
        <v>121</v>
      </c>
      <c r="E251" s="10"/>
      <c r="F251" s="4"/>
      <c r="G251" s="4"/>
      <c r="H251" s="4"/>
      <c r="I251" s="4"/>
      <c r="J251" s="4"/>
      <c r="K251" s="5"/>
      <c r="L251" s="42" t="s">
        <v>85</v>
      </c>
    </row>
    <row r="252" spans="2:12" x14ac:dyDescent="0.3">
      <c r="B252" s="25" t="s">
        <v>89</v>
      </c>
      <c r="C252" s="3" t="s">
        <v>28</v>
      </c>
      <c r="D252" s="47">
        <v>9</v>
      </c>
      <c r="E252" s="44"/>
      <c r="F252" s="45"/>
      <c r="G252" s="45"/>
      <c r="H252" s="45"/>
      <c r="I252" s="45"/>
      <c r="J252" s="45"/>
      <c r="K252" s="5"/>
    </row>
    <row r="253" spans="2:12" x14ac:dyDescent="0.3">
      <c r="B253" s="17" t="s">
        <v>90</v>
      </c>
      <c r="C253" s="3" t="s">
        <v>27</v>
      </c>
      <c r="D253" s="46">
        <f>0.85*9</f>
        <v>7.6499999999999995</v>
      </c>
      <c r="E253" s="44"/>
      <c r="F253" s="45"/>
      <c r="G253" s="45"/>
      <c r="H253" s="45"/>
      <c r="I253" s="45"/>
      <c r="J253" s="45"/>
      <c r="K253" s="5"/>
    </row>
    <row r="254" spans="2:12" x14ac:dyDescent="0.3">
      <c r="B254" s="25" t="s">
        <v>91</v>
      </c>
      <c r="C254" s="3" t="s">
        <v>28</v>
      </c>
      <c r="D254" s="47">
        <v>1</v>
      </c>
      <c r="E254" s="44"/>
      <c r="F254" s="45"/>
      <c r="G254" s="45"/>
      <c r="H254" s="45"/>
      <c r="I254" s="45"/>
      <c r="J254" s="45"/>
      <c r="K254" s="5"/>
    </row>
    <row r="255" spans="2:12" ht="33.6" x14ac:dyDescent="0.3">
      <c r="B255" s="25" t="s">
        <v>92</v>
      </c>
      <c r="C255" s="3" t="s">
        <v>22</v>
      </c>
      <c r="D255" s="46" t="e">
        <f>D234+D235-(3.026)</f>
        <v>#VALUE!</v>
      </c>
      <c r="E255" s="44"/>
      <c r="F255" s="45"/>
      <c r="G255" s="45"/>
      <c r="H255" s="45"/>
      <c r="I255" s="45"/>
      <c r="J255" s="45"/>
      <c r="K255" s="5"/>
    </row>
    <row r="256" spans="2:12" x14ac:dyDescent="0.3">
      <c r="B256" s="43" t="s">
        <v>130</v>
      </c>
      <c r="C256" s="3" t="s">
        <v>28</v>
      </c>
      <c r="D256" s="46">
        <v>1</v>
      </c>
      <c r="E256" s="10"/>
      <c r="F256" s="4"/>
      <c r="G256" s="4"/>
      <c r="H256" s="4"/>
      <c r="I256" s="4"/>
      <c r="J256" s="4"/>
      <c r="K256" s="5"/>
    </row>
    <row r="257" spans="2:12" x14ac:dyDescent="0.3">
      <c r="B257" s="48" t="s">
        <v>29</v>
      </c>
      <c r="C257" s="3" t="s">
        <v>22</v>
      </c>
      <c r="D257" s="46">
        <v>5.26</v>
      </c>
      <c r="E257" s="10"/>
      <c r="F257" s="4"/>
      <c r="G257" s="4"/>
      <c r="H257" s="4"/>
      <c r="I257" s="4"/>
      <c r="J257" s="4"/>
      <c r="K257" s="5"/>
    </row>
    <row r="258" spans="2:12" x14ac:dyDescent="0.3">
      <c r="B258" s="48" t="s">
        <v>18</v>
      </c>
      <c r="C258" s="3" t="s">
        <v>22</v>
      </c>
      <c r="D258" s="46">
        <v>0.38</v>
      </c>
      <c r="E258" s="10"/>
      <c r="F258" s="4"/>
      <c r="G258" s="4"/>
      <c r="H258" s="4"/>
      <c r="I258" s="4"/>
      <c r="J258" s="4"/>
      <c r="K258" s="5"/>
    </row>
    <row r="259" spans="2:12" x14ac:dyDescent="0.3">
      <c r="B259" s="48" t="s">
        <v>63</v>
      </c>
      <c r="C259" s="3" t="s">
        <v>21</v>
      </c>
      <c r="D259" s="46">
        <v>3.46</v>
      </c>
      <c r="E259" s="10"/>
      <c r="F259" s="4"/>
      <c r="G259" s="4"/>
      <c r="H259" s="4"/>
      <c r="I259" s="4"/>
      <c r="J259" s="4"/>
      <c r="K259" s="5"/>
    </row>
    <row r="260" spans="2:12" x14ac:dyDescent="0.3">
      <c r="B260" s="48" t="s">
        <v>64</v>
      </c>
      <c r="C260" s="3" t="s">
        <v>22</v>
      </c>
      <c r="D260" s="46">
        <v>0.35</v>
      </c>
      <c r="E260" s="10"/>
      <c r="F260" s="4"/>
      <c r="G260" s="4"/>
      <c r="H260" s="4"/>
      <c r="I260" s="4"/>
      <c r="J260" s="4"/>
      <c r="K260" s="5"/>
    </row>
    <row r="261" spans="2:12" ht="46.8" x14ac:dyDescent="0.3">
      <c r="B261" s="48" t="s">
        <v>66</v>
      </c>
      <c r="C261" s="3" t="s">
        <v>21</v>
      </c>
      <c r="D261" s="37" t="s">
        <v>121</v>
      </c>
      <c r="E261" s="10"/>
      <c r="F261" s="4"/>
      <c r="G261" s="4"/>
      <c r="H261" s="4"/>
      <c r="I261" s="4"/>
      <c r="J261" s="4"/>
      <c r="K261" s="5"/>
    </row>
    <row r="262" spans="2:12" ht="31.2" x14ac:dyDescent="0.3">
      <c r="B262" s="48" t="s">
        <v>122</v>
      </c>
      <c r="C262" s="3" t="s">
        <v>28</v>
      </c>
      <c r="D262" s="46">
        <v>1</v>
      </c>
      <c r="E262" s="10"/>
      <c r="F262" s="4"/>
      <c r="G262" s="4"/>
      <c r="H262" s="4"/>
      <c r="I262" s="4"/>
      <c r="J262" s="4"/>
      <c r="K262" s="5"/>
    </row>
    <row r="263" spans="2:12" x14ac:dyDescent="0.3">
      <c r="B263" s="17" t="s">
        <v>123</v>
      </c>
      <c r="C263" s="3" t="s">
        <v>28</v>
      </c>
      <c r="D263" s="46">
        <v>1</v>
      </c>
      <c r="E263" s="10"/>
      <c r="F263" s="4"/>
      <c r="G263" s="4"/>
      <c r="H263" s="4"/>
      <c r="I263" s="4"/>
      <c r="J263" s="4"/>
      <c r="K263" s="5"/>
    </row>
    <row r="264" spans="2:12" x14ac:dyDescent="0.3">
      <c r="B264" s="17" t="s">
        <v>97</v>
      </c>
      <c r="C264" s="3" t="s">
        <v>22</v>
      </c>
      <c r="D264" s="46">
        <v>6.0000000000000001E-3</v>
      </c>
      <c r="E264" s="10"/>
      <c r="F264" s="4"/>
      <c r="G264" s="4"/>
      <c r="H264" s="4"/>
      <c r="I264" s="4"/>
      <c r="J264" s="4"/>
      <c r="K264" s="5"/>
    </row>
    <row r="265" spans="2:12" x14ac:dyDescent="0.3">
      <c r="B265" s="25" t="s">
        <v>127</v>
      </c>
      <c r="C265" s="3" t="s">
        <v>22</v>
      </c>
      <c r="D265" s="46">
        <v>0.03</v>
      </c>
      <c r="E265" s="10"/>
      <c r="F265" s="4"/>
      <c r="G265" s="4"/>
      <c r="H265" s="4"/>
      <c r="I265" s="4"/>
      <c r="J265" s="4"/>
      <c r="K265" s="5"/>
      <c r="L265" s="50"/>
    </row>
    <row r="266" spans="2:12" x14ac:dyDescent="0.3">
      <c r="B266" s="17" t="s">
        <v>25</v>
      </c>
      <c r="C266" s="3" t="s">
        <v>22</v>
      </c>
      <c r="D266" s="46">
        <f>D265*1.02</f>
        <v>3.0599999999999999E-2</v>
      </c>
      <c r="E266" s="10"/>
      <c r="F266" s="4"/>
      <c r="G266" s="4"/>
      <c r="H266" s="4"/>
      <c r="I266" s="4"/>
      <c r="J266" s="4"/>
      <c r="K266" s="5"/>
      <c r="L266" s="50"/>
    </row>
    <row r="267" spans="2:12" ht="31.2" x14ac:dyDescent="0.3">
      <c r="B267" s="25" t="s">
        <v>74</v>
      </c>
      <c r="C267" s="3" t="s">
        <v>28</v>
      </c>
      <c r="D267" s="46">
        <f>SUM(D268:D268)</f>
        <v>2</v>
      </c>
      <c r="E267" s="10"/>
      <c r="F267" s="4"/>
      <c r="G267" s="4"/>
      <c r="H267" s="4"/>
      <c r="I267" s="4"/>
      <c r="J267" s="4"/>
      <c r="K267" s="5"/>
    </row>
    <row r="268" spans="2:12" x14ac:dyDescent="0.3">
      <c r="B268" s="17" t="s">
        <v>76</v>
      </c>
      <c r="C268" s="3" t="s">
        <v>28</v>
      </c>
      <c r="D268" s="46">
        <v>2</v>
      </c>
      <c r="E268" s="10"/>
      <c r="F268" s="4"/>
      <c r="G268" s="4"/>
      <c r="H268" s="4"/>
      <c r="I268" s="4"/>
      <c r="J268" s="4"/>
      <c r="K268" s="5"/>
    </row>
    <row r="269" spans="2:12" ht="31.2" x14ac:dyDescent="0.3">
      <c r="B269" s="25" t="s">
        <v>81</v>
      </c>
      <c r="C269" s="3" t="s">
        <v>28</v>
      </c>
      <c r="D269" s="46">
        <v>1</v>
      </c>
      <c r="E269" s="10"/>
      <c r="F269" s="4"/>
      <c r="G269" s="4"/>
      <c r="H269" s="4"/>
      <c r="I269" s="4"/>
      <c r="J269" s="4"/>
      <c r="K269" s="5"/>
    </row>
    <row r="270" spans="2:12" x14ac:dyDescent="0.3">
      <c r="B270" s="17" t="s">
        <v>126</v>
      </c>
      <c r="C270" s="3" t="s">
        <v>28</v>
      </c>
      <c r="D270" s="46">
        <v>1</v>
      </c>
      <c r="E270" s="10"/>
      <c r="F270" s="4"/>
      <c r="G270" s="4"/>
      <c r="H270" s="4"/>
      <c r="I270" s="4"/>
      <c r="J270" s="4"/>
      <c r="K270" s="5"/>
    </row>
    <row r="271" spans="2:12" x14ac:dyDescent="0.3">
      <c r="B271" s="25" t="s">
        <v>128</v>
      </c>
      <c r="C271" s="3" t="s">
        <v>28</v>
      </c>
      <c r="D271" s="46">
        <v>1</v>
      </c>
      <c r="E271" s="10"/>
      <c r="F271" s="4"/>
      <c r="G271" s="4"/>
      <c r="H271" s="4"/>
      <c r="I271" s="4"/>
      <c r="J271" s="4"/>
      <c r="K271" s="5"/>
    </row>
    <row r="272" spans="2:12" x14ac:dyDescent="0.3">
      <c r="B272" s="39" t="s">
        <v>129</v>
      </c>
      <c r="C272" s="3" t="s">
        <v>28</v>
      </c>
      <c r="D272" s="46">
        <v>1</v>
      </c>
      <c r="E272" s="10"/>
      <c r="F272" s="4"/>
      <c r="G272" s="4"/>
      <c r="H272" s="4"/>
      <c r="I272" s="4"/>
      <c r="J272" s="4"/>
      <c r="K272" s="5"/>
    </row>
    <row r="273" spans="2:12" ht="78" x14ac:dyDescent="0.3">
      <c r="B273" s="41" t="s">
        <v>86</v>
      </c>
      <c r="C273" s="3" t="s">
        <v>21</v>
      </c>
      <c r="D273" s="49" t="s">
        <v>121</v>
      </c>
      <c r="E273" s="10"/>
      <c r="F273" s="4"/>
      <c r="G273" s="4"/>
      <c r="H273" s="4"/>
      <c r="I273" s="4"/>
      <c r="J273" s="4"/>
      <c r="K273" s="5"/>
      <c r="L273" s="42" t="s">
        <v>85</v>
      </c>
    </row>
    <row r="274" spans="2:12" ht="31.2" x14ac:dyDescent="0.3">
      <c r="B274" s="51" t="s">
        <v>89</v>
      </c>
      <c r="C274" s="52" t="s">
        <v>28</v>
      </c>
      <c r="D274" s="53" t="s">
        <v>131</v>
      </c>
      <c r="E274" s="44"/>
      <c r="F274" s="45"/>
      <c r="G274" s="45"/>
      <c r="H274" s="45"/>
      <c r="I274" s="45"/>
      <c r="J274" s="45"/>
      <c r="K274" s="5"/>
      <c r="L274" s="50"/>
    </row>
    <row r="275" spans="2:12" ht="31.2" x14ac:dyDescent="0.3">
      <c r="B275" s="40" t="s">
        <v>90</v>
      </c>
      <c r="C275" s="52" t="s">
        <v>27</v>
      </c>
      <c r="D275" s="53" t="s">
        <v>131</v>
      </c>
      <c r="E275" s="44"/>
      <c r="F275" s="45"/>
      <c r="G275" s="45"/>
      <c r="H275" s="45"/>
      <c r="I275" s="45"/>
      <c r="J275" s="45"/>
      <c r="K275" s="5"/>
      <c r="L275" s="50"/>
    </row>
    <row r="276" spans="2:12" x14ac:dyDescent="0.3">
      <c r="B276" s="25" t="s">
        <v>91</v>
      </c>
      <c r="C276" s="3" t="s">
        <v>28</v>
      </c>
      <c r="D276" s="47">
        <v>1</v>
      </c>
      <c r="E276" s="44"/>
      <c r="F276" s="45"/>
      <c r="G276" s="45"/>
      <c r="H276" s="45"/>
      <c r="I276" s="45"/>
      <c r="J276" s="45"/>
      <c r="K276" s="5"/>
    </row>
    <row r="277" spans="2:12" ht="33.6" x14ac:dyDescent="0.3">
      <c r="B277" s="25" t="s">
        <v>92</v>
      </c>
      <c r="C277" s="3" t="s">
        <v>22</v>
      </c>
      <c r="D277" s="46">
        <f>D257+D258-(0.45)</f>
        <v>5.1899999999999995</v>
      </c>
      <c r="E277" s="44"/>
      <c r="F277" s="45"/>
      <c r="G277" s="45"/>
      <c r="H277" s="45"/>
      <c r="I277" s="45"/>
      <c r="J277" s="45"/>
      <c r="K277" s="5"/>
    </row>
    <row r="278" spans="2:12" x14ac:dyDescent="0.3">
      <c r="B278" s="43" t="s">
        <v>132</v>
      </c>
      <c r="C278" s="3" t="s">
        <v>28</v>
      </c>
      <c r="D278" s="46">
        <v>1</v>
      </c>
      <c r="E278" s="10"/>
      <c r="F278" s="4"/>
      <c r="G278" s="4"/>
      <c r="H278" s="4"/>
      <c r="I278" s="4"/>
      <c r="J278" s="4"/>
      <c r="K278" s="5"/>
    </row>
    <row r="279" spans="2:12" x14ac:dyDescent="0.3">
      <c r="B279" s="48" t="s">
        <v>29</v>
      </c>
      <c r="C279" s="3" t="s">
        <v>22</v>
      </c>
      <c r="D279" s="46">
        <v>335.053</v>
      </c>
      <c r="E279" s="10"/>
      <c r="F279" s="4"/>
      <c r="G279" s="4"/>
      <c r="H279" s="4"/>
      <c r="I279" s="4"/>
      <c r="J279" s="4"/>
      <c r="K279" s="5"/>
    </row>
    <row r="280" spans="2:12" x14ac:dyDescent="0.3">
      <c r="B280" s="48" t="s">
        <v>18</v>
      </c>
      <c r="C280" s="3" t="s">
        <v>22</v>
      </c>
      <c r="D280" s="46">
        <v>1.1299999999999999</v>
      </c>
      <c r="E280" s="10"/>
      <c r="F280" s="4"/>
      <c r="G280" s="4"/>
      <c r="H280" s="4"/>
      <c r="I280" s="4"/>
      <c r="J280" s="4"/>
      <c r="K280" s="5"/>
    </row>
    <row r="281" spans="2:12" x14ac:dyDescent="0.3">
      <c r="B281" s="48" t="s">
        <v>63</v>
      </c>
      <c r="C281" s="3" t="s">
        <v>21</v>
      </c>
      <c r="D281" s="46">
        <v>5.72</v>
      </c>
      <c r="E281" s="10"/>
      <c r="F281" s="4"/>
      <c r="G281" s="4"/>
      <c r="H281" s="4"/>
      <c r="I281" s="4"/>
      <c r="J281" s="4"/>
      <c r="K281" s="5"/>
    </row>
    <row r="282" spans="2:12" x14ac:dyDescent="0.3">
      <c r="B282" s="48" t="s">
        <v>64</v>
      </c>
      <c r="C282" s="3" t="s">
        <v>22</v>
      </c>
      <c r="D282" s="46">
        <v>0.56999999999999995</v>
      </c>
      <c r="E282" s="10"/>
      <c r="F282" s="4"/>
      <c r="G282" s="4"/>
      <c r="H282" s="4"/>
      <c r="I282" s="4"/>
      <c r="J282" s="4"/>
      <c r="K282" s="5"/>
    </row>
    <row r="283" spans="2:12" ht="46.8" x14ac:dyDescent="0.3">
      <c r="B283" s="48" t="s">
        <v>66</v>
      </c>
      <c r="C283" s="3" t="s">
        <v>21</v>
      </c>
      <c r="D283" s="46">
        <v>4.91</v>
      </c>
      <c r="E283" s="10"/>
      <c r="F283" s="4"/>
      <c r="G283" s="4"/>
      <c r="H283" s="4"/>
      <c r="I283" s="4"/>
      <c r="J283" s="4"/>
      <c r="K283" s="5"/>
    </row>
    <row r="284" spans="2:12" ht="31.2" x14ac:dyDescent="0.3">
      <c r="B284" s="48" t="s">
        <v>65</v>
      </c>
      <c r="C284" s="3" t="s">
        <v>28</v>
      </c>
      <c r="D284" s="46">
        <v>1</v>
      </c>
      <c r="E284" s="10"/>
      <c r="F284" s="4"/>
      <c r="G284" s="4"/>
      <c r="H284" s="4"/>
      <c r="I284" s="4"/>
      <c r="J284" s="4"/>
      <c r="K284" s="5"/>
    </row>
    <row r="285" spans="2:12" x14ac:dyDescent="0.3">
      <c r="B285" s="17" t="s">
        <v>67</v>
      </c>
      <c r="C285" s="3" t="s">
        <v>28</v>
      </c>
      <c r="D285" s="46">
        <v>1</v>
      </c>
      <c r="E285" s="10"/>
      <c r="F285" s="4"/>
      <c r="G285" s="4"/>
      <c r="H285" s="4"/>
      <c r="I285" s="4"/>
      <c r="J285" s="4"/>
      <c r="K285" s="5"/>
    </row>
    <row r="286" spans="2:12" x14ac:dyDescent="0.3">
      <c r="B286" s="17" t="s">
        <v>97</v>
      </c>
      <c r="C286" s="3" t="s">
        <v>22</v>
      </c>
      <c r="D286" s="46">
        <f>0.05*1.02</f>
        <v>5.1000000000000004E-2</v>
      </c>
      <c r="E286" s="10"/>
      <c r="F286" s="4"/>
      <c r="G286" s="4"/>
      <c r="H286" s="4"/>
      <c r="I286" s="4"/>
      <c r="J286" s="4"/>
      <c r="K286" s="5"/>
    </row>
    <row r="287" spans="2:12" ht="46.8" x14ac:dyDescent="0.3">
      <c r="B287" s="25" t="s">
        <v>70</v>
      </c>
      <c r="C287" s="3" t="s">
        <v>22</v>
      </c>
      <c r="D287" s="37">
        <v>1.2</v>
      </c>
      <c r="E287" s="10"/>
      <c r="F287" s="4"/>
      <c r="G287" s="4"/>
      <c r="H287" s="4"/>
      <c r="I287" s="4"/>
      <c r="J287" s="4"/>
      <c r="K287" s="5"/>
      <c r="L287" s="38" t="s">
        <v>69</v>
      </c>
    </row>
    <row r="288" spans="2:12" x14ac:dyDescent="0.3">
      <c r="B288" s="17" t="s">
        <v>71</v>
      </c>
      <c r="C288" s="3" t="s">
        <v>22</v>
      </c>
      <c r="D288" s="37">
        <f>D287*1.02</f>
        <v>1.224</v>
      </c>
      <c r="E288" s="10"/>
      <c r="F288" s="4"/>
      <c r="G288" s="4"/>
      <c r="H288" s="4"/>
      <c r="I288" s="4"/>
      <c r="J288" s="4"/>
      <c r="K288" s="5"/>
      <c r="L288" s="38"/>
    </row>
    <row r="289" spans="2:12" ht="31.2" x14ac:dyDescent="0.3">
      <c r="B289" s="25" t="s">
        <v>74</v>
      </c>
      <c r="C289" s="3" t="s">
        <v>28</v>
      </c>
      <c r="D289" s="46">
        <f>SUM(D290:D293)</f>
        <v>6</v>
      </c>
      <c r="E289" s="10"/>
      <c r="F289" s="4"/>
      <c r="G289" s="4"/>
      <c r="H289" s="4"/>
      <c r="I289" s="4"/>
      <c r="J289" s="4"/>
      <c r="K289" s="5"/>
    </row>
    <row r="290" spans="2:12" x14ac:dyDescent="0.3">
      <c r="B290" s="17" t="s">
        <v>72</v>
      </c>
      <c r="C290" s="3" t="s">
        <v>28</v>
      </c>
      <c r="D290" s="46">
        <v>3</v>
      </c>
      <c r="E290" s="10"/>
      <c r="F290" s="4"/>
      <c r="G290" s="4"/>
      <c r="H290" s="4"/>
      <c r="I290" s="4"/>
      <c r="J290" s="4"/>
      <c r="K290" s="5"/>
    </row>
    <row r="291" spans="2:12" x14ac:dyDescent="0.3">
      <c r="B291" s="17" t="s">
        <v>73</v>
      </c>
      <c r="C291" s="3" t="s">
        <v>28</v>
      </c>
      <c r="D291" s="46">
        <v>1</v>
      </c>
      <c r="E291" s="10"/>
      <c r="F291" s="4"/>
      <c r="G291" s="4"/>
      <c r="H291" s="4"/>
      <c r="I291" s="4"/>
      <c r="J291" s="4"/>
      <c r="K291" s="5"/>
    </row>
    <row r="292" spans="2:12" x14ac:dyDescent="0.3">
      <c r="B292" s="17" t="s">
        <v>76</v>
      </c>
      <c r="C292" s="3" t="s">
        <v>28</v>
      </c>
      <c r="D292" s="46">
        <v>1</v>
      </c>
      <c r="E292" s="10"/>
      <c r="F292" s="4"/>
      <c r="G292" s="4"/>
      <c r="H292" s="4"/>
      <c r="I292" s="4"/>
      <c r="J292" s="4"/>
      <c r="K292" s="5"/>
    </row>
    <row r="293" spans="2:12" x14ac:dyDescent="0.3">
      <c r="B293" s="40" t="s">
        <v>94</v>
      </c>
      <c r="C293" s="3" t="s">
        <v>28</v>
      </c>
      <c r="D293" s="37">
        <v>1</v>
      </c>
      <c r="E293" s="10"/>
      <c r="F293" s="4"/>
      <c r="G293" s="4"/>
      <c r="H293" s="4"/>
      <c r="I293" s="4"/>
      <c r="J293" s="4"/>
      <c r="K293" s="5"/>
      <c r="L293" s="38" t="s">
        <v>79</v>
      </c>
    </row>
    <row r="294" spans="2:12" ht="31.2" x14ac:dyDescent="0.3">
      <c r="B294" s="25" t="s">
        <v>81</v>
      </c>
      <c r="C294" s="3" t="s">
        <v>28</v>
      </c>
      <c r="D294" s="46">
        <v>1</v>
      </c>
      <c r="E294" s="10"/>
      <c r="F294" s="4"/>
      <c r="G294" s="4"/>
      <c r="H294" s="4"/>
      <c r="I294" s="4"/>
      <c r="J294" s="4"/>
      <c r="K294" s="5"/>
    </row>
    <row r="295" spans="2:12" x14ac:dyDescent="0.3">
      <c r="B295" s="17" t="s">
        <v>133</v>
      </c>
      <c r="C295" s="3" t="s">
        <v>28</v>
      </c>
      <c r="D295" s="46">
        <v>1</v>
      </c>
      <c r="E295" s="10"/>
      <c r="F295" s="4"/>
      <c r="G295" s="4"/>
      <c r="H295" s="4"/>
      <c r="I295" s="4"/>
      <c r="J295" s="4"/>
      <c r="K295" s="5"/>
    </row>
    <row r="296" spans="2:12" ht="31.2" x14ac:dyDescent="0.3">
      <c r="B296" s="25" t="s">
        <v>138</v>
      </c>
      <c r="C296" s="3" t="s">
        <v>108</v>
      </c>
      <c r="D296" s="46">
        <v>1</v>
      </c>
      <c r="E296" s="10"/>
      <c r="F296" s="4"/>
      <c r="G296" s="4"/>
      <c r="H296" s="4"/>
      <c r="I296" s="4"/>
      <c r="J296" s="4"/>
      <c r="K296" s="5"/>
    </row>
    <row r="297" spans="2:12" x14ac:dyDescent="0.3">
      <c r="B297" s="17" t="s">
        <v>137</v>
      </c>
      <c r="C297" s="3" t="s">
        <v>108</v>
      </c>
      <c r="D297" s="46">
        <v>1</v>
      </c>
      <c r="E297" s="10"/>
      <c r="F297" s="4"/>
      <c r="G297" s="4"/>
      <c r="H297" s="4"/>
      <c r="I297" s="4"/>
      <c r="J297" s="4"/>
      <c r="K297" s="5"/>
    </row>
    <row r="298" spans="2:12" ht="78" x14ac:dyDescent="0.3">
      <c r="B298" s="41" t="s">
        <v>86</v>
      </c>
      <c r="C298" s="3" t="s">
        <v>21</v>
      </c>
      <c r="D298" s="46">
        <f>((0.95+0.03+0.82)*3.14*2.4)+16.77+3.71+1.27+3.4</f>
        <v>38.714799999999997</v>
      </c>
      <c r="E298" s="10"/>
      <c r="F298" s="4"/>
      <c r="G298" s="4"/>
      <c r="H298" s="4"/>
      <c r="I298" s="4"/>
      <c r="J298" s="4"/>
      <c r="K298" s="5"/>
      <c r="L298" s="42" t="s">
        <v>85</v>
      </c>
    </row>
    <row r="299" spans="2:12" x14ac:dyDescent="0.3">
      <c r="B299" s="48" t="s">
        <v>134</v>
      </c>
      <c r="C299" s="3" t="s">
        <v>28</v>
      </c>
      <c r="D299" s="47">
        <v>1</v>
      </c>
      <c r="E299" s="44"/>
      <c r="F299" s="45"/>
      <c r="G299" s="45"/>
      <c r="H299" s="45"/>
      <c r="I299" s="45"/>
      <c r="J299" s="45"/>
      <c r="K299" s="5"/>
    </row>
    <row r="300" spans="2:12" x14ac:dyDescent="0.3">
      <c r="B300" s="17" t="s">
        <v>135</v>
      </c>
      <c r="C300" s="3" t="s">
        <v>27</v>
      </c>
      <c r="D300" s="47">
        <v>32.4</v>
      </c>
      <c r="E300" s="44"/>
      <c r="F300" s="45"/>
      <c r="G300" s="45"/>
      <c r="H300" s="45"/>
      <c r="I300" s="45"/>
      <c r="J300" s="45"/>
      <c r="K300" s="5"/>
    </row>
    <row r="301" spans="2:12" x14ac:dyDescent="0.3">
      <c r="B301" s="25" t="s">
        <v>89</v>
      </c>
      <c r="C301" s="3" t="s">
        <v>28</v>
      </c>
      <c r="D301" s="47">
        <v>1</v>
      </c>
      <c r="E301" s="44"/>
      <c r="F301" s="45"/>
      <c r="G301" s="45"/>
      <c r="H301" s="45"/>
      <c r="I301" s="45"/>
      <c r="J301" s="45"/>
      <c r="K301" s="5"/>
      <c r="L301" s="11"/>
    </row>
    <row r="302" spans="2:12" x14ac:dyDescent="0.3">
      <c r="B302" s="17" t="s">
        <v>90</v>
      </c>
      <c r="C302" s="3" t="s">
        <v>27</v>
      </c>
      <c r="D302" s="46">
        <v>0.8</v>
      </c>
      <c r="E302" s="44"/>
      <c r="F302" s="45"/>
      <c r="G302" s="45"/>
      <c r="H302" s="45"/>
      <c r="I302" s="45"/>
      <c r="J302" s="45"/>
      <c r="K302" s="5"/>
    </row>
    <row r="303" spans="2:12" x14ac:dyDescent="0.3">
      <c r="B303" s="25" t="s">
        <v>91</v>
      </c>
      <c r="C303" s="3" t="s">
        <v>28</v>
      </c>
      <c r="D303" s="47">
        <v>3</v>
      </c>
      <c r="E303" s="44"/>
      <c r="F303" s="45"/>
      <c r="G303" s="45"/>
      <c r="H303" s="45"/>
      <c r="I303" s="45"/>
      <c r="J303" s="45"/>
      <c r="K303" s="5"/>
    </row>
    <row r="304" spans="2:12" ht="33.6" x14ac:dyDescent="0.3">
      <c r="B304" s="25" t="s">
        <v>92</v>
      </c>
      <c r="C304" s="3" t="s">
        <v>22</v>
      </c>
      <c r="D304" s="46">
        <f>D279+D280-(0.57+0.59+13.11+0.4)</f>
        <v>321.51299999999998</v>
      </c>
      <c r="E304" s="44"/>
      <c r="F304" s="45"/>
      <c r="G304" s="45"/>
      <c r="H304" s="45"/>
      <c r="I304" s="45"/>
      <c r="J304" s="45"/>
      <c r="K304" s="5"/>
    </row>
    <row r="305" spans="2:12" x14ac:dyDescent="0.3">
      <c r="B305" s="43" t="s">
        <v>136</v>
      </c>
      <c r="C305" s="3" t="s">
        <v>28</v>
      </c>
      <c r="D305" s="46">
        <v>1</v>
      </c>
      <c r="E305" s="10"/>
      <c r="F305" s="4"/>
      <c r="G305" s="4"/>
      <c r="H305" s="4"/>
      <c r="I305" s="4"/>
      <c r="J305" s="4"/>
      <c r="K305" s="5"/>
    </row>
    <row r="306" spans="2:12" x14ac:dyDescent="0.3">
      <c r="B306" s="48" t="s">
        <v>29</v>
      </c>
      <c r="C306" s="3" t="s">
        <v>22</v>
      </c>
      <c r="D306" s="46">
        <v>161</v>
      </c>
      <c r="E306" s="10"/>
      <c r="F306" s="4"/>
      <c r="G306" s="4"/>
      <c r="H306" s="4"/>
      <c r="I306" s="4"/>
      <c r="J306" s="4"/>
      <c r="K306" s="5"/>
    </row>
    <row r="307" spans="2:12" x14ac:dyDescent="0.3">
      <c r="B307" s="48" t="s">
        <v>18</v>
      </c>
      <c r="C307" s="3" t="s">
        <v>22</v>
      </c>
      <c r="D307" s="46">
        <v>1.1299999999999999</v>
      </c>
      <c r="E307" s="10"/>
      <c r="F307" s="4"/>
      <c r="G307" s="4"/>
      <c r="H307" s="4"/>
      <c r="I307" s="4"/>
      <c r="J307" s="4"/>
      <c r="K307" s="5"/>
    </row>
    <row r="308" spans="2:12" x14ac:dyDescent="0.3">
      <c r="B308" s="48" t="s">
        <v>63</v>
      </c>
      <c r="C308" s="3" t="s">
        <v>21</v>
      </c>
      <c r="D308" s="46">
        <v>5.72</v>
      </c>
      <c r="E308" s="10"/>
      <c r="F308" s="4"/>
      <c r="G308" s="4"/>
      <c r="H308" s="4"/>
      <c r="I308" s="4"/>
      <c r="J308" s="4"/>
      <c r="K308" s="5"/>
    </row>
    <row r="309" spans="2:12" x14ac:dyDescent="0.3">
      <c r="B309" s="48" t="s">
        <v>64</v>
      </c>
      <c r="C309" s="3" t="s">
        <v>22</v>
      </c>
      <c r="D309" s="46">
        <v>0.56999999999999995</v>
      </c>
      <c r="E309" s="10"/>
      <c r="F309" s="4"/>
      <c r="G309" s="4"/>
      <c r="H309" s="4"/>
      <c r="I309" s="4"/>
      <c r="J309" s="4"/>
      <c r="K309" s="5"/>
    </row>
    <row r="310" spans="2:12" ht="46.8" x14ac:dyDescent="0.3">
      <c r="B310" s="48" t="s">
        <v>66</v>
      </c>
      <c r="C310" s="3" t="s">
        <v>21</v>
      </c>
      <c r="D310" s="46">
        <v>4.91</v>
      </c>
      <c r="E310" s="10"/>
      <c r="F310" s="4"/>
      <c r="G310" s="4"/>
      <c r="H310" s="4"/>
      <c r="I310" s="4"/>
      <c r="J310" s="4"/>
      <c r="K310" s="5"/>
    </row>
    <row r="311" spans="2:12" ht="31.2" x14ac:dyDescent="0.3">
      <c r="B311" s="48" t="s">
        <v>65</v>
      </c>
      <c r="C311" s="3" t="s">
        <v>28</v>
      </c>
      <c r="D311" s="46">
        <v>1</v>
      </c>
      <c r="E311" s="10"/>
      <c r="F311" s="4"/>
      <c r="G311" s="4"/>
      <c r="H311" s="4"/>
      <c r="I311" s="4"/>
      <c r="J311" s="4"/>
      <c r="K311" s="5"/>
    </row>
    <row r="312" spans="2:12" x14ac:dyDescent="0.3">
      <c r="B312" s="17" t="s">
        <v>67</v>
      </c>
      <c r="C312" s="3" t="s">
        <v>28</v>
      </c>
      <c r="D312" s="46">
        <v>1</v>
      </c>
      <c r="E312" s="10"/>
      <c r="F312" s="4"/>
      <c r="G312" s="4"/>
      <c r="H312" s="4"/>
      <c r="I312" s="4"/>
      <c r="J312" s="4"/>
      <c r="K312" s="5"/>
    </row>
    <row r="313" spans="2:12" x14ac:dyDescent="0.3">
      <c r="B313" s="17" t="s">
        <v>97</v>
      </c>
      <c r="C313" s="3" t="s">
        <v>22</v>
      </c>
      <c r="D313" s="46">
        <f>0.05*1.02</f>
        <v>5.1000000000000004E-2</v>
      </c>
      <c r="E313" s="10"/>
      <c r="F313" s="4"/>
      <c r="G313" s="4"/>
      <c r="H313" s="4"/>
      <c r="I313" s="4"/>
      <c r="J313" s="4"/>
      <c r="K313" s="5"/>
    </row>
    <row r="314" spans="2:12" ht="46.8" x14ac:dyDescent="0.3">
      <c r="B314" s="25" t="s">
        <v>70</v>
      </c>
      <c r="C314" s="3" t="s">
        <v>22</v>
      </c>
      <c r="D314" s="37">
        <v>1.2</v>
      </c>
      <c r="E314" s="10"/>
      <c r="F314" s="4"/>
      <c r="G314" s="4"/>
      <c r="H314" s="4"/>
      <c r="I314" s="4"/>
      <c r="J314" s="4"/>
      <c r="K314" s="5"/>
      <c r="L314" s="38" t="s">
        <v>69</v>
      </c>
    </row>
    <row r="315" spans="2:12" x14ac:dyDescent="0.3">
      <c r="B315" s="17" t="s">
        <v>71</v>
      </c>
      <c r="C315" s="3" t="s">
        <v>22</v>
      </c>
      <c r="D315" s="37">
        <f>D314*1.02</f>
        <v>1.224</v>
      </c>
      <c r="E315" s="10"/>
      <c r="F315" s="4"/>
      <c r="G315" s="4"/>
      <c r="H315" s="4"/>
      <c r="I315" s="4"/>
      <c r="J315" s="4"/>
      <c r="K315" s="5"/>
      <c r="L315" s="38"/>
    </row>
    <row r="316" spans="2:12" ht="31.2" x14ac:dyDescent="0.3">
      <c r="B316" s="25" t="s">
        <v>74</v>
      </c>
      <c r="C316" s="3" t="s">
        <v>28</v>
      </c>
      <c r="D316" s="46">
        <f>SUM(D317:D319)</f>
        <v>4</v>
      </c>
      <c r="E316" s="10"/>
      <c r="F316" s="4"/>
      <c r="G316" s="4"/>
      <c r="H316" s="4"/>
      <c r="I316" s="4"/>
      <c r="J316" s="4"/>
      <c r="K316" s="5"/>
    </row>
    <row r="317" spans="2:12" x14ac:dyDescent="0.3">
      <c r="B317" s="17" t="s">
        <v>72</v>
      </c>
      <c r="C317" s="3" t="s">
        <v>28</v>
      </c>
      <c r="D317" s="46">
        <v>2</v>
      </c>
      <c r="E317" s="10"/>
      <c r="F317" s="4"/>
      <c r="G317" s="4"/>
      <c r="H317" s="4"/>
      <c r="I317" s="4"/>
      <c r="J317" s="4"/>
      <c r="K317" s="5"/>
    </row>
    <row r="318" spans="2:12" x14ac:dyDescent="0.3">
      <c r="B318" s="40" t="s">
        <v>77</v>
      </c>
      <c r="C318" s="3" t="s">
        <v>28</v>
      </c>
      <c r="D318" s="37">
        <v>1</v>
      </c>
      <c r="E318" s="10"/>
      <c r="F318" s="4"/>
      <c r="G318" s="4"/>
      <c r="H318" s="4"/>
      <c r="I318" s="4"/>
      <c r="J318" s="4"/>
      <c r="K318" s="5"/>
      <c r="L318" s="38" t="s">
        <v>79</v>
      </c>
    </row>
    <row r="319" spans="2:12" x14ac:dyDescent="0.3">
      <c r="B319" s="40" t="s">
        <v>94</v>
      </c>
      <c r="C319" s="3" t="s">
        <v>28</v>
      </c>
      <c r="D319" s="37">
        <v>1</v>
      </c>
      <c r="E319" s="10"/>
      <c r="F319" s="4"/>
      <c r="G319" s="4"/>
      <c r="H319" s="4"/>
      <c r="I319" s="4"/>
      <c r="J319" s="4"/>
      <c r="K319" s="5"/>
      <c r="L319" s="38" t="s">
        <v>79</v>
      </c>
    </row>
    <row r="320" spans="2:12" ht="31.2" x14ac:dyDescent="0.3">
      <c r="B320" s="25" t="s">
        <v>81</v>
      </c>
      <c r="C320" s="3" t="s">
        <v>28</v>
      </c>
      <c r="D320" s="46">
        <v>1</v>
      </c>
      <c r="E320" s="10"/>
      <c r="F320" s="4"/>
      <c r="G320" s="4"/>
      <c r="H320" s="4"/>
      <c r="I320" s="4"/>
      <c r="J320" s="4"/>
      <c r="K320" s="5"/>
    </row>
    <row r="321" spans="2:12" x14ac:dyDescent="0.3">
      <c r="B321" s="17" t="s">
        <v>133</v>
      </c>
      <c r="C321" s="3" t="s">
        <v>28</v>
      </c>
      <c r="D321" s="46">
        <v>1</v>
      </c>
      <c r="E321" s="10"/>
      <c r="F321" s="4"/>
      <c r="G321" s="4"/>
      <c r="H321" s="4"/>
      <c r="I321" s="4"/>
      <c r="J321" s="4"/>
      <c r="K321" s="5"/>
    </row>
    <row r="322" spans="2:12" ht="31.2" x14ac:dyDescent="0.3">
      <c r="B322" s="25" t="s">
        <v>138</v>
      </c>
      <c r="C322" s="3" t="s">
        <v>108</v>
      </c>
      <c r="D322" s="46">
        <v>1</v>
      </c>
      <c r="E322" s="10"/>
      <c r="F322" s="4"/>
      <c r="G322" s="4"/>
      <c r="H322" s="4"/>
      <c r="I322" s="4"/>
      <c r="J322" s="4"/>
      <c r="K322" s="5"/>
    </row>
    <row r="323" spans="2:12" x14ac:dyDescent="0.3">
      <c r="B323" s="17" t="s">
        <v>137</v>
      </c>
      <c r="C323" s="3" t="s">
        <v>108</v>
      </c>
      <c r="D323" s="46">
        <v>1</v>
      </c>
      <c r="E323" s="10"/>
      <c r="F323" s="4"/>
      <c r="G323" s="4"/>
      <c r="H323" s="4"/>
      <c r="I323" s="4"/>
      <c r="J323" s="4"/>
      <c r="K323" s="5"/>
    </row>
    <row r="324" spans="2:12" ht="78" x14ac:dyDescent="0.3">
      <c r="B324" s="41" t="s">
        <v>86</v>
      </c>
      <c r="C324" s="3" t="s">
        <v>21</v>
      </c>
      <c r="D324" s="46">
        <f>((0.95+0.03+0.82)*3.14*2.4)+11.18+1.27+3.4</f>
        <v>29.414799999999996</v>
      </c>
      <c r="E324" s="10"/>
      <c r="F324" s="4"/>
      <c r="G324" s="4"/>
      <c r="H324" s="4"/>
      <c r="I324" s="4"/>
      <c r="J324" s="4"/>
      <c r="K324" s="5"/>
      <c r="L324" s="42" t="s">
        <v>85</v>
      </c>
    </row>
    <row r="325" spans="2:12" x14ac:dyDescent="0.3">
      <c r="B325" s="48" t="s">
        <v>139</v>
      </c>
      <c r="C325" s="3" t="s">
        <v>28</v>
      </c>
      <c r="D325" s="47">
        <v>1</v>
      </c>
      <c r="E325" s="44"/>
      <c r="F325" s="45"/>
      <c r="G325" s="45"/>
      <c r="H325" s="45"/>
      <c r="I325" s="45"/>
      <c r="J325" s="45"/>
      <c r="K325" s="5"/>
    </row>
    <row r="326" spans="2:12" x14ac:dyDescent="0.3">
      <c r="B326" s="17" t="s">
        <v>140</v>
      </c>
      <c r="C326" s="3" t="s">
        <v>27</v>
      </c>
      <c r="D326" s="47">
        <v>16.2</v>
      </c>
      <c r="E326" s="44"/>
      <c r="F326" s="45"/>
      <c r="G326" s="45"/>
      <c r="H326" s="45"/>
      <c r="I326" s="45"/>
      <c r="J326" s="45"/>
      <c r="K326" s="5"/>
    </row>
    <row r="327" spans="2:12" x14ac:dyDescent="0.3">
      <c r="B327" s="25" t="s">
        <v>89</v>
      </c>
      <c r="C327" s="3" t="s">
        <v>28</v>
      </c>
      <c r="D327" s="47">
        <v>1</v>
      </c>
      <c r="E327" s="44"/>
      <c r="F327" s="45"/>
      <c r="G327" s="45"/>
      <c r="H327" s="45"/>
      <c r="I327" s="45"/>
      <c r="J327" s="45"/>
      <c r="K327" s="5"/>
      <c r="L327" s="11"/>
    </row>
    <row r="328" spans="2:12" x14ac:dyDescent="0.3">
      <c r="B328" s="17" t="s">
        <v>90</v>
      </c>
      <c r="C328" s="3" t="s">
        <v>27</v>
      </c>
      <c r="D328" s="46">
        <v>0.8</v>
      </c>
      <c r="E328" s="44"/>
      <c r="F328" s="45"/>
      <c r="G328" s="45"/>
      <c r="H328" s="45"/>
      <c r="I328" s="45"/>
      <c r="J328" s="45"/>
      <c r="K328" s="5"/>
    </row>
    <row r="329" spans="2:12" x14ac:dyDescent="0.3">
      <c r="B329" s="25" t="s">
        <v>91</v>
      </c>
      <c r="C329" s="3" t="s">
        <v>28</v>
      </c>
      <c r="D329" s="47">
        <v>3</v>
      </c>
      <c r="E329" s="44"/>
      <c r="F329" s="45"/>
      <c r="G329" s="45"/>
      <c r="H329" s="45"/>
      <c r="I329" s="45"/>
      <c r="J329" s="45"/>
      <c r="K329" s="5"/>
    </row>
    <row r="330" spans="2:12" ht="33.6" x14ac:dyDescent="0.3">
      <c r="B330" s="25" t="s">
        <v>92</v>
      </c>
      <c r="C330" s="3" t="s">
        <v>22</v>
      </c>
      <c r="D330" s="46">
        <f>D306+D307-(0.57+0.59+7.4+0.32)</f>
        <v>153.25</v>
      </c>
      <c r="E330" s="44"/>
      <c r="F330" s="45"/>
      <c r="G330" s="45"/>
      <c r="H330" s="45"/>
      <c r="I330" s="45"/>
      <c r="J330" s="45"/>
      <c r="K330" s="5"/>
    </row>
    <row r="331" spans="2:12" x14ac:dyDescent="0.3">
      <c r="B331" s="43" t="s">
        <v>141</v>
      </c>
      <c r="C331" s="3" t="s">
        <v>28</v>
      </c>
      <c r="D331" s="46">
        <v>1</v>
      </c>
      <c r="E331" s="10"/>
      <c r="F331" s="4"/>
      <c r="G331" s="4"/>
      <c r="H331" s="4"/>
      <c r="I331" s="4"/>
      <c r="J331" s="4"/>
      <c r="K331" s="5"/>
    </row>
    <row r="332" spans="2:12" x14ac:dyDescent="0.3">
      <c r="B332" s="48" t="s">
        <v>29</v>
      </c>
      <c r="C332" s="3" t="s">
        <v>22</v>
      </c>
      <c r="D332" s="46">
        <v>118.81</v>
      </c>
      <c r="E332" s="10"/>
      <c r="F332" s="4"/>
      <c r="G332" s="4"/>
      <c r="H332" s="4"/>
      <c r="I332" s="4"/>
      <c r="J332" s="4"/>
      <c r="K332" s="5"/>
    </row>
    <row r="333" spans="2:12" x14ac:dyDescent="0.3">
      <c r="B333" s="48" t="s">
        <v>18</v>
      </c>
      <c r="C333" s="3" t="s">
        <v>22</v>
      </c>
      <c r="D333" s="46">
        <v>0.85</v>
      </c>
      <c r="E333" s="10"/>
      <c r="F333" s="4"/>
      <c r="G333" s="4"/>
      <c r="H333" s="4"/>
      <c r="I333" s="4"/>
      <c r="J333" s="4"/>
      <c r="K333" s="5"/>
    </row>
    <row r="334" spans="2:12" x14ac:dyDescent="0.3">
      <c r="B334" s="48" t="s">
        <v>63</v>
      </c>
      <c r="C334" s="3" t="s">
        <v>21</v>
      </c>
      <c r="D334" s="46">
        <v>3.8</v>
      </c>
      <c r="E334" s="10"/>
      <c r="F334" s="4"/>
      <c r="G334" s="4"/>
      <c r="H334" s="4"/>
      <c r="I334" s="4"/>
      <c r="J334" s="4"/>
      <c r="K334" s="5"/>
    </row>
    <row r="335" spans="2:12" x14ac:dyDescent="0.3">
      <c r="B335" s="48" t="s">
        <v>64</v>
      </c>
      <c r="C335" s="3" t="s">
        <v>22</v>
      </c>
      <c r="D335" s="46">
        <v>0.38</v>
      </c>
      <c r="E335" s="10"/>
      <c r="F335" s="4"/>
      <c r="G335" s="4"/>
      <c r="H335" s="4"/>
      <c r="I335" s="4"/>
      <c r="J335" s="4"/>
      <c r="K335" s="5"/>
    </row>
    <row r="336" spans="2:12" ht="46.8" x14ac:dyDescent="0.3">
      <c r="B336" s="48" t="s">
        <v>66</v>
      </c>
      <c r="C336" s="3" t="s">
        <v>21</v>
      </c>
      <c r="D336" s="46">
        <v>3.14</v>
      </c>
      <c r="E336" s="10"/>
      <c r="F336" s="4"/>
      <c r="G336" s="4"/>
      <c r="H336" s="4"/>
      <c r="I336" s="4"/>
      <c r="J336" s="4"/>
      <c r="K336" s="5"/>
    </row>
    <row r="337" spans="2:12" ht="31.2" x14ac:dyDescent="0.3">
      <c r="B337" s="48" t="s">
        <v>103</v>
      </c>
      <c r="C337" s="3" t="s">
        <v>28</v>
      </c>
      <c r="D337" s="46">
        <v>1</v>
      </c>
      <c r="E337" s="10"/>
      <c r="F337" s="4"/>
      <c r="G337" s="4"/>
      <c r="H337" s="4"/>
      <c r="I337" s="4"/>
      <c r="J337" s="4"/>
      <c r="K337" s="5"/>
    </row>
    <row r="338" spans="2:12" x14ac:dyDescent="0.3">
      <c r="B338" s="17" t="s">
        <v>104</v>
      </c>
      <c r="C338" s="3" t="s">
        <v>28</v>
      </c>
      <c r="D338" s="46">
        <v>1</v>
      </c>
      <c r="E338" s="10"/>
      <c r="F338" s="4"/>
      <c r="G338" s="4"/>
      <c r="H338" s="4"/>
      <c r="I338" s="4"/>
      <c r="J338" s="4"/>
      <c r="K338" s="5"/>
    </row>
    <row r="339" spans="2:12" x14ac:dyDescent="0.3">
      <c r="B339" s="17" t="s">
        <v>97</v>
      </c>
      <c r="C339" s="3" t="s">
        <v>22</v>
      </c>
      <c r="D339" s="46">
        <f>0.03*1.02</f>
        <v>3.0599999999999999E-2</v>
      </c>
      <c r="E339" s="10"/>
      <c r="F339" s="4"/>
      <c r="G339" s="4"/>
      <c r="H339" s="4"/>
      <c r="I339" s="4"/>
      <c r="J339" s="4"/>
      <c r="K339" s="5"/>
    </row>
    <row r="340" spans="2:12" ht="46.8" x14ac:dyDescent="0.3">
      <c r="B340" s="25" t="s">
        <v>70</v>
      </c>
      <c r="C340" s="3" t="s">
        <v>22</v>
      </c>
      <c r="D340" s="37">
        <v>1.2</v>
      </c>
      <c r="E340" s="10"/>
      <c r="F340" s="4"/>
      <c r="G340" s="4"/>
      <c r="H340" s="4"/>
      <c r="I340" s="4"/>
      <c r="J340" s="4"/>
      <c r="K340" s="5"/>
      <c r="L340" s="38" t="s">
        <v>69</v>
      </c>
    </row>
    <row r="341" spans="2:12" x14ac:dyDescent="0.3">
      <c r="B341" s="17" t="s">
        <v>71</v>
      </c>
      <c r="C341" s="3" t="s">
        <v>22</v>
      </c>
      <c r="D341" s="37">
        <f>D340*1.02</f>
        <v>1.224</v>
      </c>
      <c r="E341" s="10"/>
      <c r="F341" s="4"/>
      <c r="G341" s="4"/>
      <c r="H341" s="4"/>
      <c r="I341" s="4"/>
      <c r="J341" s="4"/>
      <c r="K341" s="5"/>
      <c r="L341" s="38"/>
    </row>
    <row r="342" spans="2:12" ht="31.2" x14ac:dyDescent="0.3">
      <c r="B342" s="25" t="s">
        <v>74</v>
      </c>
      <c r="C342" s="3" t="s">
        <v>28</v>
      </c>
      <c r="D342" s="46">
        <f>SUM(D343:D344)</f>
        <v>4</v>
      </c>
      <c r="E342" s="10"/>
      <c r="F342" s="4"/>
      <c r="G342" s="4"/>
      <c r="H342" s="4"/>
      <c r="I342" s="4"/>
      <c r="J342" s="4"/>
      <c r="K342" s="5"/>
    </row>
    <row r="343" spans="2:12" x14ac:dyDescent="0.3">
      <c r="B343" s="17" t="s">
        <v>105</v>
      </c>
      <c r="C343" s="3" t="s">
        <v>28</v>
      </c>
      <c r="D343" s="46">
        <v>2</v>
      </c>
      <c r="E343" s="10"/>
      <c r="F343" s="4"/>
      <c r="G343" s="4"/>
      <c r="H343" s="4"/>
      <c r="I343" s="4"/>
      <c r="J343" s="4"/>
      <c r="K343" s="5"/>
    </row>
    <row r="344" spans="2:12" x14ac:dyDescent="0.3">
      <c r="B344" s="40" t="s">
        <v>94</v>
      </c>
      <c r="C344" s="3" t="s">
        <v>28</v>
      </c>
      <c r="D344" s="37">
        <v>2</v>
      </c>
      <c r="E344" s="10"/>
      <c r="F344" s="4"/>
      <c r="G344" s="4"/>
      <c r="H344" s="4"/>
      <c r="I344" s="4"/>
      <c r="J344" s="4"/>
      <c r="K344" s="5"/>
      <c r="L344" s="38" t="s">
        <v>79</v>
      </c>
    </row>
    <row r="345" spans="2:12" ht="31.2" x14ac:dyDescent="0.3">
      <c r="B345" s="25" t="s">
        <v>81</v>
      </c>
      <c r="C345" s="3" t="s">
        <v>28</v>
      </c>
      <c r="D345" s="46">
        <v>1</v>
      </c>
      <c r="E345" s="10"/>
      <c r="F345" s="4"/>
      <c r="G345" s="4"/>
      <c r="H345" s="4"/>
      <c r="I345" s="4"/>
      <c r="J345" s="4"/>
      <c r="K345" s="5"/>
    </row>
    <row r="346" spans="2:12" x14ac:dyDescent="0.3">
      <c r="B346" s="17" t="s">
        <v>107</v>
      </c>
      <c r="C346" s="3" t="s">
        <v>28</v>
      </c>
      <c r="D346" s="46">
        <v>1</v>
      </c>
      <c r="E346" s="10"/>
      <c r="F346" s="4"/>
      <c r="G346" s="4"/>
      <c r="H346" s="4"/>
      <c r="I346" s="4"/>
      <c r="J346" s="4"/>
      <c r="K346" s="5"/>
    </row>
    <row r="347" spans="2:12" ht="31.2" x14ac:dyDescent="0.3">
      <c r="B347" s="25" t="s">
        <v>138</v>
      </c>
      <c r="C347" s="3" t="s">
        <v>108</v>
      </c>
      <c r="D347" s="46">
        <v>1</v>
      </c>
      <c r="E347" s="10"/>
      <c r="F347" s="4"/>
      <c r="G347" s="4"/>
      <c r="H347" s="4"/>
      <c r="I347" s="4"/>
      <c r="J347" s="4"/>
      <c r="K347" s="5"/>
    </row>
    <row r="348" spans="2:12" x14ac:dyDescent="0.3">
      <c r="B348" s="17" t="s">
        <v>137</v>
      </c>
      <c r="C348" s="3" t="s">
        <v>108</v>
      </c>
      <c r="D348" s="46">
        <v>1</v>
      </c>
      <c r="E348" s="10"/>
      <c r="F348" s="4"/>
      <c r="G348" s="4"/>
      <c r="H348" s="4"/>
      <c r="I348" s="4"/>
      <c r="J348" s="4"/>
      <c r="K348" s="5"/>
    </row>
    <row r="349" spans="2:12" ht="78" x14ac:dyDescent="0.3">
      <c r="B349" s="41" t="s">
        <v>86</v>
      </c>
      <c r="C349" s="3" t="s">
        <v>21</v>
      </c>
      <c r="D349" s="46">
        <f>((0.95+0.03+0.082)*3.14*1.9)+8.38+0.64+2.78+(1.615*0.12*4)+(1.615*1.615)</f>
        <v>21.519317000000004</v>
      </c>
      <c r="E349" s="10"/>
      <c r="F349" s="4"/>
      <c r="G349" s="4"/>
      <c r="H349" s="4"/>
      <c r="I349" s="4"/>
      <c r="J349" s="4"/>
      <c r="K349" s="5"/>
      <c r="L349" s="42" t="s">
        <v>85</v>
      </c>
    </row>
    <row r="350" spans="2:12" x14ac:dyDescent="0.3">
      <c r="B350" s="48" t="s">
        <v>139</v>
      </c>
      <c r="C350" s="3" t="s">
        <v>28</v>
      </c>
      <c r="D350" s="47">
        <v>1</v>
      </c>
      <c r="E350" s="44"/>
      <c r="F350" s="45"/>
      <c r="G350" s="45"/>
      <c r="H350" s="45"/>
      <c r="I350" s="45"/>
      <c r="J350" s="45"/>
      <c r="K350" s="5"/>
    </row>
    <row r="351" spans="2:12" x14ac:dyDescent="0.3">
      <c r="B351" s="17" t="s">
        <v>140</v>
      </c>
      <c r="C351" s="3" t="s">
        <v>27</v>
      </c>
      <c r="D351" s="47">
        <v>16.2</v>
      </c>
      <c r="E351" s="44"/>
      <c r="F351" s="45"/>
      <c r="G351" s="45"/>
      <c r="H351" s="45"/>
      <c r="I351" s="45"/>
      <c r="J351" s="45"/>
      <c r="K351" s="5"/>
    </row>
    <row r="352" spans="2:12" x14ac:dyDescent="0.3">
      <c r="B352" s="25" t="s">
        <v>91</v>
      </c>
      <c r="C352" s="3" t="s">
        <v>28</v>
      </c>
      <c r="D352" s="47">
        <v>2</v>
      </c>
      <c r="E352" s="44"/>
      <c r="F352" s="45"/>
      <c r="G352" s="45"/>
      <c r="H352" s="45"/>
      <c r="I352" s="45"/>
      <c r="J352" s="45"/>
      <c r="K352" s="5"/>
    </row>
    <row r="353" spans="2:11" ht="33.6" x14ac:dyDescent="0.3">
      <c r="B353" s="25" t="s">
        <v>92</v>
      </c>
      <c r="C353" s="3" t="s">
        <v>22</v>
      </c>
      <c r="D353" s="46">
        <f>D332+D333-(0.38+0.38+4.3+0.28)</f>
        <v>114.32</v>
      </c>
      <c r="E353" s="44"/>
      <c r="F353" s="45"/>
      <c r="G353" s="45"/>
      <c r="H353" s="45"/>
      <c r="I353" s="45"/>
      <c r="J353" s="45"/>
      <c r="K353" s="5"/>
    </row>
  </sheetData>
  <autoFilter ref="A10:Q330" xr:uid="{00000000-0001-0000-0000-000000000000}"/>
  <mergeCells count="11">
    <mergeCell ref="A6:N6"/>
    <mergeCell ref="A5:N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 БЕЗ В1 и В2</vt:lpstr>
      <vt:lpstr>№1 ВОР </vt:lpstr>
      <vt:lpstr>'№1 ВОР '!Область_печати</vt:lpstr>
      <vt:lpstr>'№1 ВОР  БЕЗ В1 и В2'!Область_печати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2024-12-11T07:27:53Z</cp:lastPrinted>
  <dcterms:created xsi:type="dcterms:W3CDTF">2015-06-05T18:19:34Z</dcterms:created>
  <dcterms:modified xsi:type="dcterms:W3CDTF">2024-12-17T08:56:48Z</dcterms:modified>
</cp:coreProperties>
</file>