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E4650ECD-5E17-4796-A02D-87978D69D56B}" xr6:coauthVersionLast="45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№1 ВОР  24.12 (2)" sheetId="16" r:id="rId1"/>
    <sheet name="№1 ВОР  24.12" sheetId="15" state="hidden" r:id="rId2"/>
    <sheet name="Ведомость материалов" sheetId="13" r:id="rId3"/>
    <sheet name="№1 ВОР " sheetId="8" state="hidden" r:id="rId4"/>
    <sheet name="Лист1" sheetId="11" r:id="rId5"/>
  </sheets>
  <definedNames>
    <definedName name="_xlnm._FilterDatabase" localSheetId="3" hidden="1">'№1 ВОР '!$A$10:$Q$330</definedName>
    <definedName name="_xlnm._FilterDatabase" localSheetId="1" hidden="1">'№1 ВОР  24.12'!$B$11:$P$195</definedName>
    <definedName name="_xlnm._FilterDatabase" localSheetId="0" hidden="1">'№1 ВОР  24.12 (2)'!$B$11:$P$195</definedName>
    <definedName name="_xlnm.Print_Area" localSheetId="3">'№1 ВОР '!$A$1:$L$309</definedName>
    <definedName name="_xlnm.Print_Area" localSheetId="1">'№1 ВОР  24.12'!$B$5:$L$194</definedName>
    <definedName name="_xlnm.Print_Area" localSheetId="0">'№1 ВОР  24.12 (2)'!$B$5:$L$194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3" i="16" l="1"/>
  <c r="K193" i="16"/>
  <c r="I193" i="16"/>
  <c r="H14" i="16"/>
  <c r="I14" i="16"/>
  <c r="K14" i="16" s="1"/>
  <c r="J14" i="16"/>
  <c r="H15" i="16"/>
  <c r="I15" i="16"/>
  <c r="J15" i="16"/>
  <c r="H16" i="16"/>
  <c r="I16" i="16"/>
  <c r="K16" i="16" s="1"/>
  <c r="J16" i="16"/>
  <c r="H17" i="16"/>
  <c r="I17" i="16"/>
  <c r="J17" i="16"/>
  <c r="H18" i="16"/>
  <c r="I18" i="16"/>
  <c r="K18" i="16" s="1"/>
  <c r="J18" i="16"/>
  <c r="H19" i="16"/>
  <c r="I19" i="16"/>
  <c r="K19" i="16" s="1"/>
  <c r="J19" i="16"/>
  <c r="H20" i="16"/>
  <c r="I20" i="16"/>
  <c r="K20" i="16" s="1"/>
  <c r="J20" i="16"/>
  <c r="H21" i="16"/>
  <c r="I21" i="16"/>
  <c r="K21" i="16" s="1"/>
  <c r="J21" i="16"/>
  <c r="H22" i="16"/>
  <c r="I22" i="16"/>
  <c r="K22" i="16" s="1"/>
  <c r="J22" i="16"/>
  <c r="H23" i="16"/>
  <c r="I23" i="16"/>
  <c r="J23" i="16"/>
  <c r="H24" i="16"/>
  <c r="I24" i="16"/>
  <c r="K24" i="16" s="1"/>
  <c r="J24" i="16"/>
  <c r="H25" i="16"/>
  <c r="I25" i="16"/>
  <c r="J25" i="16"/>
  <c r="H26" i="16"/>
  <c r="I26" i="16"/>
  <c r="K26" i="16" s="1"/>
  <c r="J26" i="16"/>
  <c r="H27" i="16"/>
  <c r="I27" i="16"/>
  <c r="K27" i="16" s="1"/>
  <c r="J27" i="16"/>
  <c r="H28" i="16"/>
  <c r="I28" i="16"/>
  <c r="K28" i="16" s="1"/>
  <c r="J28" i="16"/>
  <c r="H29" i="16"/>
  <c r="I29" i="16"/>
  <c r="K29" i="16" s="1"/>
  <c r="J29" i="16"/>
  <c r="H30" i="16"/>
  <c r="I30" i="16"/>
  <c r="K30" i="16" s="1"/>
  <c r="J30" i="16"/>
  <c r="H31" i="16"/>
  <c r="I31" i="16"/>
  <c r="J31" i="16"/>
  <c r="H32" i="16"/>
  <c r="I32" i="16"/>
  <c r="K32" i="16" s="1"/>
  <c r="J32" i="16"/>
  <c r="H33" i="16"/>
  <c r="I33" i="16"/>
  <c r="J33" i="16"/>
  <c r="H34" i="16"/>
  <c r="I34" i="16"/>
  <c r="K34" i="16" s="1"/>
  <c r="J34" i="16"/>
  <c r="H35" i="16"/>
  <c r="I35" i="16"/>
  <c r="K35" i="16" s="1"/>
  <c r="J35" i="16"/>
  <c r="H36" i="16"/>
  <c r="I36" i="16"/>
  <c r="K36" i="16" s="1"/>
  <c r="J36" i="16"/>
  <c r="H37" i="16"/>
  <c r="I37" i="16"/>
  <c r="K37" i="16" s="1"/>
  <c r="J37" i="16"/>
  <c r="H38" i="16"/>
  <c r="I38" i="16"/>
  <c r="K38" i="16" s="1"/>
  <c r="J38" i="16"/>
  <c r="H39" i="16"/>
  <c r="I39" i="16"/>
  <c r="J39" i="16"/>
  <c r="H40" i="16"/>
  <c r="I40" i="16"/>
  <c r="K40" i="16" s="1"/>
  <c r="J40" i="16"/>
  <c r="H41" i="16"/>
  <c r="I41" i="16"/>
  <c r="K41" i="16" s="1"/>
  <c r="J41" i="16"/>
  <c r="H42" i="16"/>
  <c r="I42" i="16"/>
  <c r="K42" i="16" s="1"/>
  <c r="J42" i="16"/>
  <c r="H43" i="16"/>
  <c r="I43" i="16"/>
  <c r="K43" i="16" s="1"/>
  <c r="J43" i="16"/>
  <c r="H44" i="16"/>
  <c r="I44" i="16"/>
  <c r="K44" i="16" s="1"/>
  <c r="J44" i="16"/>
  <c r="H45" i="16"/>
  <c r="I45" i="16"/>
  <c r="K45" i="16" s="1"/>
  <c r="J45" i="16"/>
  <c r="H46" i="16"/>
  <c r="I46" i="16"/>
  <c r="K46" i="16" s="1"/>
  <c r="J46" i="16"/>
  <c r="H47" i="16"/>
  <c r="I47" i="16"/>
  <c r="J47" i="16"/>
  <c r="H48" i="16"/>
  <c r="I48" i="16"/>
  <c r="K48" i="16" s="1"/>
  <c r="J48" i="16"/>
  <c r="H49" i="16"/>
  <c r="I49" i="16"/>
  <c r="K49" i="16" s="1"/>
  <c r="J49" i="16"/>
  <c r="H50" i="16"/>
  <c r="I50" i="16"/>
  <c r="K50" i="16" s="1"/>
  <c r="J50" i="16"/>
  <c r="H51" i="16"/>
  <c r="I51" i="16"/>
  <c r="K51" i="16" s="1"/>
  <c r="J51" i="16"/>
  <c r="H52" i="16"/>
  <c r="I52" i="16"/>
  <c r="K52" i="16" s="1"/>
  <c r="J52" i="16"/>
  <c r="H53" i="16"/>
  <c r="I53" i="16"/>
  <c r="K53" i="16" s="1"/>
  <c r="J53" i="16"/>
  <c r="H54" i="16"/>
  <c r="I54" i="16"/>
  <c r="K54" i="16" s="1"/>
  <c r="J54" i="16"/>
  <c r="H55" i="16"/>
  <c r="I55" i="16"/>
  <c r="J55" i="16"/>
  <c r="H56" i="16"/>
  <c r="I56" i="16"/>
  <c r="K56" i="16" s="1"/>
  <c r="J56" i="16"/>
  <c r="H57" i="16"/>
  <c r="I57" i="16"/>
  <c r="K57" i="16" s="1"/>
  <c r="J57" i="16"/>
  <c r="H58" i="16"/>
  <c r="I58" i="16"/>
  <c r="K58" i="16" s="1"/>
  <c r="J58" i="16"/>
  <c r="H59" i="16"/>
  <c r="I59" i="16"/>
  <c r="K59" i="16" s="1"/>
  <c r="J59" i="16"/>
  <c r="H60" i="16"/>
  <c r="I60" i="16"/>
  <c r="K60" i="16" s="1"/>
  <c r="J60" i="16"/>
  <c r="H61" i="16"/>
  <c r="I61" i="16"/>
  <c r="K61" i="16" s="1"/>
  <c r="J61" i="16"/>
  <c r="H62" i="16"/>
  <c r="I62" i="16"/>
  <c r="K62" i="16" s="1"/>
  <c r="J62" i="16"/>
  <c r="H63" i="16"/>
  <c r="I63" i="16"/>
  <c r="J63" i="16"/>
  <c r="H64" i="16"/>
  <c r="I64" i="16"/>
  <c r="K64" i="16" s="1"/>
  <c r="J64" i="16"/>
  <c r="H65" i="16"/>
  <c r="I65" i="16"/>
  <c r="K65" i="16" s="1"/>
  <c r="J65" i="16"/>
  <c r="H66" i="16"/>
  <c r="I66" i="16"/>
  <c r="K66" i="16" s="1"/>
  <c r="J66" i="16"/>
  <c r="H67" i="16"/>
  <c r="I67" i="16"/>
  <c r="K67" i="16" s="1"/>
  <c r="J67" i="16"/>
  <c r="H68" i="16"/>
  <c r="I68" i="16"/>
  <c r="K68" i="16" s="1"/>
  <c r="J68" i="16"/>
  <c r="H69" i="16"/>
  <c r="I69" i="16"/>
  <c r="K69" i="16" s="1"/>
  <c r="J69" i="16"/>
  <c r="H70" i="16"/>
  <c r="I70" i="16"/>
  <c r="K70" i="16" s="1"/>
  <c r="J70" i="16"/>
  <c r="H71" i="16"/>
  <c r="I71" i="16"/>
  <c r="J71" i="16"/>
  <c r="H72" i="16"/>
  <c r="I72" i="16"/>
  <c r="K72" i="16" s="1"/>
  <c r="J72" i="16"/>
  <c r="H73" i="16"/>
  <c r="I73" i="16"/>
  <c r="K73" i="16" s="1"/>
  <c r="J73" i="16"/>
  <c r="H74" i="16"/>
  <c r="I74" i="16"/>
  <c r="K74" i="16" s="1"/>
  <c r="J74" i="16"/>
  <c r="H75" i="16"/>
  <c r="I75" i="16"/>
  <c r="K75" i="16" s="1"/>
  <c r="J75" i="16"/>
  <c r="H76" i="16"/>
  <c r="I76" i="16"/>
  <c r="K76" i="16" s="1"/>
  <c r="J76" i="16"/>
  <c r="H77" i="16"/>
  <c r="I77" i="16"/>
  <c r="K77" i="16" s="1"/>
  <c r="J77" i="16"/>
  <c r="H78" i="16"/>
  <c r="I78" i="16"/>
  <c r="K78" i="16" s="1"/>
  <c r="J78" i="16"/>
  <c r="H79" i="16"/>
  <c r="I79" i="16"/>
  <c r="J79" i="16"/>
  <c r="H80" i="16"/>
  <c r="I80" i="16"/>
  <c r="K80" i="16" s="1"/>
  <c r="J80" i="16"/>
  <c r="H81" i="16"/>
  <c r="I81" i="16"/>
  <c r="K81" i="16" s="1"/>
  <c r="J81" i="16"/>
  <c r="H82" i="16"/>
  <c r="I82" i="16"/>
  <c r="J82" i="16"/>
  <c r="H83" i="16"/>
  <c r="I83" i="16"/>
  <c r="K83" i="16" s="1"/>
  <c r="J83" i="16"/>
  <c r="H84" i="16"/>
  <c r="I84" i="16"/>
  <c r="J84" i="16"/>
  <c r="H85" i="16"/>
  <c r="I85" i="16"/>
  <c r="K85" i="16" s="1"/>
  <c r="J85" i="16"/>
  <c r="H86" i="16"/>
  <c r="I86" i="16"/>
  <c r="K86" i="16" s="1"/>
  <c r="J86" i="16"/>
  <c r="H87" i="16"/>
  <c r="I87" i="16"/>
  <c r="J87" i="16"/>
  <c r="H88" i="16"/>
  <c r="I88" i="16"/>
  <c r="J88" i="16"/>
  <c r="H89" i="16"/>
  <c r="I89" i="16"/>
  <c r="K89" i="16" s="1"/>
  <c r="J89" i="16"/>
  <c r="H90" i="16"/>
  <c r="I90" i="16"/>
  <c r="J90" i="16"/>
  <c r="H91" i="16"/>
  <c r="I91" i="16"/>
  <c r="K91" i="16" s="1"/>
  <c r="J91" i="16"/>
  <c r="H92" i="16"/>
  <c r="I92" i="16"/>
  <c r="J92" i="16"/>
  <c r="H93" i="16"/>
  <c r="I93" i="16"/>
  <c r="K93" i="16" s="1"/>
  <c r="J93" i="16"/>
  <c r="H94" i="16"/>
  <c r="I94" i="16"/>
  <c r="K94" i="16" s="1"/>
  <c r="J94" i="16"/>
  <c r="H95" i="16"/>
  <c r="I95" i="16"/>
  <c r="J95" i="16"/>
  <c r="H96" i="16"/>
  <c r="I96" i="16"/>
  <c r="J96" i="16"/>
  <c r="H97" i="16"/>
  <c r="I97" i="16"/>
  <c r="K97" i="16" s="1"/>
  <c r="J97" i="16"/>
  <c r="H98" i="16"/>
  <c r="I98" i="16"/>
  <c r="J98" i="16"/>
  <c r="H99" i="16"/>
  <c r="I99" i="16"/>
  <c r="K99" i="16" s="1"/>
  <c r="J99" i="16"/>
  <c r="H100" i="16"/>
  <c r="I100" i="16"/>
  <c r="J100" i="16"/>
  <c r="H101" i="16"/>
  <c r="I101" i="16"/>
  <c r="K101" i="16" s="1"/>
  <c r="J101" i="16"/>
  <c r="H102" i="16"/>
  <c r="I102" i="16"/>
  <c r="K102" i="16" s="1"/>
  <c r="J102" i="16"/>
  <c r="H103" i="16"/>
  <c r="I103" i="16"/>
  <c r="J103" i="16"/>
  <c r="H104" i="16"/>
  <c r="I104" i="16"/>
  <c r="J104" i="16"/>
  <c r="H105" i="16"/>
  <c r="I105" i="16"/>
  <c r="K105" i="16" s="1"/>
  <c r="J105" i="16"/>
  <c r="H106" i="16"/>
  <c r="I106" i="16"/>
  <c r="J106" i="16"/>
  <c r="H107" i="16"/>
  <c r="I107" i="16"/>
  <c r="K107" i="16" s="1"/>
  <c r="J107" i="16"/>
  <c r="H108" i="16"/>
  <c r="I108" i="16"/>
  <c r="J108" i="16"/>
  <c r="H109" i="16"/>
  <c r="I109" i="16"/>
  <c r="K109" i="16" s="1"/>
  <c r="J109" i="16"/>
  <c r="H110" i="16"/>
  <c r="I110" i="16"/>
  <c r="K110" i="16" s="1"/>
  <c r="J110" i="16"/>
  <c r="H111" i="16"/>
  <c r="I111" i="16"/>
  <c r="J111" i="16"/>
  <c r="H112" i="16"/>
  <c r="I112" i="16"/>
  <c r="J112" i="16"/>
  <c r="H113" i="16"/>
  <c r="I113" i="16"/>
  <c r="K113" i="16" s="1"/>
  <c r="J113" i="16"/>
  <c r="H114" i="16"/>
  <c r="I114" i="16"/>
  <c r="J114" i="16"/>
  <c r="H115" i="16"/>
  <c r="I115" i="16"/>
  <c r="K115" i="16" s="1"/>
  <c r="J115" i="16"/>
  <c r="H116" i="16"/>
  <c r="I116" i="16"/>
  <c r="J116" i="16"/>
  <c r="H117" i="16"/>
  <c r="I117" i="16"/>
  <c r="K117" i="16" s="1"/>
  <c r="J117" i="16"/>
  <c r="H118" i="16"/>
  <c r="I118" i="16"/>
  <c r="K118" i="16" s="1"/>
  <c r="J118" i="16"/>
  <c r="H119" i="16"/>
  <c r="I119" i="16"/>
  <c r="J119" i="16"/>
  <c r="H120" i="16"/>
  <c r="I120" i="16"/>
  <c r="J120" i="16"/>
  <c r="H121" i="16"/>
  <c r="I121" i="16"/>
  <c r="K121" i="16" s="1"/>
  <c r="J121" i="16"/>
  <c r="H122" i="16"/>
  <c r="I122" i="16"/>
  <c r="J122" i="16"/>
  <c r="H123" i="16"/>
  <c r="I123" i="16"/>
  <c r="K123" i="16" s="1"/>
  <c r="J123" i="16"/>
  <c r="H124" i="16"/>
  <c r="I124" i="16"/>
  <c r="J124" i="16"/>
  <c r="H125" i="16"/>
  <c r="I125" i="16"/>
  <c r="K125" i="16" s="1"/>
  <c r="J125" i="16"/>
  <c r="H126" i="16"/>
  <c r="I126" i="16"/>
  <c r="K126" i="16" s="1"/>
  <c r="J126" i="16"/>
  <c r="H127" i="16"/>
  <c r="I127" i="16"/>
  <c r="J127" i="16"/>
  <c r="H128" i="16"/>
  <c r="I128" i="16"/>
  <c r="J128" i="16"/>
  <c r="H129" i="16"/>
  <c r="I129" i="16"/>
  <c r="K129" i="16" s="1"/>
  <c r="J129" i="16"/>
  <c r="H130" i="16"/>
  <c r="I130" i="16"/>
  <c r="J130" i="16"/>
  <c r="H131" i="16"/>
  <c r="I131" i="16"/>
  <c r="K131" i="16" s="1"/>
  <c r="J131" i="16"/>
  <c r="H132" i="16"/>
  <c r="I132" i="16"/>
  <c r="J132" i="16"/>
  <c r="H133" i="16"/>
  <c r="I133" i="16"/>
  <c r="K133" i="16" s="1"/>
  <c r="J133" i="16"/>
  <c r="H134" i="16"/>
  <c r="I134" i="16"/>
  <c r="K134" i="16" s="1"/>
  <c r="J134" i="16"/>
  <c r="H135" i="16"/>
  <c r="I135" i="16"/>
  <c r="J135" i="16"/>
  <c r="H136" i="16"/>
  <c r="I136" i="16"/>
  <c r="J136" i="16"/>
  <c r="H137" i="16"/>
  <c r="I137" i="16"/>
  <c r="K137" i="16" s="1"/>
  <c r="J137" i="16"/>
  <c r="H138" i="16"/>
  <c r="I138" i="16"/>
  <c r="J138" i="16"/>
  <c r="H139" i="16"/>
  <c r="I139" i="16"/>
  <c r="K139" i="16" s="1"/>
  <c r="J139" i="16"/>
  <c r="H140" i="16"/>
  <c r="I140" i="16"/>
  <c r="J140" i="16"/>
  <c r="H141" i="16"/>
  <c r="I141" i="16"/>
  <c r="K141" i="16" s="1"/>
  <c r="J141" i="16"/>
  <c r="H142" i="16"/>
  <c r="I142" i="16"/>
  <c r="K142" i="16" s="1"/>
  <c r="J142" i="16"/>
  <c r="H143" i="16"/>
  <c r="I143" i="16"/>
  <c r="J143" i="16"/>
  <c r="H144" i="16"/>
  <c r="I144" i="16"/>
  <c r="J144" i="16"/>
  <c r="H145" i="16"/>
  <c r="I145" i="16"/>
  <c r="K145" i="16" s="1"/>
  <c r="J145" i="16"/>
  <c r="H146" i="16"/>
  <c r="I146" i="16"/>
  <c r="J146" i="16"/>
  <c r="H147" i="16"/>
  <c r="I147" i="16"/>
  <c r="K147" i="16" s="1"/>
  <c r="J147" i="16"/>
  <c r="H148" i="16"/>
  <c r="I148" i="16"/>
  <c r="J148" i="16"/>
  <c r="H149" i="16"/>
  <c r="I149" i="16"/>
  <c r="K149" i="16" s="1"/>
  <c r="J149" i="16"/>
  <c r="H150" i="16"/>
  <c r="I150" i="16"/>
  <c r="K150" i="16" s="1"/>
  <c r="J150" i="16"/>
  <c r="H151" i="16"/>
  <c r="I151" i="16"/>
  <c r="J151" i="16"/>
  <c r="H152" i="16"/>
  <c r="I152" i="16"/>
  <c r="J152" i="16"/>
  <c r="H153" i="16"/>
  <c r="I153" i="16"/>
  <c r="K153" i="16" s="1"/>
  <c r="J153" i="16"/>
  <c r="H154" i="16"/>
  <c r="I154" i="16"/>
  <c r="J154" i="16"/>
  <c r="H155" i="16"/>
  <c r="I155" i="16"/>
  <c r="K155" i="16" s="1"/>
  <c r="J155" i="16"/>
  <c r="H156" i="16"/>
  <c r="I156" i="16"/>
  <c r="J156" i="16"/>
  <c r="H157" i="16"/>
  <c r="I157" i="16"/>
  <c r="K157" i="16" s="1"/>
  <c r="J157" i="16"/>
  <c r="H158" i="16"/>
  <c r="I158" i="16"/>
  <c r="K158" i="16" s="1"/>
  <c r="J158" i="16"/>
  <c r="H159" i="16"/>
  <c r="I159" i="16"/>
  <c r="J159" i="16"/>
  <c r="H160" i="16"/>
  <c r="I160" i="16"/>
  <c r="J160" i="16"/>
  <c r="H161" i="16"/>
  <c r="I161" i="16"/>
  <c r="K161" i="16" s="1"/>
  <c r="J161" i="16"/>
  <c r="H162" i="16"/>
  <c r="I162" i="16"/>
  <c r="J162" i="16"/>
  <c r="H163" i="16"/>
  <c r="I163" i="16"/>
  <c r="K163" i="16" s="1"/>
  <c r="J163" i="16"/>
  <c r="H164" i="16"/>
  <c r="I164" i="16"/>
  <c r="J164" i="16"/>
  <c r="H165" i="16"/>
  <c r="I165" i="16"/>
  <c r="K165" i="16" s="1"/>
  <c r="J165" i="16"/>
  <c r="H166" i="16"/>
  <c r="I166" i="16"/>
  <c r="K166" i="16" s="1"/>
  <c r="J166" i="16"/>
  <c r="H167" i="16"/>
  <c r="I167" i="16"/>
  <c r="J167" i="16"/>
  <c r="H168" i="16"/>
  <c r="I168" i="16"/>
  <c r="J168" i="16"/>
  <c r="H169" i="16"/>
  <c r="I169" i="16"/>
  <c r="K169" i="16" s="1"/>
  <c r="J169" i="16"/>
  <c r="H170" i="16"/>
  <c r="I170" i="16"/>
  <c r="J170" i="16"/>
  <c r="H171" i="16"/>
  <c r="I171" i="16"/>
  <c r="K171" i="16" s="1"/>
  <c r="J171" i="16"/>
  <c r="H172" i="16"/>
  <c r="I172" i="16"/>
  <c r="J172" i="16"/>
  <c r="H173" i="16"/>
  <c r="I173" i="16"/>
  <c r="K173" i="16" s="1"/>
  <c r="J173" i="16"/>
  <c r="H174" i="16"/>
  <c r="I174" i="16"/>
  <c r="K174" i="16" s="1"/>
  <c r="J174" i="16"/>
  <c r="H175" i="16"/>
  <c r="I175" i="16"/>
  <c r="J175" i="16"/>
  <c r="H176" i="16"/>
  <c r="I176" i="16"/>
  <c r="J176" i="16"/>
  <c r="H177" i="16"/>
  <c r="I177" i="16"/>
  <c r="K177" i="16" s="1"/>
  <c r="J177" i="16"/>
  <c r="H178" i="16"/>
  <c r="I178" i="16"/>
  <c r="J178" i="16"/>
  <c r="H179" i="16"/>
  <c r="I179" i="16"/>
  <c r="J179" i="16"/>
  <c r="H180" i="16"/>
  <c r="I180" i="16"/>
  <c r="J180" i="16"/>
  <c r="H181" i="16"/>
  <c r="I181" i="16"/>
  <c r="K181" i="16" s="1"/>
  <c r="J181" i="16"/>
  <c r="H182" i="16"/>
  <c r="I182" i="16"/>
  <c r="K182" i="16" s="1"/>
  <c r="J182" i="16"/>
  <c r="H183" i="16"/>
  <c r="I183" i="16"/>
  <c r="J183" i="16"/>
  <c r="H184" i="16"/>
  <c r="I184" i="16"/>
  <c r="J184" i="16"/>
  <c r="K184" i="16"/>
  <c r="H185" i="16"/>
  <c r="I185" i="16"/>
  <c r="J185" i="16"/>
  <c r="K185" i="16"/>
  <c r="H186" i="16"/>
  <c r="I186" i="16"/>
  <c r="J186" i="16"/>
  <c r="K186" i="16"/>
  <c r="H187" i="16"/>
  <c r="I187" i="16"/>
  <c r="J187" i="16"/>
  <c r="K187" i="16"/>
  <c r="H188" i="16"/>
  <c r="I188" i="16"/>
  <c r="J188" i="16"/>
  <c r="K188" i="16"/>
  <c r="H189" i="16"/>
  <c r="I189" i="16"/>
  <c r="J189" i="16"/>
  <c r="K189" i="16"/>
  <c r="H190" i="16"/>
  <c r="I190" i="16"/>
  <c r="J190" i="16"/>
  <c r="K190" i="16"/>
  <c r="H191" i="16"/>
  <c r="I191" i="16"/>
  <c r="J191" i="16"/>
  <c r="K191" i="16"/>
  <c r="H192" i="16"/>
  <c r="I192" i="16"/>
  <c r="J192" i="16"/>
  <c r="K192" i="16"/>
  <c r="K13" i="16"/>
  <c r="J13" i="16"/>
  <c r="I13" i="16"/>
  <c r="H13" i="16"/>
  <c r="K178" i="16" l="1"/>
  <c r="K162" i="16"/>
  <c r="K146" i="16"/>
  <c r="K130" i="16"/>
  <c r="K122" i="16"/>
  <c r="K98" i="16"/>
  <c r="K90" i="16"/>
  <c r="K179" i="16"/>
  <c r="K176" i="16"/>
  <c r="K168" i="16"/>
  <c r="K160" i="16"/>
  <c r="K152" i="16"/>
  <c r="K144" i="16"/>
  <c r="K136" i="16"/>
  <c r="K128" i="16"/>
  <c r="K120" i="16"/>
  <c r="K112" i="16"/>
  <c r="K104" i="16"/>
  <c r="K96" i="16"/>
  <c r="K88" i="16"/>
  <c r="K114" i="16"/>
  <c r="K170" i="16"/>
  <c r="K154" i="16"/>
  <c r="K138" i="16"/>
  <c r="K82" i="16"/>
  <c r="K175" i="16"/>
  <c r="K167" i="16"/>
  <c r="K151" i="16"/>
  <c r="K135" i="16"/>
  <c r="K95" i="16"/>
  <c r="K71" i="16"/>
  <c r="K63" i="16"/>
  <c r="K55" i="16"/>
  <c r="K47" i="16"/>
  <c r="K39" i="16"/>
  <c r="K31" i="16"/>
  <c r="K23" i="16"/>
  <c r="K15" i="16"/>
  <c r="K180" i="16"/>
  <c r="K172" i="16"/>
  <c r="K164" i="16"/>
  <c r="K156" i="16"/>
  <c r="K148" i="16"/>
  <c r="K140" i="16"/>
  <c r="K132" i="16"/>
  <c r="K124" i="16"/>
  <c r="K116" i="16"/>
  <c r="K108" i="16"/>
  <c r="K100" i="16"/>
  <c r="K92" i="16"/>
  <c r="K84" i="16"/>
  <c r="K106" i="16"/>
  <c r="K183" i="16"/>
  <c r="K159" i="16"/>
  <c r="K143" i="16"/>
  <c r="K127" i="16"/>
  <c r="K119" i="16"/>
  <c r="K111" i="16"/>
  <c r="K103" i="16"/>
  <c r="K87" i="16"/>
  <c r="K79" i="16"/>
  <c r="K33" i="16"/>
  <c r="K25" i="16"/>
  <c r="K17" i="16"/>
  <c r="E191" i="16"/>
  <c r="E189" i="16"/>
  <c r="E187" i="16"/>
  <c r="E185" i="16"/>
  <c r="E184" i="16"/>
  <c r="E182" i="16"/>
  <c r="E180" i="16"/>
  <c r="E179" i="16"/>
  <c r="E177" i="16"/>
  <c r="E175" i="16"/>
  <c r="E173" i="16"/>
  <c r="E171" i="16"/>
  <c r="E168" i="16"/>
  <c r="E166" i="16"/>
  <c r="E164" i="16"/>
  <c r="E163" i="16"/>
  <c r="E161" i="16"/>
  <c r="E159" i="16"/>
  <c r="E158" i="16"/>
  <c r="E156" i="16"/>
  <c r="E154" i="16"/>
  <c r="E152" i="16"/>
  <c r="E150" i="16"/>
  <c r="E147" i="16"/>
  <c r="E146" i="16"/>
  <c r="E144" i="16"/>
  <c r="E142" i="16"/>
  <c r="E139" i="16"/>
  <c r="E138" i="16"/>
  <c r="E136" i="16"/>
  <c r="E134" i="16"/>
  <c r="E133" i="16"/>
  <c r="E131" i="16"/>
  <c r="E127" i="16"/>
  <c r="E128" i="16" s="1"/>
  <c r="E126" i="16"/>
  <c r="E124" i="16"/>
  <c r="E123" i="16"/>
  <c r="E121" i="16"/>
  <c r="E119" i="16"/>
  <c r="E118" i="16"/>
  <c r="E116" i="16"/>
  <c r="E114" i="16"/>
  <c r="E112" i="16"/>
  <c r="E110" i="16"/>
  <c r="E107" i="16"/>
  <c r="E105" i="16"/>
  <c r="E103" i="16"/>
  <c r="E102" i="16"/>
  <c r="E100" i="16"/>
  <c r="E98" i="16"/>
  <c r="E97" i="16"/>
  <c r="E95" i="16"/>
  <c r="E93" i="16"/>
  <c r="E91" i="16"/>
  <c r="E89" i="16"/>
  <c r="E85" i="16"/>
  <c r="E84" i="16"/>
  <c r="E82" i="16"/>
  <c r="E80" i="16"/>
  <c r="E78" i="16"/>
  <c r="E76" i="16"/>
  <c r="E73" i="16"/>
  <c r="E72" i="16"/>
  <c r="E70" i="16"/>
  <c r="E68" i="16"/>
  <c r="E66" i="16"/>
  <c r="E64" i="16"/>
  <c r="E61" i="16"/>
  <c r="E59" i="16"/>
  <c r="E57" i="16"/>
  <c r="E55" i="16"/>
  <c r="E52" i="16"/>
  <c r="E51" i="16"/>
  <c r="E49" i="16"/>
  <c r="E48" i="16"/>
  <c r="E45" i="16"/>
  <c r="E44" i="16"/>
  <c r="E37" i="16"/>
  <c r="E35" i="16"/>
  <c r="E33" i="16"/>
  <c r="E30" i="16"/>
  <c r="E41" i="16" s="1"/>
  <c r="E28" i="16"/>
  <c r="E27" i="16"/>
  <c r="E25" i="16"/>
  <c r="E23" i="16"/>
  <c r="E22" i="16"/>
  <c r="E20" i="16"/>
  <c r="E18" i="16"/>
  <c r="E16" i="16"/>
  <c r="E14" i="16"/>
  <c r="H181" i="15"/>
  <c r="I181" i="15"/>
  <c r="J181" i="15"/>
  <c r="H182" i="15"/>
  <c r="E182" i="15"/>
  <c r="I182" i="15" s="1"/>
  <c r="H160" i="15"/>
  <c r="I160" i="15"/>
  <c r="J160" i="15"/>
  <c r="H161" i="15"/>
  <c r="E161" i="15"/>
  <c r="I161" i="15" s="1"/>
  <c r="H135" i="15"/>
  <c r="I135" i="15"/>
  <c r="J135" i="15"/>
  <c r="H136" i="15"/>
  <c r="E136" i="15"/>
  <c r="I136" i="15" s="1"/>
  <c r="H120" i="15"/>
  <c r="I120" i="15"/>
  <c r="J120" i="15"/>
  <c r="H121" i="15"/>
  <c r="E121" i="15"/>
  <c r="I121" i="15" s="1"/>
  <c r="H99" i="15"/>
  <c r="I99" i="15"/>
  <c r="J99" i="15"/>
  <c r="H100" i="15"/>
  <c r="E100" i="15"/>
  <c r="I100" i="15" s="1"/>
  <c r="E42" i="16" l="1"/>
  <c r="E38" i="16"/>
  <c r="E31" i="16"/>
  <c r="E50" i="16"/>
  <c r="E40" i="16"/>
  <c r="K181" i="15"/>
  <c r="J121" i="15"/>
  <c r="K121" i="15" s="1"/>
  <c r="K120" i="15"/>
  <c r="J182" i="15"/>
  <c r="K182" i="15" s="1"/>
  <c r="J161" i="15"/>
  <c r="K161" i="15" s="1"/>
  <c r="K160" i="15"/>
  <c r="K135" i="15"/>
  <c r="J136" i="15"/>
  <c r="K136" i="15" s="1"/>
  <c r="K99" i="15"/>
  <c r="J100" i="15"/>
  <c r="K100" i="15" s="1"/>
  <c r="E39" i="16" l="1"/>
  <c r="E195" i="16"/>
  <c r="E105" i="15"/>
  <c r="J105" i="15" s="1"/>
  <c r="E189" i="15"/>
  <c r="J189" i="15" s="1"/>
  <c r="E187" i="15"/>
  <c r="J187" i="15" s="1"/>
  <c r="J188" i="15"/>
  <c r="E168" i="15"/>
  <c r="J168" i="15" s="1"/>
  <c r="E166" i="15"/>
  <c r="J166" i="15" s="1"/>
  <c r="E127" i="15"/>
  <c r="E128" i="15" s="1"/>
  <c r="E126" i="15"/>
  <c r="I126" i="15" s="1"/>
  <c r="J192" i="15"/>
  <c r="I192" i="15"/>
  <c r="H192" i="15"/>
  <c r="H191" i="15"/>
  <c r="H190" i="15"/>
  <c r="J190" i="15"/>
  <c r="H189" i="15"/>
  <c r="H188" i="15"/>
  <c r="H187" i="15"/>
  <c r="J186" i="15"/>
  <c r="I186" i="15"/>
  <c r="H186" i="15"/>
  <c r="H185" i="15"/>
  <c r="E185" i="15"/>
  <c r="J185" i="15" s="1"/>
  <c r="H184" i="15"/>
  <c r="E184" i="15"/>
  <c r="J184" i="15" s="1"/>
  <c r="J183" i="15"/>
  <c r="I183" i="15"/>
  <c r="H183" i="15"/>
  <c r="H180" i="15"/>
  <c r="E180" i="15"/>
  <c r="I180" i="15" s="1"/>
  <c r="H179" i="15"/>
  <c r="E179" i="15"/>
  <c r="J179" i="15" s="1"/>
  <c r="J178" i="15"/>
  <c r="I178" i="15"/>
  <c r="H178" i="15"/>
  <c r="H177" i="15"/>
  <c r="E177" i="15"/>
  <c r="I177" i="15" s="1"/>
  <c r="J176" i="15"/>
  <c r="I176" i="15"/>
  <c r="H176" i="15"/>
  <c r="H175" i="15"/>
  <c r="E175" i="15"/>
  <c r="J175" i="15" s="1"/>
  <c r="J174" i="15"/>
  <c r="I174" i="15"/>
  <c r="H174" i="15"/>
  <c r="H173" i="15"/>
  <c r="E173" i="15"/>
  <c r="I173" i="15" s="1"/>
  <c r="J172" i="15"/>
  <c r="I172" i="15"/>
  <c r="H172" i="15"/>
  <c r="H171" i="15"/>
  <c r="E171" i="15"/>
  <c r="I171" i="15" s="1"/>
  <c r="J170" i="15"/>
  <c r="I170" i="15"/>
  <c r="H170" i="15"/>
  <c r="J169" i="15"/>
  <c r="I169" i="15"/>
  <c r="H169" i="15"/>
  <c r="H168" i="15"/>
  <c r="J167" i="15"/>
  <c r="I167" i="15"/>
  <c r="H167" i="15"/>
  <c r="H166" i="15"/>
  <c r="J165" i="15"/>
  <c r="I165" i="15"/>
  <c r="H165" i="15"/>
  <c r="H164" i="15"/>
  <c r="E164" i="15"/>
  <c r="J164" i="15" s="1"/>
  <c r="H163" i="15"/>
  <c r="E163" i="15"/>
  <c r="J163" i="15" s="1"/>
  <c r="J162" i="15"/>
  <c r="I162" i="15"/>
  <c r="H162" i="15"/>
  <c r="H159" i="15"/>
  <c r="E159" i="15"/>
  <c r="J159" i="15" s="1"/>
  <c r="H158" i="15"/>
  <c r="E158" i="15"/>
  <c r="J158" i="15" s="1"/>
  <c r="J157" i="15"/>
  <c r="I157" i="15"/>
  <c r="H157" i="15"/>
  <c r="H156" i="15"/>
  <c r="E156" i="15"/>
  <c r="J156" i="15" s="1"/>
  <c r="J155" i="15"/>
  <c r="I155" i="15"/>
  <c r="H155" i="15"/>
  <c r="H154" i="15"/>
  <c r="E154" i="15"/>
  <c r="I154" i="15" s="1"/>
  <c r="J153" i="15"/>
  <c r="I153" i="15"/>
  <c r="H153" i="15"/>
  <c r="H152" i="15"/>
  <c r="E152" i="15"/>
  <c r="I152" i="15" s="1"/>
  <c r="J151" i="15"/>
  <c r="I151" i="15"/>
  <c r="H151" i="15"/>
  <c r="H150" i="15"/>
  <c r="E150" i="15"/>
  <c r="J150" i="15" s="1"/>
  <c r="J149" i="15"/>
  <c r="I149" i="15"/>
  <c r="H149" i="15"/>
  <c r="J148" i="15"/>
  <c r="I148" i="15"/>
  <c r="H148" i="15"/>
  <c r="H147" i="15"/>
  <c r="E147" i="15"/>
  <c r="I147" i="15" s="1"/>
  <c r="H146" i="15"/>
  <c r="E146" i="15"/>
  <c r="J146" i="15" s="1"/>
  <c r="J145" i="15"/>
  <c r="I145" i="15"/>
  <c r="H145" i="15"/>
  <c r="H144" i="15"/>
  <c r="E144" i="15"/>
  <c r="J144" i="15" s="1"/>
  <c r="J143" i="15"/>
  <c r="I143" i="15"/>
  <c r="H143" i="15"/>
  <c r="H142" i="15"/>
  <c r="E142" i="15"/>
  <c r="I142" i="15" s="1"/>
  <c r="J141" i="15"/>
  <c r="I141" i="15"/>
  <c r="H141" i="15"/>
  <c r="J140" i="15"/>
  <c r="I140" i="15"/>
  <c r="H140" i="15"/>
  <c r="H139" i="15"/>
  <c r="E139" i="15"/>
  <c r="J139" i="15" s="1"/>
  <c r="H138" i="15"/>
  <c r="E138" i="15"/>
  <c r="I138" i="15" s="1"/>
  <c r="J137" i="15"/>
  <c r="I137" i="15"/>
  <c r="H137" i="15"/>
  <c r="H134" i="15"/>
  <c r="E134" i="15"/>
  <c r="J134" i="15" s="1"/>
  <c r="H133" i="15"/>
  <c r="E133" i="15"/>
  <c r="J133" i="15" s="1"/>
  <c r="J132" i="15"/>
  <c r="I132" i="15"/>
  <c r="H132" i="15"/>
  <c r="H131" i="15"/>
  <c r="E131" i="15"/>
  <c r="J131" i="15" s="1"/>
  <c r="J130" i="15"/>
  <c r="I130" i="15"/>
  <c r="H130" i="15"/>
  <c r="J129" i="15"/>
  <c r="I129" i="15"/>
  <c r="H129" i="15"/>
  <c r="H128" i="15"/>
  <c r="H127" i="15"/>
  <c r="H126" i="15"/>
  <c r="J125" i="15"/>
  <c r="I125" i="15"/>
  <c r="H125" i="15"/>
  <c r="H124" i="15"/>
  <c r="E124" i="15"/>
  <c r="I124" i="15" s="1"/>
  <c r="H123" i="15"/>
  <c r="E123" i="15"/>
  <c r="J123" i="15" s="1"/>
  <c r="J122" i="15"/>
  <c r="I122" i="15"/>
  <c r="H122" i="15"/>
  <c r="H119" i="15"/>
  <c r="E119" i="15"/>
  <c r="I119" i="15" s="1"/>
  <c r="H118" i="15"/>
  <c r="E118" i="15"/>
  <c r="J118" i="15" s="1"/>
  <c r="J117" i="15"/>
  <c r="I117" i="15"/>
  <c r="H117" i="15"/>
  <c r="H116" i="15"/>
  <c r="E116" i="15"/>
  <c r="J116" i="15" s="1"/>
  <c r="J115" i="15"/>
  <c r="I115" i="15"/>
  <c r="H115" i="15"/>
  <c r="H114" i="15"/>
  <c r="E114" i="15"/>
  <c r="J114" i="15" s="1"/>
  <c r="J113" i="15"/>
  <c r="I113" i="15"/>
  <c r="H113" i="15"/>
  <c r="H112" i="15"/>
  <c r="E112" i="15"/>
  <c r="J112" i="15" s="1"/>
  <c r="J111" i="15"/>
  <c r="I111" i="15"/>
  <c r="H111" i="15"/>
  <c r="H110" i="15"/>
  <c r="E110" i="15"/>
  <c r="I110" i="15" s="1"/>
  <c r="J109" i="15"/>
  <c r="I109" i="15"/>
  <c r="H109" i="15"/>
  <c r="J108" i="15"/>
  <c r="I108" i="15"/>
  <c r="H108" i="15"/>
  <c r="H107" i="15"/>
  <c r="E107" i="15"/>
  <c r="J107" i="15" s="1"/>
  <c r="J106" i="15"/>
  <c r="I106" i="15"/>
  <c r="H106" i="15"/>
  <c r="H105" i="15"/>
  <c r="J104" i="15"/>
  <c r="I104" i="15"/>
  <c r="H104" i="15"/>
  <c r="H103" i="15"/>
  <c r="E103" i="15"/>
  <c r="I103" i="15" s="1"/>
  <c r="H102" i="15"/>
  <c r="E102" i="15"/>
  <c r="J102" i="15" s="1"/>
  <c r="J101" i="15"/>
  <c r="I101" i="15"/>
  <c r="H101" i="15"/>
  <c r="H98" i="15"/>
  <c r="E98" i="15"/>
  <c r="J98" i="15" s="1"/>
  <c r="H97" i="15"/>
  <c r="E97" i="15"/>
  <c r="J97" i="15" s="1"/>
  <c r="J96" i="15"/>
  <c r="I96" i="15"/>
  <c r="H96" i="15"/>
  <c r="H95" i="15"/>
  <c r="E95" i="15"/>
  <c r="J95" i="15" s="1"/>
  <c r="J94" i="15"/>
  <c r="I94" i="15"/>
  <c r="H94" i="15"/>
  <c r="H93" i="15"/>
  <c r="E93" i="15"/>
  <c r="J93" i="15" s="1"/>
  <c r="J92" i="15"/>
  <c r="I92" i="15"/>
  <c r="H92" i="15"/>
  <c r="H91" i="15"/>
  <c r="E91" i="15"/>
  <c r="I91" i="15" s="1"/>
  <c r="J90" i="15"/>
  <c r="I90" i="15"/>
  <c r="H90" i="15"/>
  <c r="H89" i="15"/>
  <c r="E89" i="15"/>
  <c r="J89" i="15" s="1"/>
  <c r="J88" i="15"/>
  <c r="I88" i="15"/>
  <c r="H88" i="15"/>
  <c r="J87" i="15"/>
  <c r="I87" i="15"/>
  <c r="H87" i="15"/>
  <c r="J86" i="15"/>
  <c r="I86" i="15"/>
  <c r="H86" i="15"/>
  <c r="H85" i="15"/>
  <c r="E85" i="15"/>
  <c r="J85" i="15" s="1"/>
  <c r="H84" i="15"/>
  <c r="E84" i="15"/>
  <c r="J84" i="15" s="1"/>
  <c r="J83" i="15"/>
  <c r="I83" i="15"/>
  <c r="H83" i="15"/>
  <c r="H82" i="15"/>
  <c r="E82" i="15"/>
  <c r="I82" i="15" s="1"/>
  <c r="J81" i="15"/>
  <c r="I81" i="15"/>
  <c r="H81" i="15"/>
  <c r="H80" i="15"/>
  <c r="E80" i="15"/>
  <c r="I80" i="15" s="1"/>
  <c r="J79" i="15"/>
  <c r="I79" i="15"/>
  <c r="H79" i="15"/>
  <c r="H78" i="15"/>
  <c r="E78" i="15"/>
  <c r="I78" i="15" s="1"/>
  <c r="J77" i="15"/>
  <c r="I77" i="15"/>
  <c r="H77" i="15"/>
  <c r="H76" i="15"/>
  <c r="E76" i="15"/>
  <c r="J76" i="15" s="1"/>
  <c r="J75" i="15"/>
  <c r="I75" i="15"/>
  <c r="H75" i="15"/>
  <c r="J74" i="15"/>
  <c r="I74" i="15"/>
  <c r="H74" i="15"/>
  <c r="H73" i="15"/>
  <c r="E73" i="15"/>
  <c r="J73" i="15" s="1"/>
  <c r="H72" i="15"/>
  <c r="E72" i="15"/>
  <c r="J72" i="15" s="1"/>
  <c r="J71" i="15"/>
  <c r="I71" i="15"/>
  <c r="H71" i="15"/>
  <c r="H70" i="15"/>
  <c r="E70" i="15"/>
  <c r="I70" i="15" s="1"/>
  <c r="J69" i="15"/>
  <c r="I69" i="15"/>
  <c r="H69" i="15"/>
  <c r="H68" i="15"/>
  <c r="E68" i="15"/>
  <c r="J68" i="15" s="1"/>
  <c r="J67" i="15"/>
  <c r="I67" i="15"/>
  <c r="H67" i="15"/>
  <c r="H66" i="15"/>
  <c r="E66" i="15"/>
  <c r="J66" i="15" s="1"/>
  <c r="J65" i="15"/>
  <c r="I65" i="15"/>
  <c r="H65" i="15"/>
  <c r="H64" i="15"/>
  <c r="E64" i="15"/>
  <c r="I64" i="15" s="1"/>
  <c r="J63" i="15"/>
  <c r="I63" i="15"/>
  <c r="H63" i="15"/>
  <c r="J62" i="15"/>
  <c r="I62" i="15"/>
  <c r="H62" i="15"/>
  <c r="H61" i="15"/>
  <c r="E61" i="15"/>
  <c r="J61" i="15" s="1"/>
  <c r="J60" i="15"/>
  <c r="I60" i="15"/>
  <c r="H60" i="15"/>
  <c r="H59" i="15"/>
  <c r="E59" i="15"/>
  <c r="J59" i="15" s="1"/>
  <c r="J58" i="15"/>
  <c r="I58" i="15"/>
  <c r="H58" i="15"/>
  <c r="H57" i="15"/>
  <c r="E57" i="15"/>
  <c r="J57" i="15" s="1"/>
  <c r="J56" i="15"/>
  <c r="I56" i="15"/>
  <c r="H56" i="15"/>
  <c r="H55" i="15"/>
  <c r="E55" i="15"/>
  <c r="J55" i="15" s="1"/>
  <c r="J54" i="15"/>
  <c r="I54" i="15"/>
  <c r="H54" i="15"/>
  <c r="J53" i="15"/>
  <c r="I53" i="15"/>
  <c r="H53" i="15"/>
  <c r="H52" i="15"/>
  <c r="H51" i="15"/>
  <c r="E51" i="15"/>
  <c r="E52" i="15" s="1"/>
  <c r="J52" i="15" s="1"/>
  <c r="H50" i="15"/>
  <c r="H49" i="15"/>
  <c r="H48" i="15"/>
  <c r="E48" i="15"/>
  <c r="E50" i="15" s="1"/>
  <c r="J47" i="15"/>
  <c r="I47" i="15"/>
  <c r="H47" i="15"/>
  <c r="J46" i="15"/>
  <c r="I46" i="15"/>
  <c r="H46" i="15"/>
  <c r="H45" i="15"/>
  <c r="E45" i="15"/>
  <c r="I45" i="15" s="1"/>
  <c r="H44" i="15"/>
  <c r="E44" i="15"/>
  <c r="J44" i="15" s="1"/>
  <c r="J43" i="15"/>
  <c r="I43" i="15"/>
  <c r="H43" i="15"/>
  <c r="H42" i="15"/>
  <c r="H41" i="15"/>
  <c r="H40" i="15"/>
  <c r="H39" i="15"/>
  <c r="H38" i="15"/>
  <c r="H37" i="15"/>
  <c r="E37" i="15"/>
  <c r="J37" i="15" s="1"/>
  <c r="J36" i="15"/>
  <c r="I36" i="15"/>
  <c r="H36" i="15"/>
  <c r="H35" i="15"/>
  <c r="E35" i="15"/>
  <c r="J35" i="15" s="1"/>
  <c r="J34" i="15"/>
  <c r="I34" i="15"/>
  <c r="H34" i="15"/>
  <c r="H33" i="15"/>
  <c r="E33" i="15"/>
  <c r="I33" i="15" s="1"/>
  <c r="J32" i="15"/>
  <c r="I32" i="15"/>
  <c r="H32" i="15"/>
  <c r="H31" i="15"/>
  <c r="H30" i="15"/>
  <c r="E30" i="15"/>
  <c r="J30" i="15" s="1"/>
  <c r="J29" i="15"/>
  <c r="I29" i="15"/>
  <c r="H29" i="15"/>
  <c r="H28" i="15"/>
  <c r="E28" i="15"/>
  <c r="I28" i="15" s="1"/>
  <c r="H27" i="15"/>
  <c r="E27" i="15"/>
  <c r="J27" i="15" s="1"/>
  <c r="J26" i="15"/>
  <c r="I26" i="15"/>
  <c r="H26" i="15"/>
  <c r="H25" i="15"/>
  <c r="E25" i="15"/>
  <c r="I25" i="15" s="1"/>
  <c r="J24" i="15"/>
  <c r="I24" i="15"/>
  <c r="H24" i="15"/>
  <c r="H23" i="15"/>
  <c r="E23" i="15"/>
  <c r="J23" i="15" s="1"/>
  <c r="H22" i="15"/>
  <c r="E22" i="15"/>
  <c r="J22" i="15" s="1"/>
  <c r="J21" i="15"/>
  <c r="I21" i="15"/>
  <c r="H21" i="15"/>
  <c r="H20" i="15"/>
  <c r="E20" i="15"/>
  <c r="J20" i="15" s="1"/>
  <c r="J19" i="15"/>
  <c r="I19" i="15"/>
  <c r="H19" i="15"/>
  <c r="H18" i="15"/>
  <c r="E18" i="15"/>
  <c r="J18" i="15" s="1"/>
  <c r="J17" i="15"/>
  <c r="I17" i="15"/>
  <c r="H17" i="15"/>
  <c r="H16" i="15"/>
  <c r="E16" i="15"/>
  <c r="J16" i="15" s="1"/>
  <c r="J15" i="15"/>
  <c r="I15" i="15"/>
  <c r="H15" i="15"/>
  <c r="H14" i="15"/>
  <c r="E14" i="15"/>
  <c r="J13" i="15"/>
  <c r="I13" i="15"/>
  <c r="H13" i="15"/>
  <c r="J194" i="16" l="1"/>
  <c r="J127" i="15"/>
  <c r="K137" i="15"/>
  <c r="K86" i="15"/>
  <c r="J177" i="15"/>
  <c r="K177" i="15" s="1"/>
  <c r="K88" i="15"/>
  <c r="J70" i="15"/>
  <c r="K70" i="15" s="1"/>
  <c r="I184" i="15"/>
  <c r="K184" i="15" s="1"/>
  <c r="K117" i="15"/>
  <c r="E191" i="15"/>
  <c r="I191" i="15" s="1"/>
  <c r="I188" i="15"/>
  <c r="K188" i="15" s="1"/>
  <c r="K56" i="15"/>
  <c r="K174" i="15"/>
  <c r="K43" i="15"/>
  <c r="K122" i="15"/>
  <c r="K83" i="15"/>
  <c r="K13" i="15"/>
  <c r="J48" i="15"/>
  <c r="I72" i="15"/>
  <c r="K72" i="15" s="1"/>
  <c r="I158" i="15"/>
  <c r="K158" i="15" s="1"/>
  <c r="K140" i="15"/>
  <c r="K67" i="15"/>
  <c r="I146" i="15"/>
  <c r="K146" i="15" s="1"/>
  <c r="K106" i="15"/>
  <c r="I35" i="15"/>
  <c r="K35" i="15" s="1"/>
  <c r="K92" i="15"/>
  <c r="I48" i="15"/>
  <c r="J64" i="15"/>
  <c r="K64" i="15" s="1"/>
  <c r="K155" i="15"/>
  <c r="K36" i="15"/>
  <c r="K145" i="15"/>
  <c r="K170" i="15"/>
  <c r="K111" i="15"/>
  <c r="K141" i="15"/>
  <c r="K151" i="15"/>
  <c r="K167" i="15"/>
  <c r="K192" i="15"/>
  <c r="I68" i="15"/>
  <c r="K68" i="15" s="1"/>
  <c r="K104" i="15"/>
  <c r="I144" i="15"/>
  <c r="K144" i="15" s="1"/>
  <c r="K162" i="15"/>
  <c r="I123" i="15"/>
  <c r="K123" i="15" s="1"/>
  <c r="J91" i="15"/>
  <c r="K91" i="15" s="1"/>
  <c r="K176" i="15"/>
  <c r="I98" i="15"/>
  <c r="K98" i="15" s="1"/>
  <c r="I127" i="15"/>
  <c r="K21" i="15"/>
  <c r="J33" i="15"/>
  <c r="K33" i="15" s="1"/>
  <c r="K113" i="15"/>
  <c r="I59" i="15"/>
  <c r="K59" i="15" s="1"/>
  <c r="K32" i="15"/>
  <c r="I37" i="15"/>
  <c r="K37" i="15" s="1"/>
  <c r="K69" i="15"/>
  <c r="J80" i="15"/>
  <c r="K80" i="15" s="1"/>
  <c r="I112" i="15"/>
  <c r="K112" i="15" s="1"/>
  <c r="K153" i="15"/>
  <c r="I20" i="15"/>
  <c r="K20" i="15" s="1"/>
  <c r="K24" i="15"/>
  <c r="K26" i="15"/>
  <c r="E49" i="15"/>
  <c r="I49" i="15" s="1"/>
  <c r="K62" i="15"/>
  <c r="I139" i="15"/>
  <c r="K139" i="15" s="1"/>
  <c r="K178" i="15"/>
  <c r="K94" i="15"/>
  <c r="K108" i="15"/>
  <c r="K115" i="15"/>
  <c r="K58" i="15"/>
  <c r="K75" i="15"/>
  <c r="K77" i="15"/>
  <c r="K15" i="15"/>
  <c r="K17" i="15"/>
  <c r="K19" i="15"/>
  <c r="I44" i="15"/>
  <c r="K44" i="15" s="1"/>
  <c r="K60" i="15"/>
  <c r="I163" i="15"/>
  <c r="K163" i="15" s="1"/>
  <c r="K81" i="15"/>
  <c r="I102" i="15"/>
  <c r="K102" i="15" s="1"/>
  <c r="I131" i="15"/>
  <c r="K131" i="15" s="1"/>
  <c r="J138" i="15"/>
  <c r="K138" i="15" s="1"/>
  <c r="J154" i="15"/>
  <c r="K154" i="15" s="1"/>
  <c r="I179" i="15"/>
  <c r="K179" i="15" s="1"/>
  <c r="K63" i="15"/>
  <c r="K65" i="15"/>
  <c r="K109" i="15"/>
  <c r="I134" i="15"/>
  <c r="K134" i="15" s="1"/>
  <c r="K157" i="15"/>
  <c r="I187" i="15"/>
  <c r="K187" i="15" s="1"/>
  <c r="I30" i="15"/>
  <c r="K30" i="15" s="1"/>
  <c r="I51" i="15"/>
  <c r="K53" i="15"/>
  <c r="I66" i="15"/>
  <c r="K66" i="15" s="1"/>
  <c r="K74" i="15"/>
  <c r="K79" i="15"/>
  <c r="J82" i="15"/>
  <c r="K82" i="15" s="1"/>
  <c r="K101" i="15"/>
  <c r="K148" i="15"/>
  <c r="J171" i="15"/>
  <c r="K171" i="15" s="1"/>
  <c r="K183" i="15"/>
  <c r="K186" i="15"/>
  <c r="K46" i="15"/>
  <c r="J51" i="15"/>
  <c r="I55" i="15"/>
  <c r="K55" i="15" s="1"/>
  <c r="I61" i="15"/>
  <c r="K61" i="15" s="1"/>
  <c r="I76" i="15"/>
  <c r="K76" i="15" s="1"/>
  <c r="I84" i="15"/>
  <c r="K84" i="15" s="1"/>
  <c r="J103" i="15"/>
  <c r="K103" i="15" s="1"/>
  <c r="I116" i="15"/>
  <c r="K116" i="15" s="1"/>
  <c r="J119" i="15"/>
  <c r="K119" i="15" s="1"/>
  <c r="J124" i="15"/>
  <c r="K124" i="15" s="1"/>
  <c r="J142" i="15"/>
  <c r="K142" i="15" s="1"/>
  <c r="I150" i="15"/>
  <c r="K150" i="15" s="1"/>
  <c r="I185" i="15"/>
  <c r="K185" i="15" s="1"/>
  <c r="I16" i="15"/>
  <c r="K16" i="15" s="1"/>
  <c r="K90" i="15"/>
  <c r="K96" i="15"/>
  <c r="J126" i="15"/>
  <c r="K126" i="15" s="1"/>
  <c r="K130" i="15"/>
  <c r="J173" i="15"/>
  <c r="K173" i="15" s="1"/>
  <c r="J25" i="15"/>
  <c r="K25" i="15" s="1"/>
  <c r="K29" i="15"/>
  <c r="K34" i="15"/>
  <c r="K71" i="15"/>
  <c r="I95" i="15"/>
  <c r="K95" i="15" s="1"/>
  <c r="J152" i="15"/>
  <c r="K152" i="15" s="1"/>
  <c r="I57" i="15"/>
  <c r="K57" i="15" s="1"/>
  <c r="J78" i="15"/>
  <c r="K78" i="15" s="1"/>
  <c r="J110" i="15"/>
  <c r="K110" i="15" s="1"/>
  <c r="K125" i="15"/>
  <c r="K132" i="15"/>
  <c r="J147" i="15"/>
  <c r="K147" i="15" s="1"/>
  <c r="K149" i="15"/>
  <c r="I159" i="15"/>
  <c r="K159" i="15" s="1"/>
  <c r="K172" i="15"/>
  <c r="I175" i="15"/>
  <c r="K175" i="15" s="1"/>
  <c r="J180" i="15"/>
  <c r="K180" i="15" s="1"/>
  <c r="J45" i="15"/>
  <c r="K45" i="15" s="1"/>
  <c r="K47" i="15"/>
  <c r="K54" i="15"/>
  <c r="K87" i="15"/>
  <c r="K129" i="15"/>
  <c r="K143" i="15"/>
  <c r="K165" i="15"/>
  <c r="K169" i="15"/>
  <c r="J50" i="15"/>
  <c r="I50" i="15"/>
  <c r="I89" i="15"/>
  <c r="K89" i="15" s="1"/>
  <c r="I93" i="15"/>
  <c r="K93" i="15" s="1"/>
  <c r="I97" i="15"/>
  <c r="K97" i="15" s="1"/>
  <c r="I133" i="15"/>
  <c r="K133" i="15" s="1"/>
  <c r="I164" i="15"/>
  <c r="K164" i="15" s="1"/>
  <c r="I166" i="15"/>
  <c r="K166" i="15" s="1"/>
  <c r="I190" i="15"/>
  <c r="K190" i="15" s="1"/>
  <c r="I23" i="15"/>
  <c r="K23" i="15" s="1"/>
  <c r="I27" i="15"/>
  <c r="K27" i="15" s="1"/>
  <c r="J28" i="15"/>
  <c r="K28" i="15" s="1"/>
  <c r="E31" i="15"/>
  <c r="E41" i="15"/>
  <c r="I107" i="15"/>
  <c r="K107" i="15" s="1"/>
  <c r="I14" i="15"/>
  <c r="I18" i="15"/>
  <c r="K18" i="15" s="1"/>
  <c r="I22" i="15"/>
  <c r="K22" i="15" s="1"/>
  <c r="E40" i="15"/>
  <c r="I52" i="15"/>
  <c r="K52" i="15" s="1"/>
  <c r="I73" i="15"/>
  <c r="K73" i="15" s="1"/>
  <c r="I85" i="15"/>
  <c r="K85" i="15" s="1"/>
  <c r="I105" i="15"/>
  <c r="K105" i="15" s="1"/>
  <c r="I114" i="15"/>
  <c r="K114" i="15" s="1"/>
  <c r="I189" i="15"/>
  <c r="K189" i="15" s="1"/>
  <c r="I118" i="15"/>
  <c r="K118" i="15" s="1"/>
  <c r="I156" i="15"/>
  <c r="K156" i="15" s="1"/>
  <c r="E38" i="15"/>
  <c r="I168" i="15"/>
  <c r="K168" i="15" s="1"/>
  <c r="J14" i="15"/>
  <c r="I194" i="16" l="1"/>
  <c r="K194" i="16"/>
  <c r="K127" i="15"/>
  <c r="J191" i="15"/>
  <c r="K191" i="15" s="1"/>
  <c r="K48" i="15"/>
  <c r="K50" i="15"/>
  <c r="J49" i="15"/>
  <c r="K49" i="15" s="1"/>
  <c r="K51" i="15"/>
  <c r="J31" i="15"/>
  <c r="I31" i="15"/>
  <c r="J128" i="15"/>
  <c r="I128" i="15"/>
  <c r="J40" i="15"/>
  <c r="I40" i="15"/>
  <c r="K14" i="15"/>
  <c r="I38" i="15"/>
  <c r="E39" i="15"/>
  <c r="J38" i="15"/>
  <c r="J41" i="15"/>
  <c r="I41" i="15"/>
  <c r="E42" i="15"/>
  <c r="E195" i="15" l="1"/>
  <c r="K41" i="15"/>
  <c r="K128" i="15"/>
  <c r="K40" i="15"/>
  <c r="K31" i="15"/>
  <c r="K38" i="15"/>
  <c r="J42" i="15"/>
  <c r="I42" i="15"/>
  <c r="I39" i="15"/>
  <c r="I193" i="15" s="1"/>
  <c r="J39" i="15"/>
  <c r="I194" i="15" l="1"/>
  <c r="J193" i="15"/>
  <c r="J194" i="15" s="1"/>
  <c r="K42" i="15"/>
  <c r="K39" i="15"/>
  <c r="K193" i="15" l="1"/>
  <c r="K194" i="15" s="1"/>
  <c r="F36" i="11" l="1"/>
  <c r="D36" i="11"/>
  <c r="F35" i="11"/>
  <c r="D35" i="11"/>
  <c r="F34" i="11"/>
  <c r="D34" i="11"/>
  <c r="F33" i="11"/>
  <c r="D33" i="11"/>
  <c r="F32" i="11"/>
  <c r="D32" i="11"/>
  <c r="F31" i="11"/>
  <c r="D31" i="11"/>
  <c r="F30" i="11"/>
  <c r="D30" i="11"/>
  <c r="F29" i="11"/>
  <c r="D29" i="11"/>
  <c r="F28" i="11"/>
  <c r="D28" i="11"/>
  <c r="F27" i="11"/>
  <c r="D27" i="11"/>
  <c r="F26" i="11"/>
  <c r="D26" i="11"/>
  <c r="F25" i="11"/>
  <c r="D25" i="11"/>
  <c r="F24" i="11"/>
  <c r="D24" i="11"/>
  <c r="F23" i="11"/>
  <c r="D23" i="11"/>
  <c r="F22" i="11"/>
  <c r="D22" i="11"/>
  <c r="F21" i="11"/>
  <c r="D21" i="11"/>
  <c r="F20" i="11"/>
  <c r="D20" i="11"/>
  <c r="F19" i="11"/>
  <c r="D19" i="11"/>
  <c r="F18" i="11"/>
  <c r="D18" i="11"/>
  <c r="F17" i="11"/>
  <c r="D17" i="11"/>
  <c r="F16" i="11"/>
  <c r="D16" i="11"/>
  <c r="F15" i="11"/>
  <c r="D15" i="11"/>
  <c r="F14" i="11"/>
  <c r="D14" i="11"/>
  <c r="F13" i="11"/>
  <c r="D13" i="11"/>
  <c r="F12" i="11"/>
  <c r="D12" i="11"/>
  <c r="F11" i="11"/>
  <c r="D11" i="11"/>
  <c r="F10" i="11"/>
  <c r="D10" i="11"/>
  <c r="F9" i="11"/>
  <c r="D9" i="11"/>
  <c r="D353" i="8"/>
  <c r="D349" i="8"/>
  <c r="D342" i="8"/>
  <c r="D341" i="8"/>
  <c r="D339" i="8"/>
  <c r="D330" i="8"/>
  <c r="D324" i="8"/>
  <c r="D316" i="8"/>
  <c r="D315" i="8"/>
  <c r="D313" i="8"/>
  <c r="D304" i="8"/>
  <c r="D298" i="8"/>
  <c r="D289" i="8"/>
  <c r="D288" i="8"/>
  <c r="D286" i="8"/>
  <c r="D277" i="8"/>
  <c r="D267" i="8"/>
  <c r="D266" i="8"/>
  <c r="D255" i="8"/>
  <c r="D253" i="8"/>
  <c r="D244" i="8"/>
  <c r="D243" i="8"/>
  <c r="D232" i="8"/>
  <c r="D231" i="8"/>
  <c r="D230" i="8"/>
  <c r="D229" i="8"/>
  <c r="D227" i="8"/>
  <c r="D226" i="8"/>
  <c r="D225" i="8"/>
  <c r="D224" i="8"/>
  <c r="D223" i="8"/>
  <c r="D222" i="8"/>
  <c r="D221" i="8"/>
  <c r="D220" i="8"/>
  <c r="D218" i="8"/>
  <c r="D214" i="8"/>
  <c r="D207" i="8"/>
  <c r="D206" i="8"/>
  <c r="D197" i="8"/>
  <c r="D195" i="8"/>
  <c r="D189" i="8"/>
  <c r="D179" i="8"/>
  <c r="D178" i="8"/>
  <c r="D176" i="8"/>
  <c r="D169" i="8"/>
  <c r="D167" i="8"/>
  <c r="D161" i="8"/>
  <c r="D151" i="8"/>
  <c r="D150" i="8"/>
  <c r="D148" i="8"/>
  <c r="D141" i="8"/>
  <c r="D139" i="8"/>
  <c r="D133" i="8"/>
  <c r="D123" i="8"/>
  <c r="D122" i="8"/>
  <c r="D120" i="8"/>
  <c r="D113" i="8"/>
  <c r="D111" i="8"/>
  <c r="D105" i="8"/>
  <c r="D94" i="8"/>
  <c r="D93" i="8"/>
  <c r="D91" i="8"/>
  <c r="D84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6" i="8"/>
  <c r="D55" i="8"/>
  <c r="D54" i="8"/>
  <c r="D49" i="8"/>
  <c r="D47" i="8"/>
  <c r="D46" i="8"/>
  <c r="D45" i="8"/>
  <c r="D44" i="8"/>
  <c r="D43" i="8"/>
  <c r="D42" i="8"/>
  <c r="D41" i="8"/>
  <c r="D26" i="8"/>
  <c r="D25" i="8"/>
  <c r="D21" i="8"/>
  <c r="D19" i="8"/>
  <c r="D18" i="8"/>
  <c r="D17" i="8"/>
  <c r="D16" i="8"/>
  <c r="D15" i="8"/>
  <c r="D14" i="8"/>
  <c r="D13" i="8"/>
  <c r="E14" i="13"/>
  <c r="E13" i="13"/>
  <c r="E9" i="13"/>
  <c r="E8" i="13"/>
</calcChain>
</file>

<file path=xl/sharedStrings.xml><?xml version="1.0" encoding="utf-8"?>
<sst xmlns="http://schemas.openxmlformats.org/spreadsheetml/2006/main" count="1940" uniqueCount="423">
  <si>
    <t>Наименование</t>
  </si>
  <si>
    <t>Ед. изм.</t>
  </si>
  <si>
    <t>Кол-во</t>
  </si>
  <si>
    <t>Ведомость объемов работ</t>
  </si>
  <si>
    <t>Цена за единицу, руб.</t>
  </si>
  <si>
    <t>Общая стоимость, руб.</t>
  </si>
  <si>
    <t>Примечания (ссылка на листы проектной/рабочей документации)</t>
  </si>
  <si>
    <t>(в т.ч. НДС 20%)</t>
  </si>
  <si>
    <t>Материалы</t>
  </si>
  <si>
    <t>СМР</t>
  </si>
  <si>
    <t>Итого</t>
  </si>
  <si>
    <t>№ 
п/п</t>
  </si>
  <si>
    <t>Приложение № 2</t>
  </si>
  <si>
    <t>к Договору подряда №</t>
  </si>
  <si>
    <t>к Дополнительному соглашению №</t>
  </si>
  <si>
    <t>высота</t>
  </si>
  <si>
    <t>на устройство наружных сетей водопровода, бытовой канализации и водостока в районе корпуса К-5  на объекте: «Реконструкция объекта незавершённого строительства Дома творчества в гостиничный комплекс с апартаментами по адресу: Республика Крым г. Алушта, ул. Западная 4, II-III очереди строительства». II очередь строительства, включающая в себя: Комплекс апартаментов гостиничного типа (корпусы 4,6) с помещениями общественного и технического назначения и подземной автостоянкой. Комплекс апартаментов гостиничного типа (корпус 5) с помещениями общественного и технического назначения</t>
  </si>
  <si>
    <t>Устройство участка трубопровода от ввода В1-1.5 до колодца ВК3</t>
  </si>
  <si>
    <t>Разработка грунта траншеи механизированным способом</t>
  </si>
  <si>
    <t>Доработка грунта вручную</t>
  </si>
  <si>
    <t>Устройство бетонной подготовки толщиной 70мм, бетон В7,5</t>
  </si>
  <si>
    <t>расстояние</t>
  </si>
  <si>
    <t>уклон</t>
  </si>
  <si>
    <t>длина</t>
  </si>
  <si>
    <t>Устройство гравийно-щебёночной подготовки толщиной 150мм, шириной 450мм (втрамбовать в грунт)</t>
  </si>
  <si>
    <t>м2</t>
  </si>
  <si>
    <t>м3</t>
  </si>
  <si>
    <t>м</t>
  </si>
  <si>
    <t>Устройство монолитного ж.б. основания</t>
  </si>
  <si>
    <t>Бетон В15</t>
  </si>
  <si>
    <t>Арматурная сетка С1</t>
  </si>
  <si>
    <t>кг</t>
  </si>
  <si>
    <t>шт.</t>
  </si>
  <si>
    <t>Разработка грунта механизированным способом</t>
  </si>
  <si>
    <t>Монтаж колодца ВГ-20 согласно требований альбома 2201-88 МОСИНЖПРОЕКТ</t>
  </si>
  <si>
    <t>колодец водогазопроводный ВГ-20</t>
  </si>
  <si>
    <t>Гильза стальная ∅300 L=250мм</t>
  </si>
  <si>
    <t>Устройство трубопровода ∅150мм</t>
  </si>
  <si>
    <t>Труба напорна из полиэтилена ПЭ100 марки SDR13,6-160х11,8 ГОСТ 18599-2001 Труба питьевая "Полипластик"</t>
  </si>
  <si>
    <r>
      <t>Обратная засыпка траншеи местным грунтом с повышенной степенью уплотнения К</t>
    </r>
    <r>
      <rPr>
        <vertAlign val="subscript"/>
        <sz val="12"/>
        <color rgb="FF000000"/>
        <rFont val="Times New Roman"/>
        <family val="1"/>
        <charset val="204"/>
      </rPr>
      <t>сот</t>
    </r>
    <r>
      <rPr>
        <sz val="12"/>
        <color rgb="FF000000"/>
        <rFont val="Times New Roman"/>
        <family val="1"/>
        <charset val="204"/>
      </rPr>
      <t>&gt;=0,93</t>
    </r>
  </si>
  <si>
    <t>Устройство закладных гильз в стенках колодца с заделкой</t>
  </si>
  <si>
    <t>бетонный упор СК 2110-88</t>
  </si>
  <si>
    <t>Задвижка чугунная с обрезиненым клином фланцевая ∅150 -1.6-150 "Hawle"</t>
  </si>
  <si>
    <t>тройник стальной фланцевый ТФ 200х150 Б ГОСТ 5525-88 с устройством опорного бетонного столбика</t>
  </si>
  <si>
    <t>Втулка под фланец ПЭ 100 SDR 13,6 ∅160х9,5 ТУ 6-19-213.83 "Икапласт"</t>
  </si>
  <si>
    <t>Втулка под фланец ПЭ 100 SDR 13,6 ∅225х13,4 ТУ 6-19-213.83 "Икапласт"</t>
  </si>
  <si>
    <t>Фланец стальной плоский свободный (1,0 МПа) ∅200 "Икапласт"</t>
  </si>
  <si>
    <t>Фланец стальной плоский свободный (1,0 МПа) ∅150 "Икапласт"</t>
  </si>
  <si>
    <r>
      <t>Обратная засыпка местным грунтом с повышенной степенью уплотнения К</t>
    </r>
    <r>
      <rPr>
        <vertAlign val="subscript"/>
        <sz val="12"/>
        <color rgb="FF000000"/>
        <rFont val="Times New Roman"/>
        <family val="1"/>
        <charset val="204"/>
      </rPr>
      <t>сот</t>
    </r>
    <r>
      <rPr>
        <sz val="12"/>
        <color rgb="FF000000"/>
        <rFont val="Times New Roman"/>
        <family val="1"/>
        <charset val="204"/>
      </rPr>
      <t>&gt;=0,93</t>
    </r>
  </si>
  <si>
    <t>Устройство участка трубопровода от ввода В2-1.5 в К-5 до колодца ВК1п</t>
  </si>
  <si>
    <t>Устройство трубопровода ∅150мм (две параллельно)</t>
  </si>
  <si>
    <t>Устройство колодца ВК1п</t>
  </si>
  <si>
    <t>Устройство колодца ВКН-41А из сборных ж.б. элементов на ЦПР М100 (альбом 2; ПП 16-21; АОА МосПроект)</t>
  </si>
  <si>
    <t>Монтаж оборудования в колодце</t>
  </si>
  <si>
    <t>тройник стальной фланцевый ТФ 200х200 Б ГОСТ 5525-88 с устройством опорного бетонного столбика</t>
  </si>
  <si>
    <t>Задвижка чугунная с обрезиненым клином фланцевая ∅200 -1.6-200 "Hawle"</t>
  </si>
  <si>
    <t>Устройство опорных бетонных столбиков
250х150х250мм</t>
  </si>
  <si>
    <t>переход 200х150 ПЭ100</t>
  </si>
  <si>
    <t>Устройство участка трубопровода от выпуска К1.1-4.5 Ø100 мм (отм вып. 59.15 (-0,85)), выпуска  К3-2.5 Ø100 мм (отм. вып. 59.10 (-0,90)), выпуска К3-1.5 Ø100 мм (отм. 59.10 (-0,90)) выпуска К1.1-3.5 Ø100 (отм. 59.10 (-0,90)) до колодца К1 существоющего</t>
  </si>
  <si>
    <t>Устройство гравийно-щебёночной подготовки толщиной 150мм, шириной 450мм, 480мм, 650 мм  (втрамбовать в грунт)</t>
  </si>
  <si>
    <r>
      <t xml:space="preserve">Труба ВЧШГ </t>
    </r>
    <r>
      <rPr>
        <i/>
        <sz val="12"/>
        <color rgb="FF000000"/>
        <rFont val="Calibri"/>
        <family val="2"/>
        <charset val="204"/>
      </rPr>
      <t>Ø</t>
    </r>
    <r>
      <rPr>
        <i/>
        <sz val="12"/>
        <color rgb="FF000000"/>
        <rFont val="Times New Roman"/>
        <family val="1"/>
        <charset val="204"/>
      </rPr>
      <t>100 мм</t>
    </r>
  </si>
  <si>
    <t>Устройство трубопровода ∅100мм (две паралельно)</t>
  </si>
  <si>
    <t>Устройство трубопровода ∅200мм</t>
  </si>
  <si>
    <t>Труба DN200 Корсис ПРО SN16 ТУ 22.21.21-001-73011750-2018 Корсис "Полипластик"</t>
  </si>
  <si>
    <t>Устройство трубопровода ∅400мм</t>
  </si>
  <si>
    <t>Труба DN400 Корсис ПРО SN16 ТУ 22.21.21-001-73011750-2018 Корсис "Полипластик"</t>
  </si>
  <si>
    <t>Устройство колодца К1.16.1</t>
  </si>
  <si>
    <t>Уплотнение грунта основания</t>
  </si>
  <si>
    <t>Устройство бетонной подготовки толщиной 100 мм, бетон В7,5</t>
  </si>
  <si>
    <t>Монтаж плиты днища КЦД-20 на цементно-песчаный раствор М100 толщиной 20 мм</t>
  </si>
  <si>
    <t>Устройство гидроизоляции днища колодца - шткукатурной асфальтовой из горячего асфальтового раствора толщиной 10 мм по огрунтовке разжиженным битумом</t>
  </si>
  <si>
    <t>Плита днища  КЦД-20</t>
  </si>
  <si>
    <t>Цементн-опесчаный раствор М100</t>
  </si>
  <si>
    <t>проверить</t>
  </si>
  <si>
    <t>Устройство лотковой части колодца из монолитного железобетона М200 с затиркой и железнением повержности лотка</t>
  </si>
  <si>
    <t>Бетон М200</t>
  </si>
  <si>
    <t>Кольцо стеновое КЦ-20-9</t>
  </si>
  <si>
    <t>Кольцо стеновое КЦ-20-6</t>
  </si>
  <si>
    <t>Монтаж колец стеновых КЦ на цементно-песчаный раствор М100 толщиной 10 мм</t>
  </si>
  <si>
    <t>Плита перекрытия КЦП-1-20-1</t>
  </si>
  <si>
    <t>Кольцо стеновое КЦ-7-3</t>
  </si>
  <si>
    <t>Кольцо стеновое КЦ-7-1,5</t>
  </si>
  <si>
    <t>по серии 1,5 нет</t>
  </si>
  <si>
    <t>по серии 1 нет</t>
  </si>
  <si>
    <t>Кольцо опорное КЦО-1</t>
  </si>
  <si>
    <t>Монтаж плиты перекрытия КЦП на цементно-песчаный раствор М100 толщиной 10 мм</t>
  </si>
  <si>
    <t>Монтаж кольца опорного КЦО на цементно-песчанный раствор М100 толщиной 10 мм</t>
  </si>
  <si>
    <t>Монтаж люка тип Л</t>
  </si>
  <si>
    <t>Люк типа Л</t>
  </si>
  <si>
    <t>определить технология и расход</t>
  </si>
  <si>
    <t>Устройство вертикальной  и горизонтальной обмазочной гидроизоляции стен и плиты перекрытия колодца в два слоя "Пенетрон" с применением в узлах Пенекрит, "Ватерплаг", Пенеплаг, ленты "Пенебанд С" согласно типовым узлам ф-мы Технониколь</t>
  </si>
  <si>
    <t>Монтаж стремянки 902-09-22.84 -КЖИ.С1-10 L=3600 мм</t>
  </si>
  <si>
    <t xml:space="preserve">Стремянка 902-09-22.84 -КЖИ.С1-10 L=3600 мм </t>
  </si>
  <si>
    <t>Монтаж ходовых скоб МН-1</t>
  </si>
  <si>
    <t>Стальная скоба из арматуры А240 Ø16 мм</t>
  </si>
  <si>
    <t>Заделка труб в местах прохода через стенки колодца</t>
  </si>
  <si>
    <r>
      <t>Обратная засыпка пазух котлована местным грунтом с повышенной степенью уплотнения К</t>
    </r>
    <r>
      <rPr>
        <vertAlign val="subscript"/>
        <sz val="12"/>
        <color rgb="FF000000"/>
        <rFont val="Times New Roman"/>
        <family val="1"/>
        <charset val="204"/>
      </rPr>
      <t>сот</t>
    </r>
    <r>
      <rPr>
        <sz val="12"/>
        <color rgb="FF000000"/>
        <rFont val="Times New Roman"/>
        <family val="1"/>
        <charset val="204"/>
      </rPr>
      <t>&gt;=0,93</t>
    </r>
  </si>
  <si>
    <t>Устройство колодца К1.16</t>
  </si>
  <si>
    <t>Кольцо стеновое КЦ-7-1</t>
  </si>
  <si>
    <t>Монтаж стремянки 902-09-22.84 -КЖИ.С1-12 L=4200 мм</t>
  </si>
  <si>
    <t>Устройство колодца К1.17</t>
  </si>
  <si>
    <t>Цементно-песчаный раствор М100</t>
  </si>
  <si>
    <t>Монтаж стремянки 902-09-22.84 -КЖИ.С1-07 L=2700 мм</t>
  </si>
  <si>
    <t xml:space="preserve">Стремянка 902-09-22.84 -КЖИ.С1-12 L=4200 мм </t>
  </si>
  <si>
    <t xml:space="preserve">Стремянка 902-09-22.84 -КЖИ.С1-07 L=2700 мм </t>
  </si>
  <si>
    <t>Устройство колодца К1.18</t>
  </si>
  <si>
    <t>Устройство колодца К1.18.1</t>
  </si>
  <si>
    <t>Монтаж плиты днища КЦД-15 на цементно-песчаный раствор М100 толщиной 20 мм</t>
  </si>
  <si>
    <t>Плита днища  КЦД-15</t>
  </si>
  <si>
    <t>Кольцо стеновое КЦ-15-9</t>
  </si>
  <si>
    <t>Кольцо стеновое КЦ-15-6</t>
  </si>
  <si>
    <t>Плита перекрытия КЦП-1-15-2</t>
  </si>
  <si>
    <t>компл.</t>
  </si>
  <si>
    <t>Монтаж стремянки 902-09-22.84 -КЖИ.С1-02 L=1200 мм</t>
  </si>
  <si>
    <t xml:space="preserve">Стремянка 902-09-22.84 -КЖИ.С1-02 L=1200 мм </t>
  </si>
  <si>
    <t>Устройство участка сетей водоснабжения В1 (наружные)</t>
  </si>
  <si>
    <t>Устройство участка сетей водоснабжения В2 (наружные)</t>
  </si>
  <si>
    <t>Устройство участка сетей водоотведения (канализация) К1 (наружные)</t>
  </si>
  <si>
    <t>Устройство участка сетей водоотведения (водосток) К2 (наружные)</t>
  </si>
  <si>
    <t>Устройство участка трубопровода от Д26, Д33 и К2.50 до К2 сущ.</t>
  </si>
  <si>
    <t>Устройство гравийно-щебёночной подготовки толщиной 150мм, шириной 650 мм, 1050 мм  (втрамбовать в грунт)</t>
  </si>
  <si>
    <t>Труба DN400 Корсис ПРО SN16 ТУ 22.21.21-001-73011750-2018 Корсис "Полипластик</t>
  </si>
  <si>
    <t>Труба DN800 Корсис ПРО SN16 ТУ 22.21.21-001-73011750-2018 Корсис "Полипластик"</t>
  </si>
  <si>
    <t>Устройство трубопровода ∅800мм</t>
  </si>
  <si>
    <t>Устройство колодца Д26</t>
  </si>
  <si>
    <t>нет в проекте</t>
  </si>
  <si>
    <t>Монтаж плиты днища КЦД-7 на цементно-песчаный раствор М100 толщиной 20 мм</t>
  </si>
  <si>
    <t>Плита днища  КЦД-7</t>
  </si>
  <si>
    <t>Кольцо стеновое КЦ-7-9</t>
  </si>
  <si>
    <t>Кольцо стеновое КЦ-7-9б</t>
  </si>
  <si>
    <t>Плита перекрытия КЦП-2-7</t>
  </si>
  <si>
    <t>Набивка лотка бетоном В15</t>
  </si>
  <si>
    <t>Монтаж дождеприемника марки ДБ</t>
  </si>
  <si>
    <t>Дождеприемник ДБ</t>
  </si>
  <si>
    <t>Устройство колодца Д33</t>
  </si>
  <si>
    <t>не требуется</t>
  </si>
  <si>
    <t>Устройство колодца К2.50</t>
  </si>
  <si>
    <t>Плита перекрытия КЦП-1-20-2</t>
  </si>
  <si>
    <t>Монтаж стремянки 902-09-22.84 -КЖИ.С1-08 L=3000 мм</t>
  </si>
  <si>
    <t xml:space="preserve">Стремянка 902-09-22.84 -КЖИ.С1-08 L=3000 мм </t>
  </si>
  <si>
    <t>Устройство колодца К2.51</t>
  </si>
  <si>
    <t>Плита ОП1-К в комплекте с люком тип Т</t>
  </si>
  <si>
    <t>Монтаж плиты ОП1-К в комплекте с люком тип Т на цементно-песчанный раствор М100 толщиной 10 мм</t>
  </si>
  <si>
    <t>Монтаж стремянки 902-09-22.84 -КЖИ.С1-03 L=1500 мм</t>
  </si>
  <si>
    <t xml:space="preserve">Стремянка 902-09-22.84 -КЖИ.С1-03 L=1500 мм </t>
  </si>
  <si>
    <t>Устройство колодца К2.52</t>
  </si>
  <si>
    <r>
      <t xml:space="preserve">Устройство колодца </t>
    </r>
    <r>
      <rPr>
        <b/>
        <sz val="12"/>
        <color rgb="FFFF0000"/>
        <rFont val="Times New Roman"/>
        <family val="1"/>
        <charset val="204"/>
      </rPr>
      <t>ВК3</t>
    </r>
  </si>
  <si>
    <t>увычисть объмы колодцев</t>
  </si>
  <si>
    <t xml:space="preserve"> </t>
  </si>
  <si>
    <t>Плита перекрытия КЦП-1-15-1</t>
  </si>
  <si>
    <t>Бетон В7,5</t>
  </si>
  <si>
    <t>№п/п</t>
  </si>
  <si>
    <t>Наименование материала</t>
  </si>
  <si>
    <t>ед. изм.</t>
  </si>
  <si>
    <t>кол-во</t>
  </si>
  <si>
    <t>код</t>
  </si>
  <si>
    <t>Ведомость материалов на устройство участков НВК возле К-5 (К1, К2)</t>
  </si>
  <si>
    <t>Труба ВЧШГ Ø100 мм</t>
  </si>
  <si>
    <t>Праймер Технониколь №01</t>
  </si>
  <si>
    <t>л</t>
  </si>
  <si>
    <t>л/м2</t>
  </si>
  <si>
    <t>Мастика Технониколь №21</t>
  </si>
  <si>
    <t>кг/м2</t>
  </si>
  <si>
    <t>Бетон М200 (В15)</t>
  </si>
  <si>
    <t>Тройник DN400 угол 90° Корсис ПРО SN16 ТУ 22.21.21-001-73011750-2018 Корсис "Полипластик"</t>
  </si>
  <si>
    <t>Отвод DN400 угол 90° Корсис ПРО SN16 ТУ 22.21.21-001-73011750-2018 Корсис "Полипластик"</t>
  </si>
  <si>
    <t xml:space="preserve">Тройник ВЧШГ DN100 угол 90° </t>
  </si>
  <si>
    <t xml:space="preserve">Отвод ВЧШГ DN100 угол 90° </t>
  </si>
  <si>
    <t>Ø6 АI</t>
  </si>
  <si>
    <t>Ø12 АI</t>
  </si>
  <si>
    <t>5</t>
  </si>
  <si>
    <t>7</t>
  </si>
  <si>
    <t>6</t>
  </si>
  <si>
    <t>2.1</t>
  </si>
  <si>
    <t>3.1</t>
  </si>
  <si>
    <t>4</t>
  </si>
  <si>
    <t>4.1</t>
  </si>
  <si>
    <t>5.1</t>
  </si>
  <si>
    <t>6.1</t>
  </si>
  <si>
    <t>6.2</t>
  </si>
  <si>
    <t>7.1</t>
  </si>
  <si>
    <t>8</t>
  </si>
  <si>
    <t>8.1</t>
  </si>
  <si>
    <t>8.2</t>
  </si>
  <si>
    <t>9.1</t>
  </si>
  <si>
    <t>10.1</t>
  </si>
  <si>
    <t>11.1</t>
  </si>
  <si>
    <t>3</t>
  </si>
  <si>
    <t>Праймер битумный Технониколь №01</t>
  </si>
  <si>
    <t>Устройство пароизоляции оклеечной (в один слой)</t>
  </si>
  <si>
    <t>Пленка полиэтиленовая, толщина 200 мкм</t>
  </si>
  <si>
    <t>Устройство уклонообразующего слоя из керамзитвого гравия фр. 10-20 мм М200, с проливкой цементным молочком, толщина 100-260 мм (покрытие кровли)</t>
  </si>
  <si>
    <t>Металлическая оцинкованная сетка Вр1 100х100 d=4 мм</t>
  </si>
  <si>
    <t>Битумно-полимерная гидроизоляция Унифлекс ВЕНТ ЭПВ (Технониколь), нижний слой</t>
  </si>
  <si>
    <t>Битумно-полимерная гидроизоляция Техноэласт ЭКП (Технониколь), верхний слой</t>
  </si>
  <si>
    <t xml:space="preserve">Устройство неэксплуатируемой плоской кровли  паркинга на отм.+21.800 </t>
  </si>
  <si>
    <t>м.п.</t>
  </si>
  <si>
    <t>Опроный кровельный элемент для крепления парапетных крышек (кол-во определить расчетом)</t>
  </si>
  <si>
    <t>Укладка пленки пароизоляции,  Биполь ЭПП толщина 3 мм.</t>
  </si>
  <si>
    <t>Пленка пароизоляции, толщина 3 мм.</t>
  </si>
  <si>
    <t xml:space="preserve">ICMGlass Standart  пеностекольный утеплитель размером до 80 мм, </t>
  </si>
  <si>
    <t>Устройство битумно-полимерной гидроизоляции в 2 слоя, в т. ч. нижний слой - Унифлекс ВЕНТ ЭПВ (Технониколь), верхний слой - Техноэласт ЭКП (Технониколь) завести на стены.</t>
  </si>
  <si>
    <t>Установка кровельных аэраторов 160х450 мм</t>
  </si>
  <si>
    <t>Аэратор 160х450 мм</t>
  </si>
  <si>
    <t>Утепление покрытия плитами из экструзионного пенополистирола Технониколь Carbon PROF, толщина 100 мм (покрытие кровли )</t>
  </si>
  <si>
    <t>Установка отливов парапета из оцинковоной стали 0,7 мм с полимерным покрытием цвет белый матовый RAL 9003, ширина 720 мм</t>
  </si>
  <si>
    <t>Оцинкованная сталь 0,7 мм с полимерным покрытием цвет белый матовый RAL 9003, ширина 720 мм</t>
  </si>
  <si>
    <t>Эксплуатируемая кровля Тип 1.1.</t>
  </si>
  <si>
    <t>Устройство уклонообразуешего слоя из пеностекла ICMGlass standart, коэф.уплотнения1,3  (покрытие кровли ) (339мм.)</t>
  </si>
  <si>
    <t>кг.</t>
  </si>
  <si>
    <t>Эксплуатируемая кровля Тип 1.2.</t>
  </si>
  <si>
    <t>Пароизоляция -Икопал Н ХПП</t>
  </si>
  <si>
    <t>Устройство пароизоляции наплавляемой (в один слой)</t>
  </si>
  <si>
    <t>Пароизоляция -Биполь ЭПП</t>
  </si>
  <si>
    <t>Эксплуатируемая кровля Тип 1.4</t>
  </si>
  <si>
    <t>Устройство уклонообразуешего слоя из пеностекла ICMGlass standart, коэф.уплотнения1,3  (покрытие кровли ) (295мм.)</t>
  </si>
  <si>
    <t>Устройство гидроизоляции двухкомпонентной на цементной основе Cerezit СR 166, с   предварительной огрунтовкой адгезионной грунтовкой Ceresit CT19 (5 мм.)</t>
  </si>
  <si>
    <t>Эксплуатируемая кровля Тип 1.6</t>
  </si>
  <si>
    <t>Устройство уклонообразуешего слоя из пеностекла ICMGlass standart, коэф.уплотнения1,3  (покрытие кровли ) (180-400мм.)</t>
  </si>
  <si>
    <t>Устройство геотекстильного термоскрепленного слоя плотностью более 300г/м2</t>
  </si>
  <si>
    <t>Устройство дренажного слоя из дренажной мембраны (10мм)</t>
  </si>
  <si>
    <t>Щебень фракции 10-40</t>
  </si>
  <si>
    <t>Устройство слоя из щебня гравийного фр.10-40 мм. С расклинцовкой фр.5/10/20/40 с проливкой водой (100-250мм.)</t>
  </si>
  <si>
    <t>Эксплуатируемая кровля Тип 1.7</t>
  </si>
  <si>
    <t>Устройство уклонообразуешего слоя из пеностекла ICMGlass standart, коэф.уплотнения1,3  (покрытие кровли ) (90-300мм.)</t>
  </si>
  <si>
    <t>Устройство слоя из щебня гравийного фр.10-40 мм. С расклинцовкой фр.5/10/20/40 с проливкой водой (100-300мм.)</t>
  </si>
  <si>
    <t>Эксплуатируемая кровля Тип 1.8</t>
  </si>
  <si>
    <t>Устройство слоя теплоизоляциииз экструзионного пенополистирола Технониколь Carbon PROF 100mm.</t>
  </si>
  <si>
    <t>листы полиэстирола толщиной 100 мм</t>
  </si>
  <si>
    <t>Эксплуатируемая кровля Тип 1.9</t>
  </si>
  <si>
    <t>Эксплуатируемая кровля 2-го этажа Тип 2.1</t>
  </si>
  <si>
    <t>Устройство уклонообразуешего слоя из пеностекла ICMGlass standart, коэф.уплотнения1,3  (покрытие кровли ) (200-300мм.)</t>
  </si>
  <si>
    <t>Устройство слоя из щебня гравийного фр.10-40 мм. С расклинцовкой фр.5/10/20/40 с проливкой водой (355-375мм.)</t>
  </si>
  <si>
    <t>Эксплуатируемая кровля 2-го этажа Тип 2.2</t>
  </si>
  <si>
    <t>Устройство уклонообразуешего слоя из пеностекла ICMGlass standart, коэф.уплотнения1,3  (покрытие кровли ) (76-286мм.)</t>
  </si>
  <si>
    <t>на устройство участков  кровли  паркинга  на объекте: «Реконструкция объекта незавершённого строительства Дома творчества в гостиничный комплекс с апартаментами по адресу: Республика Крым г. Алушта, ул. Западная 4, II-III очереди строительства». II очередь строительства, включающая в себя: Комплекс апартаментов гостиничного типа (корпусы 4,6) с помещениями общественного и технического назначения и подземной автостоянкой. Комплекс апартаментов гостиничного типа (корпус 5) с помещениями общественного и технического назначения</t>
  </si>
  <si>
    <t>1</t>
  </si>
  <si>
    <t>9</t>
  </si>
  <si>
    <t>10</t>
  </si>
  <si>
    <t>11</t>
  </si>
  <si>
    <t>1.1</t>
  </si>
  <si>
    <t>2.2</t>
  </si>
  <si>
    <t>6.6</t>
  </si>
  <si>
    <t>3.3</t>
  </si>
  <si>
    <t>7.7</t>
  </si>
  <si>
    <t>1.2</t>
  </si>
  <si>
    <t>2.3</t>
  </si>
  <si>
    <t>7.2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</si>
  <si>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</si>
  <si>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</si>
  <si>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</si>
  <si>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</si>
  <si>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</si>
  <si>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</si>
  <si>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</si>
  <si>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</si>
  <si>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</si>
  <si>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</si>
  <si>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</si>
  <si>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</si>
  <si>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</si>
  <si>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</si>
  <si>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</si>
  <si>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</si>
  <si>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</si>
  <si>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</si>
  <si>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</si>
  <si>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</si>
  <si>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</si>
  <si>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</si>
  <si>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</si>
  <si>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</si>
  <si>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</si>
  <si>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</si>
  <si>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</si>
  <si>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</si>
  <si>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</si>
  <si>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</si>
  <si>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</si>
  <si>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</si>
  <si>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</si>
  <si>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</si>
  <si>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3.4</t>
  </si>
  <si>
    <t>3.8</t>
  </si>
  <si>
    <t>3.6</t>
  </si>
  <si>
    <t>3.2</t>
  </si>
  <si>
    <t>3.5</t>
  </si>
  <si>
    <t>3.7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</si>
  <si>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</si>
  <si>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</si>
  <si>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</si>
  <si>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</si>
  <si>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</si>
  <si>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</si>
  <si>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</si>
  <si>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</si>
  <si>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</si>
  <si>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</si>
  <si>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7.5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</si>
  <si>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</si>
  <si>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</si>
  <si>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</si>
  <si>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</si>
  <si>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</si>
  <si>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</si>
  <si>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</si>
  <si>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</si>
  <si>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</si>
  <si>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</si>
  <si>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</si>
  <si>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6.3</t>
  </si>
  <si>
    <t>6.4</t>
  </si>
  <si>
    <t>6.5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</si>
  <si>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</si>
  <si>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</si>
  <si>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</si>
  <si>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</si>
  <si>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</si>
  <si>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</si>
  <si>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</si>
  <si>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</si>
  <si>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</si>
  <si>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</si>
  <si>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</si>
  <si>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</si>
  <si>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</si>
  <si>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</si>
  <si>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7.3</t>
  </si>
  <si>
    <t>7.4</t>
  </si>
  <si>
    <t>7.6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</si>
  <si>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</si>
  <si>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</si>
  <si>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</si>
  <si>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</si>
  <si>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</si>
  <si>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</si>
  <si>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</si>
  <si>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</si>
  <si>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</si>
  <si>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</si>
  <si>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</si>
  <si>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</si>
  <si>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</si>
  <si>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8.3</t>
  </si>
  <si>
    <t>8.4</t>
  </si>
  <si>
    <t>8.5</t>
  </si>
  <si>
    <t>8.6</t>
  </si>
  <si>
    <t>8.7</t>
  </si>
  <si>
    <t>9.2</t>
  </si>
  <si>
    <t>9.6</t>
  </si>
  <si>
    <t>9.4</t>
  </si>
  <si>
    <t>9.5</t>
  </si>
  <si>
    <t>9.3</t>
  </si>
  <si>
    <t>9.7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</si>
  <si>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</si>
  <si>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</si>
  <si>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</si>
  <si>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</si>
  <si>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</si>
  <si>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</si>
  <si>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</si>
  <si>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</si>
  <si>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</si>
  <si>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</si>
  <si>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</si>
  <si>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</si>
  <si>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</si>
  <si>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</si>
  <si>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</si>
  <si>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</si>
  <si>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</si>
  <si>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</si>
  <si>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</si>
  <si>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</si>
  <si>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</si>
  <si>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</si>
  <si>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</si>
  <si>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</si>
  <si>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</si>
  <si>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</si>
  <si>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</si>
  <si>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</si>
  <si>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</si>
  <si>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</si>
  <si>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</si>
  <si>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</si>
  <si>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</si>
  <si>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</si>
  <si>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</si>
  <si>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</si>
  <si>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</si>
  <si>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</si>
  <si>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</si>
  <si>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Укладка разделительного слоя из пленки синтетическая, толщина 200 мкм</t>
  </si>
  <si>
    <t>Щебень фракции 20-40</t>
  </si>
  <si>
    <t>Устройство  плоской кровли  паркинга на отм.+8.100- +9.350</t>
  </si>
  <si>
    <t>Устройство уклонообразуешего слоя из пеностекла ICMGlass standart, коэф.уплотнения1,3  (покрытие кровли ) 200-300 мм.</t>
  </si>
  <si>
    <t>Установка отливов и крышек на шахтах из оцинкованной стали 0,55 мм</t>
  </si>
  <si>
    <t>Отлив и крышки из оцинкованной стали 0,55 мм, ширина 500 мм</t>
  </si>
  <si>
    <t>Устройство уклонообразуешего слоя из пеностекла ICMGlass standart, коэф.уплотнения1,3  (покрытие кровли ) (474-454мм.)</t>
  </si>
  <si>
    <t xml:space="preserve"> керамзитный гравий фр. 10-20 мм М200, </t>
  </si>
  <si>
    <t>Огрунтовка поверхности основания  под устройство пароизоляции</t>
  </si>
  <si>
    <t>Праймер битумный Технониколь №1</t>
  </si>
  <si>
    <t>Экструзионный пенополистирол Технониколь Carbon PROF, толщина 100 мм</t>
  </si>
  <si>
    <t>Итого:</t>
  </si>
  <si>
    <t>в том числе НДС</t>
  </si>
  <si>
    <t xml:space="preserve">Геотекстиль </t>
  </si>
  <si>
    <t>Устройство цементно стяжки, полусухим способом М250, F150 армированной металлической оцинкованной сеткой d=4 мм Вр1 100х100 толщина слоя 50 мм</t>
  </si>
  <si>
    <t>Раствор готовый кладочный тяжелый цементный М250</t>
  </si>
  <si>
    <t>Устройство слоя из щебня гравийного фр.20-40 мм. с расклинцовкой фр.5/10/20/40 с проливкой водой (355-375мм.)</t>
  </si>
  <si>
    <t>Устройство цементно стяжки, полусухим способом М250, F150 армированной металлической оцинкованной сеткой d=4 мм Вр1 100х100 толщина слоя 50 мм и переходной галтели в местах примыкания к вертикальным конструкциям и элементам кровли.</t>
  </si>
  <si>
    <t xml:space="preserve">Раствор готовый кладочный тяжелый цементный М250 </t>
  </si>
  <si>
    <t>Огрунтовка армированной цементной стяжки под устройство гидроизоляции праймером битумным Технониколь №01</t>
  </si>
  <si>
    <t>Огрунтовка армированной цементно-песчаной стяжки под устройство гидроизоляции  праймером битумным Технониколь №01</t>
  </si>
  <si>
    <t>Устройство цементно стяжки, полусухим способом М250, F150 армированной металлической оцинкованной сеткой d=4 мм Вр1 100х100 толщина слоя 80 мм.</t>
  </si>
  <si>
    <t>Устройство цементно стяжки, полусухим способом М250, F150 армированной металлической оцинкованной сеткой d=4 мм Вр1 100х100 толщина слоя 70 мм</t>
  </si>
  <si>
    <t>Устройство цементно стяжки, полусухим способом М250, F150 армированной металлической оцинкованной сеткой d=4 мм Вр1 100х100 толщина слоя 45 мм</t>
  </si>
  <si>
    <t xml:space="preserve">Дренажная мембрана IsoDrain 10GHT с геотекстилем Typar (1160kH/м2) </t>
  </si>
  <si>
    <t>8.8</t>
  </si>
  <si>
    <t>8.9</t>
  </si>
  <si>
    <t>8.10</t>
  </si>
  <si>
    <t>10.20</t>
  </si>
  <si>
    <t>Бюджет банка 22 млн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</si>
</sst>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4" fillId="0" borderId="1" xfId="0" applyFont="1" applyBorder="1" applyAlignment="1">
      <alignment horizontal="right"/>
    </xf>
    <xf numFmtId="0" fontId="15" fillId="6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 wrapText="1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right" vertical="center" wrapText="1"/>
    </xf>
    <xf numFmtId="0" fontId="18" fillId="6" borderId="1" xfId="0" applyFont="1" applyFill="1" applyBorder="1" applyAlignment="1">
      <alignment horizontal="center" vertical="center" wrapText="1"/>
    </xf>
    <xf numFmtId="4" fontId="5" fillId="0" borderId="1" xfId="0" quotePrefix="1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0" fontId="18" fillId="7" borderId="1" xfId="0" applyFont="1" applyFill="1" applyBorder="1" applyAlignment="1">
      <alignment horizontal="center" vertical="center"/>
    </xf>
    <xf numFmtId="4" fontId="15" fillId="7" borderId="1" xfId="0" applyNumberFormat="1" applyFont="1" applyFill="1" applyBorder="1" applyAlignment="1">
      <alignment horizontal="right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right" vertical="center" wrapText="1"/>
    </xf>
    <xf numFmtId="4" fontId="15" fillId="0" borderId="1" xfId="0" quotePrefix="1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0" fontId="5" fillId="7" borderId="1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horizontal="right"/>
    </xf>
    <xf numFmtId="0" fontId="5" fillId="0" borderId="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6" fillId="6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1BD41-F6C2-403D-AB0E-C0330FDC6A65}">
  <sheetPr>
    <tabColor rgb="FF92D050"/>
    <pageSetUpPr fitToPage="1"/>
  </sheetPr>
  <dimension ref="A1:R196"/>
  <sheetViews>
    <sheetView tabSelected="1" topLeftCell="B1" zoomScale="120" zoomScaleNormal="120" zoomScaleSheetLayoutView="100" workbookViewId="0">
      <selection activeCell="R191" sqref="R191"/>
    </sheetView>
  </sheetViews>
  <sheetFormatPr defaultColWidth="8.90625" defaultRowHeight="15.5" outlineLevelCol="1" x14ac:dyDescent="0.35"/>
  <cols>
    <col min="1" max="1" width="6.90625" style="82" hidden="1" customWidth="1"/>
    <col min="2" max="2" width="7.54296875" style="80" customWidth="1"/>
    <col min="3" max="3" width="83.54296875" style="81" customWidth="1"/>
    <col min="4" max="4" width="9.36328125" style="82" customWidth="1"/>
    <col min="5" max="5" width="12" style="83" customWidth="1"/>
    <col min="6" max="6" width="13.54296875" style="82" bestFit="1" customWidth="1"/>
    <col min="7" max="8" width="12" style="82" customWidth="1"/>
    <col min="9" max="9" width="15" style="84" bestFit="1" customWidth="1"/>
    <col min="10" max="10" width="14.36328125" style="82" bestFit="1" customWidth="1"/>
    <col min="11" max="11" width="15" style="82" bestFit="1" customWidth="1"/>
    <col min="12" max="12" width="31.36328125" style="82" hidden="1" customWidth="1" outlineLevel="1"/>
    <col min="13" max="13" width="13.36328125" style="82" hidden="1" customWidth="1" collapsed="1"/>
    <col min="14" max="14" width="12.453125" style="82" hidden="1" customWidth="1"/>
    <col min="15" max="15" width="122.36328125" style="82" hidden="1" customWidth="1"/>
    <col min="16" max="16" width="6.08984375" style="82" customWidth="1"/>
    <col min="17" max="16384" width="8.90625" style="82"/>
  </cols>
  <sheetData>
    <row r="1" spans="2:18" x14ac:dyDescent="0.35">
      <c r="L1" s="122" t="s">
        <v>12</v>
      </c>
      <c r="M1" s="85"/>
      <c r="N1" s="85"/>
      <c r="O1" s="85"/>
      <c r="P1" s="85"/>
    </row>
    <row r="2" spans="2:18" x14ac:dyDescent="0.35">
      <c r="K2" s="129" t="s">
        <v>14</v>
      </c>
      <c r="L2" s="129"/>
      <c r="O2" s="122"/>
      <c r="P2" s="122"/>
    </row>
    <row r="3" spans="2:18" x14ac:dyDescent="0.35">
      <c r="K3" s="129" t="s">
        <v>13</v>
      </c>
      <c r="L3" s="129"/>
      <c r="O3" s="122"/>
      <c r="P3" s="122"/>
    </row>
    <row r="4" spans="2:18" x14ac:dyDescent="0.35">
      <c r="O4" s="123"/>
      <c r="P4" s="123"/>
    </row>
    <row r="5" spans="2:18" x14ac:dyDescent="0.35">
      <c r="B5" s="130" t="s">
        <v>3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85"/>
      <c r="N5" s="85"/>
      <c r="O5" s="85"/>
      <c r="P5" s="85"/>
    </row>
    <row r="6" spans="2:18" x14ac:dyDescent="0.35">
      <c r="B6" s="131" t="s">
        <v>235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86"/>
      <c r="N6" s="86"/>
      <c r="O6" s="86"/>
      <c r="P6" s="112"/>
    </row>
    <row r="7" spans="2:18" x14ac:dyDescent="0.35">
      <c r="B7" s="132" t="s">
        <v>11</v>
      </c>
      <c r="C7" s="133" t="s">
        <v>0</v>
      </c>
      <c r="D7" s="128" t="s">
        <v>1</v>
      </c>
      <c r="E7" s="134" t="s">
        <v>2</v>
      </c>
      <c r="F7" s="128" t="s">
        <v>4</v>
      </c>
      <c r="G7" s="128"/>
      <c r="H7" s="128"/>
      <c r="I7" s="128" t="s">
        <v>5</v>
      </c>
      <c r="J7" s="128"/>
      <c r="K7" s="128"/>
      <c r="L7" s="127" t="s">
        <v>6</v>
      </c>
    </row>
    <row r="8" spans="2:18" x14ac:dyDescent="0.35">
      <c r="B8" s="132"/>
      <c r="C8" s="133"/>
      <c r="D8" s="128"/>
      <c r="E8" s="134"/>
      <c r="F8" s="128" t="s">
        <v>7</v>
      </c>
      <c r="G8" s="128"/>
      <c r="H8" s="128"/>
      <c r="I8" s="128" t="s">
        <v>7</v>
      </c>
      <c r="J8" s="128"/>
      <c r="K8" s="128"/>
      <c r="L8" s="127"/>
    </row>
    <row r="9" spans="2:18" x14ac:dyDescent="0.35">
      <c r="B9" s="132"/>
      <c r="C9" s="133"/>
      <c r="D9" s="128"/>
      <c r="E9" s="134"/>
      <c r="F9" s="87" t="s">
        <v>8</v>
      </c>
      <c r="G9" s="121" t="s">
        <v>9</v>
      </c>
      <c r="H9" s="121" t="s">
        <v>10</v>
      </c>
      <c r="I9" s="121" t="s">
        <v>8</v>
      </c>
      <c r="J9" s="121" t="s">
        <v>9</v>
      </c>
      <c r="K9" s="121" t="s">
        <v>10</v>
      </c>
      <c r="L9" s="127"/>
    </row>
    <row r="10" spans="2:18" x14ac:dyDescent="0.35">
      <c r="B10" s="88" t="s">
        <v>236</v>
      </c>
      <c r="C10" s="121">
        <v>2</v>
      </c>
      <c r="D10" s="121">
        <v>3</v>
      </c>
      <c r="E10" s="121">
        <v>4</v>
      </c>
      <c r="F10" s="121" t="s">
        <v>170</v>
      </c>
      <c r="G10" s="124" t="s">
        <v>172</v>
      </c>
      <c r="H10" s="121">
        <v>7</v>
      </c>
      <c r="I10" s="121">
        <v>8</v>
      </c>
      <c r="J10" s="124" t="s">
        <v>237</v>
      </c>
      <c r="K10" s="124" t="s">
        <v>238</v>
      </c>
      <c r="L10" s="121">
        <v>14</v>
      </c>
    </row>
    <row r="11" spans="2:18" x14ac:dyDescent="0.35">
      <c r="B11" s="88"/>
      <c r="C11" s="64"/>
      <c r="D11" s="65"/>
      <c r="E11" s="126"/>
      <c r="F11" s="88"/>
      <c r="G11" s="124"/>
      <c r="H11" s="121"/>
      <c r="I11" s="121"/>
      <c r="J11" s="124"/>
      <c r="K11" s="124"/>
      <c r="L11" s="121"/>
    </row>
    <row r="12" spans="2:18" x14ac:dyDescent="0.35">
      <c r="B12" s="119" t="s">
        <v>236</v>
      </c>
      <c r="C12" s="89" t="s">
        <v>195</v>
      </c>
      <c r="D12" s="90"/>
      <c r="E12" s="126"/>
      <c r="F12" s="88"/>
      <c r="G12" s="124"/>
      <c r="H12" s="121"/>
      <c r="I12" s="121"/>
      <c r="J12" s="124"/>
      <c r="K12" s="124"/>
      <c r="L12" s="121"/>
    </row>
    <row r="13" spans="2:18" x14ac:dyDescent="0.35">
      <c r="B13" s="119" t="s">
        <v>240</v>
      </c>
      <c r="C13" s="91" t="s">
        <v>401</v>
      </c>
      <c r="D13" s="92" t="s">
        <v>25</v>
      </c>
      <c r="E13" s="67">
        <v>128.4</v>
      </c>
      <c r="F13" s="67"/>
      <c r="G13" s="67">
        <v>100</v>
      </c>
      <c r="H13" s="67">
        <f>F13+G13</f>
        <v>100</v>
      </c>
      <c r="I13" s="67">
        <f>F13*E13</f>
        <v>0</v>
      </c>
      <c r="J13" s="67">
        <f>G13*E13</f>
        <v>12840</v>
      </c>
      <c r="K13" s="67">
        <f>I13+J13</f>
        <v>12840</v>
      </c>
      <c r="L13" s="121"/>
    </row>
    <row r="14" spans="2:18" x14ac:dyDescent="0.35">
      <c r="B14" s="119" t="s">
        <v>245</v>
      </c>
      <c r="C14" s="63" t="s">
        <v>402</v>
      </c>
      <c r="D14" s="71" t="s">
        <v>31</v>
      </c>
      <c r="E14" s="67">
        <f>E13*0.2</f>
        <v>25.680000000000003</v>
      </c>
      <c r="F14" s="67">
        <v>305</v>
      </c>
      <c r="G14" s="67"/>
      <c r="H14" s="67">
        <f t="shared" ref="H14:H77" si="0">F14+G14</f>
        <v>305</v>
      </c>
      <c r="I14" s="67">
        <f t="shared" ref="I14:I77" si="1">F14*E14</f>
        <v>7832.4000000000005</v>
      </c>
      <c r="J14" s="67">
        <f t="shared" ref="J14:J77" si="2">G14*E14</f>
        <v>0</v>
      </c>
      <c r="K14" s="67">
        <f t="shared" ref="K14:K77" si="3">I14+J14</f>
        <v>7832.4000000000005</v>
      </c>
      <c r="L14" s="121"/>
    </row>
    <row r="15" spans="2:18" ht="31" x14ac:dyDescent="0.35">
      <c r="B15" s="119" t="s">
        <v>248</v>
      </c>
      <c r="C15" s="110" t="s">
        <v>204</v>
      </c>
      <c r="D15" s="97" t="s">
        <v>25</v>
      </c>
      <c r="E15" s="99">
        <v>128.4</v>
      </c>
      <c r="F15" s="99"/>
      <c r="G15" s="99">
        <v>525</v>
      </c>
      <c r="H15" s="67">
        <f t="shared" si="0"/>
        <v>525</v>
      </c>
      <c r="I15" s="67">
        <f t="shared" si="1"/>
        <v>0</v>
      </c>
      <c r="J15" s="67">
        <f t="shared" si="2"/>
        <v>67410</v>
      </c>
      <c r="K15" s="67">
        <f t="shared" si="3"/>
        <v>67410</v>
      </c>
      <c r="L15" s="121"/>
    </row>
    <row r="16" spans="2:18" x14ac:dyDescent="0.35">
      <c r="B16" s="119" t="s">
        <v>249</v>
      </c>
      <c r="C16" s="93" t="s">
        <v>403</v>
      </c>
      <c r="D16" s="97" t="s">
        <v>25</v>
      </c>
      <c r="E16" s="99">
        <f>E15*1.03</f>
        <v>132.25200000000001</v>
      </c>
      <c r="F16" s="99">
        <v>1360</v>
      </c>
      <c r="G16" s="99"/>
      <c r="H16" s="67">
        <f t="shared" si="0"/>
        <v>1360</v>
      </c>
      <c r="I16" s="67">
        <f t="shared" si="1"/>
        <v>179862.72</v>
      </c>
      <c r="J16" s="67">
        <f t="shared" si="2"/>
        <v>0</v>
      </c>
      <c r="K16" s="67">
        <f t="shared" si="3"/>
        <v>179862.72</v>
      </c>
      <c r="L16" s="121"/>
      <c r="R16" s="121"/>
    </row>
    <row r="17" spans="2:12" x14ac:dyDescent="0.35">
      <c r="B17" s="119" t="s">
        <v>250</v>
      </c>
      <c r="C17" s="91" t="s">
        <v>393</v>
      </c>
      <c r="D17" s="92" t="s">
        <v>25</v>
      </c>
      <c r="E17" s="67">
        <v>128.4</v>
      </c>
      <c r="F17" s="67"/>
      <c r="G17" s="67">
        <v>40</v>
      </c>
      <c r="H17" s="67">
        <f t="shared" si="0"/>
        <v>40</v>
      </c>
      <c r="I17" s="67">
        <f t="shared" si="1"/>
        <v>0</v>
      </c>
      <c r="J17" s="67">
        <f t="shared" si="2"/>
        <v>5136</v>
      </c>
      <c r="K17" s="67">
        <f t="shared" si="3"/>
        <v>5136</v>
      </c>
      <c r="L17" s="121"/>
    </row>
    <row r="18" spans="2:12" x14ac:dyDescent="0.35">
      <c r="B18" s="119" t="s">
        <v>251</v>
      </c>
      <c r="C18" s="63" t="s">
        <v>190</v>
      </c>
      <c r="D18" s="92" t="s">
        <v>25</v>
      </c>
      <c r="E18" s="67">
        <f>E17*1.1</f>
        <v>141.24</v>
      </c>
      <c r="F18" s="67">
        <v>15.97</v>
      </c>
      <c r="G18" s="67"/>
      <c r="H18" s="67">
        <f t="shared" si="0"/>
        <v>15.97</v>
      </c>
      <c r="I18" s="67">
        <f t="shared" si="1"/>
        <v>2255.6028000000001</v>
      </c>
      <c r="J18" s="67">
        <f t="shared" si="2"/>
        <v>0</v>
      </c>
      <c r="K18" s="67">
        <f t="shared" si="3"/>
        <v>2255.6028000000001</v>
      </c>
      <c r="L18" s="121"/>
    </row>
    <row r="19" spans="2:12" ht="31" x14ac:dyDescent="0.35">
      <c r="B19" s="75" t="s">
        <v>252</v>
      </c>
      <c r="C19" s="91" t="s">
        <v>191</v>
      </c>
      <c r="D19" s="92" t="s">
        <v>25</v>
      </c>
      <c r="E19" s="67">
        <v>128.4</v>
      </c>
      <c r="F19" s="69"/>
      <c r="G19" s="67">
        <v>850</v>
      </c>
      <c r="H19" s="67">
        <f t="shared" si="0"/>
        <v>850</v>
      </c>
      <c r="I19" s="67">
        <f t="shared" si="1"/>
        <v>0</v>
      </c>
      <c r="J19" s="67">
        <f t="shared" si="2"/>
        <v>109140</v>
      </c>
      <c r="K19" s="67">
        <f t="shared" si="3"/>
        <v>109140</v>
      </c>
      <c r="L19" s="65"/>
    </row>
    <row r="20" spans="2:12" x14ac:dyDescent="0.35">
      <c r="B20" s="75" t="s">
        <v>253</v>
      </c>
      <c r="C20" s="63" t="s">
        <v>400</v>
      </c>
      <c r="D20" s="92" t="s">
        <v>26</v>
      </c>
      <c r="E20" s="67">
        <f>E19*0.25*1.3</f>
        <v>41.730000000000004</v>
      </c>
      <c r="F20" s="69">
        <v>7200</v>
      </c>
      <c r="G20" s="67"/>
      <c r="H20" s="67">
        <f t="shared" si="0"/>
        <v>7200</v>
      </c>
      <c r="I20" s="67">
        <f t="shared" si="1"/>
        <v>300456</v>
      </c>
      <c r="J20" s="67">
        <f t="shared" si="2"/>
        <v>0</v>
      </c>
      <c r="K20" s="67">
        <f t="shared" si="3"/>
        <v>300456</v>
      </c>
      <c r="L20" s="65"/>
    </row>
    <row r="21" spans="2:12" ht="62" x14ac:dyDescent="0.35">
      <c r="B21" s="75" t="s">
        <v>254</v>
      </c>
      <c r="C21" s="74" t="s">
        <v>410</v>
      </c>
      <c r="D21" s="92" t="s">
        <v>25</v>
      </c>
      <c r="E21" s="67">
        <v>128.4</v>
      </c>
      <c r="F21" s="69"/>
      <c r="G21" s="67">
        <v>600</v>
      </c>
      <c r="H21" s="67">
        <f t="shared" si="0"/>
        <v>600</v>
      </c>
      <c r="I21" s="67">
        <f t="shared" si="1"/>
        <v>0</v>
      </c>
      <c r="J21" s="67">
        <f t="shared" si="2"/>
        <v>77040</v>
      </c>
      <c r="K21" s="67">
        <f t="shared" si="3"/>
        <v>77040</v>
      </c>
      <c r="L21" s="65"/>
    </row>
    <row r="22" spans="2:12" x14ac:dyDescent="0.35">
      <c r="B22" s="75" t="s">
        <v>255</v>
      </c>
      <c r="C22" s="93" t="s">
        <v>411</v>
      </c>
      <c r="D22" s="92" t="s">
        <v>26</v>
      </c>
      <c r="E22" s="67">
        <f>E21*0.05*1.02+(0.1*0.1/2*58.6)</f>
        <v>6.841400000000001</v>
      </c>
      <c r="F22" s="78">
        <v>7950</v>
      </c>
      <c r="G22" s="67"/>
      <c r="H22" s="67">
        <f t="shared" si="0"/>
        <v>7950</v>
      </c>
      <c r="I22" s="67">
        <f t="shared" si="1"/>
        <v>54389.130000000005</v>
      </c>
      <c r="J22" s="67">
        <f t="shared" si="2"/>
        <v>0</v>
      </c>
      <c r="K22" s="67">
        <f t="shared" si="3"/>
        <v>54389.130000000005</v>
      </c>
      <c r="L22" s="65"/>
    </row>
    <row r="23" spans="2:12" x14ac:dyDescent="0.35">
      <c r="B23" s="75" t="s">
        <v>256</v>
      </c>
      <c r="C23" s="63" t="s">
        <v>192</v>
      </c>
      <c r="D23" s="92" t="s">
        <v>25</v>
      </c>
      <c r="E23" s="67">
        <f>E13*1.1</f>
        <v>141.24</v>
      </c>
      <c r="F23" s="69">
        <v>181.29</v>
      </c>
      <c r="G23" s="67"/>
      <c r="H23" s="67">
        <f t="shared" si="0"/>
        <v>181.29</v>
      </c>
      <c r="I23" s="67">
        <f t="shared" si="1"/>
        <v>25605.399600000001</v>
      </c>
      <c r="J23" s="67">
        <f t="shared" si="2"/>
        <v>0</v>
      </c>
      <c r="K23" s="67">
        <f t="shared" si="3"/>
        <v>25605.399600000001</v>
      </c>
      <c r="L23" s="65"/>
    </row>
    <row r="24" spans="2:12" ht="31" x14ac:dyDescent="0.35">
      <c r="B24" s="75" t="s">
        <v>257</v>
      </c>
      <c r="C24" s="74" t="s">
        <v>412</v>
      </c>
      <c r="D24" s="92" t="s">
        <v>25</v>
      </c>
      <c r="E24" s="67">
        <v>128.4</v>
      </c>
      <c r="F24" s="69"/>
      <c r="G24" s="67">
        <v>100</v>
      </c>
      <c r="H24" s="67">
        <f t="shared" si="0"/>
        <v>100</v>
      </c>
      <c r="I24" s="67">
        <f t="shared" si="1"/>
        <v>0</v>
      </c>
      <c r="J24" s="67">
        <f t="shared" si="2"/>
        <v>12840</v>
      </c>
      <c r="K24" s="67">
        <f t="shared" si="3"/>
        <v>12840</v>
      </c>
      <c r="L24" s="65"/>
    </row>
    <row r="25" spans="2:12" x14ac:dyDescent="0.35">
      <c r="B25" s="75" t="s">
        <v>258</v>
      </c>
      <c r="C25" s="63" t="s">
        <v>188</v>
      </c>
      <c r="D25" s="94" t="s">
        <v>31</v>
      </c>
      <c r="E25" s="67">
        <f>E24*0.2</f>
        <v>25.680000000000003</v>
      </c>
      <c r="F25" s="69">
        <v>305</v>
      </c>
      <c r="G25" s="67"/>
      <c r="H25" s="67">
        <f t="shared" si="0"/>
        <v>305</v>
      </c>
      <c r="I25" s="67">
        <f t="shared" si="1"/>
        <v>7832.4000000000005</v>
      </c>
      <c r="J25" s="67">
        <f t="shared" si="2"/>
        <v>0</v>
      </c>
      <c r="K25" s="67">
        <f t="shared" si="3"/>
        <v>7832.4000000000005</v>
      </c>
      <c r="L25" s="65"/>
    </row>
    <row r="26" spans="2:12" ht="46.5" x14ac:dyDescent="0.35">
      <c r="B26" s="75" t="s">
        <v>259</v>
      </c>
      <c r="C26" s="91" t="s">
        <v>201</v>
      </c>
      <c r="D26" s="92" t="s">
        <v>25</v>
      </c>
      <c r="E26" s="67">
        <v>128.4</v>
      </c>
      <c r="F26" s="69"/>
      <c r="G26" s="67">
        <v>1050</v>
      </c>
      <c r="H26" s="67">
        <f t="shared" si="0"/>
        <v>1050</v>
      </c>
      <c r="I26" s="67">
        <f t="shared" si="1"/>
        <v>0</v>
      </c>
      <c r="J26" s="67">
        <f t="shared" si="2"/>
        <v>134820</v>
      </c>
      <c r="K26" s="67">
        <f t="shared" si="3"/>
        <v>134820</v>
      </c>
      <c r="L26" s="65"/>
    </row>
    <row r="27" spans="2:12" ht="31" x14ac:dyDescent="0.35">
      <c r="B27" s="75" t="s">
        <v>260</v>
      </c>
      <c r="C27" s="63" t="s">
        <v>193</v>
      </c>
      <c r="D27" s="94" t="s">
        <v>25</v>
      </c>
      <c r="E27" s="67">
        <f>E26*1.1</f>
        <v>141.24</v>
      </c>
      <c r="F27" s="69">
        <v>349.96</v>
      </c>
      <c r="G27" s="67"/>
      <c r="H27" s="67">
        <f t="shared" si="0"/>
        <v>349.96</v>
      </c>
      <c r="I27" s="67">
        <f t="shared" si="1"/>
        <v>49428.350400000003</v>
      </c>
      <c r="J27" s="67">
        <f t="shared" si="2"/>
        <v>0</v>
      </c>
      <c r="K27" s="67">
        <f t="shared" si="3"/>
        <v>49428.350400000003</v>
      </c>
      <c r="L27" s="65"/>
    </row>
    <row r="28" spans="2:12" x14ac:dyDescent="0.35">
      <c r="B28" s="75" t="s">
        <v>261</v>
      </c>
      <c r="C28" s="63" t="s">
        <v>194</v>
      </c>
      <c r="D28" s="94" t="s">
        <v>25</v>
      </c>
      <c r="E28" s="67">
        <f>E26*1.1</f>
        <v>141.24</v>
      </c>
      <c r="F28" s="69">
        <v>371.91</v>
      </c>
      <c r="G28" s="67"/>
      <c r="H28" s="67">
        <f t="shared" si="0"/>
        <v>371.91</v>
      </c>
      <c r="I28" s="67">
        <f t="shared" si="1"/>
        <v>52528.568400000004</v>
      </c>
      <c r="J28" s="67">
        <f t="shared" si="2"/>
        <v>0</v>
      </c>
      <c r="K28" s="67">
        <f t="shared" si="3"/>
        <v>52528.568400000004</v>
      </c>
      <c r="L28" s="65"/>
    </row>
    <row r="29" spans="2:12" x14ac:dyDescent="0.35">
      <c r="B29" s="75">
        <v>2</v>
      </c>
      <c r="C29" s="89" t="s">
        <v>395</v>
      </c>
      <c r="D29" s="71"/>
      <c r="E29" s="69"/>
      <c r="F29" s="95"/>
      <c r="G29" s="67"/>
      <c r="H29" s="67">
        <f t="shared" si="0"/>
        <v>0</v>
      </c>
      <c r="I29" s="67">
        <f t="shared" si="1"/>
        <v>0</v>
      </c>
      <c r="J29" s="67">
        <f t="shared" si="2"/>
        <v>0</v>
      </c>
      <c r="K29" s="67">
        <f t="shared" si="3"/>
        <v>0</v>
      </c>
      <c r="L29" s="87"/>
    </row>
    <row r="30" spans="2:12" x14ac:dyDescent="0.35">
      <c r="B30" s="75" t="s">
        <v>173</v>
      </c>
      <c r="C30" s="91" t="s">
        <v>401</v>
      </c>
      <c r="D30" s="92" t="s">
        <v>25</v>
      </c>
      <c r="E30" s="69">
        <f>ROUND(791.3,1)</f>
        <v>791.3</v>
      </c>
      <c r="F30" s="96"/>
      <c r="G30" s="67">
        <v>100</v>
      </c>
      <c r="H30" s="67">
        <f t="shared" si="0"/>
        <v>100</v>
      </c>
      <c r="I30" s="67">
        <f t="shared" si="1"/>
        <v>0</v>
      </c>
      <c r="J30" s="67">
        <f t="shared" si="2"/>
        <v>79130</v>
      </c>
      <c r="K30" s="67">
        <f t="shared" si="3"/>
        <v>79130</v>
      </c>
      <c r="L30" s="87"/>
    </row>
    <row r="31" spans="2:12" x14ac:dyDescent="0.35">
      <c r="B31" s="75" t="s">
        <v>241</v>
      </c>
      <c r="C31" s="63" t="s">
        <v>402</v>
      </c>
      <c r="D31" s="92" t="s">
        <v>31</v>
      </c>
      <c r="E31" s="69">
        <f>E30*0.2</f>
        <v>158.26</v>
      </c>
      <c r="F31" s="69">
        <v>305</v>
      </c>
      <c r="G31" s="67"/>
      <c r="H31" s="67">
        <f t="shared" si="0"/>
        <v>305</v>
      </c>
      <c r="I31" s="67">
        <f t="shared" si="1"/>
        <v>48269.299999999996</v>
      </c>
      <c r="J31" s="67">
        <f t="shared" si="2"/>
        <v>0</v>
      </c>
      <c r="K31" s="67">
        <f t="shared" si="3"/>
        <v>48269.299999999996</v>
      </c>
      <c r="L31" s="87"/>
    </row>
    <row r="32" spans="2:12" x14ac:dyDescent="0.35">
      <c r="B32" s="75" t="s">
        <v>246</v>
      </c>
      <c r="C32" s="110" t="s">
        <v>198</v>
      </c>
      <c r="D32" s="92" t="s">
        <v>25</v>
      </c>
      <c r="E32" s="77">
        <v>791</v>
      </c>
      <c r="F32" s="67"/>
      <c r="G32" s="67">
        <v>40</v>
      </c>
      <c r="H32" s="67">
        <f t="shared" si="0"/>
        <v>40</v>
      </c>
      <c r="I32" s="67">
        <f t="shared" si="1"/>
        <v>0</v>
      </c>
      <c r="J32" s="67">
        <f t="shared" si="2"/>
        <v>31640</v>
      </c>
      <c r="K32" s="67">
        <f t="shared" si="3"/>
        <v>31640</v>
      </c>
      <c r="L32" s="87"/>
    </row>
    <row r="33" spans="2:12" x14ac:dyDescent="0.35">
      <c r="B33" s="75" t="s">
        <v>262</v>
      </c>
      <c r="C33" s="93" t="s">
        <v>199</v>
      </c>
      <c r="D33" s="92" t="s">
        <v>25</v>
      </c>
      <c r="E33" s="69">
        <f>E32*1.1</f>
        <v>870.1</v>
      </c>
      <c r="F33" s="67">
        <v>15.97</v>
      </c>
      <c r="G33" s="67"/>
      <c r="H33" s="67">
        <f t="shared" si="0"/>
        <v>15.97</v>
      </c>
      <c r="I33" s="67">
        <f t="shared" si="1"/>
        <v>13895.497000000001</v>
      </c>
      <c r="J33" s="67">
        <f t="shared" si="2"/>
        <v>0</v>
      </c>
      <c r="K33" s="67">
        <f t="shared" si="3"/>
        <v>13895.497000000001</v>
      </c>
      <c r="L33" s="87"/>
    </row>
    <row r="34" spans="2:12" ht="31" x14ac:dyDescent="0.35">
      <c r="B34" s="75" t="s">
        <v>263</v>
      </c>
      <c r="C34" s="110" t="s">
        <v>396</v>
      </c>
      <c r="D34" s="92" t="s">
        <v>25</v>
      </c>
      <c r="E34" s="67">
        <v>791.3</v>
      </c>
      <c r="F34" s="96"/>
      <c r="G34" s="67">
        <v>850</v>
      </c>
      <c r="H34" s="67">
        <f t="shared" si="0"/>
        <v>850</v>
      </c>
      <c r="I34" s="67">
        <f t="shared" si="1"/>
        <v>0</v>
      </c>
      <c r="J34" s="67">
        <f t="shared" si="2"/>
        <v>672605</v>
      </c>
      <c r="K34" s="67">
        <f t="shared" si="3"/>
        <v>672605</v>
      </c>
      <c r="L34" s="87"/>
    </row>
    <row r="35" spans="2:12" x14ac:dyDescent="0.35">
      <c r="B35" s="75" t="s">
        <v>264</v>
      </c>
      <c r="C35" s="111" t="s">
        <v>200</v>
      </c>
      <c r="D35" s="92" t="s">
        <v>26</v>
      </c>
      <c r="E35" s="67">
        <f>E34*0.25*1.3</f>
        <v>257.17250000000001</v>
      </c>
      <c r="F35" s="69">
        <v>7200</v>
      </c>
      <c r="G35" s="67"/>
      <c r="H35" s="67">
        <f t="shared" si="0"/>
        <v>7200</v>
      </c>
      <c r="I35" s="67">
        <f t="shared" si="1"/>
        <v>1851642</v>
      </c>
      <c r="J35" s="67">
        <f t="shared" si="2"/>
        <v>0</v>
      </c>
      <c r="K35" s="67">
        <f t="shared" si="3"/>
        <v>1851642</v>
      </c>
      <c r="L35" s="87"/>
    </row>
    <row r="36" spans="2:12" x14ac:dyDescent="0.35">
      <c r="B36" s="75" t="s">
        <v>265</v>
      </c>
      <c r="C36" s="91" t="s">
        <v>393</v>
      </c>
      <c r="D36" s="92" t="s">
        <v>25</v>
      </c>
      <c r="E36" s="69">
        <v>791.3</v>
      </c>
      <c r="F36" s="67"/>
      <c r="G36" s="67">
        <v>40</v>
      </c>
      <c r="H36" s="67">
        <f t="shared" si="0"/>
        <v>40</v>
      </c>
      <c r="I36" s="67">
        <f t="shared" si="1"/>
        <v>0</v>
      </c>
      <c r="J36" s="67">
        <f t="shared" si="2"/>
        <v>31652</v>
      </c>
      <c r="K36" s="67">
        <f t="shared" si="3"/>
        <v>31652</v>
      </c>
      <c r="L36" s="87"/>
    </row>
    <row r="37" spans="2:12" x14ac:dyDescent="0.35">
      <c r="B37" s="75" t="s">
        <v>266</v>
      </c>
      <c r="C37" s="63" t="s">
        <v>190</v>
      </c>
      <c r="D37" s="92" t="s">
        <v>25</v>
      </c>
      <c r="E37" s="69">
        <f>E36*1.1</f>
        <v>870.43000000000006</v>
      </c>
      <c r="F37" s="67">
        <v>15.97</v>
      </c>
      <c r="G37" s="67"/>
      <c r="H37" s="67">
        <f t="shared" si="0"/>
        <v>15.97</v>
      </c>
      <c r="I37" s="67">
        <f t="shared" si="1"/>
        <v>13900.767100000001</v>
      </c>
      <c r="J37" s="67">
        <f t="shared" si="2"/>
        <v>0</v>
      </c>
      <c r="K37" s="67">
        <f t="shared" si="3"/>
        <v>13900.767100000001</v>
      </c>
      <c r="L37" s="87"/>
    </row>
    <row r="38" spans="2:12" ht="62" x14ac:dyDescent="0.35">
      <c r="B38" s="75" t="s">
        <v>267</v>
      </c>
      <c r="C38" s="74" t="s">
        <v>410</v>
      </c>
      <c r="D38" s="92" t="s">
        <v>25</v>
      </c>
      <c r="E38" s="69">
        <f>E30</f>
        <v>791.3</v>
      </c>
      <c r="F38" s="96"/>
      <c r="G38" s="67">
        <v>600</v>
      </c>
      <c r="H38" s="67">
        <f t="shared" si="0"/>
        <v>600</v>
      </c>
      <c r="I38" s="67">
        <f t="shared" si="1"/>
        <v>0</v>
      </c>
      <c r="J38" s="67">
        <f t="shared" si="2"/>
        <v>474780</v>
      </c>
      <c r="K38" s="67">
        <f t="shared" si="3"/>
        <v>474780</v>
      </c>
      <c r="L38" s="87"/>
    </row>
    <row r="39" spans="2:12" x14ac:dyDescent="0.35">
      <c r="B39" s="75" t="s">
        <v>268</v>
      </c>
      <c r="C39" s="93" t="s">
        <v>411</v>
      </c>
      <c r="D39" s="92" t="s">
        <v>26</v>
      </c>
      <c r="E39" s="69">
        <f>E38*0.05*1.02+(0.1*0.1/2*182.4)</f>
        <v>41.268299999999996</v>
      </c>
      <c r="F39" s="78">
        <v>7950</v>
      </c>
      <c r="G39" s="67"/>
      <c r="H39" s="67">
        <f t="shared" si="0"/>
        <v>7950</v>
      </c>
      <c r="I39" s="67">
        <f t="shared" si="1"/>
        <v>328082.98499999999</v>
      </c>
      <c r="J39" s="67">
        <f t="shared" si="2"/>
        <v>0</v>
      </c>
      <c r="K39" s="67">
        <f t="shared" si="3"/>
        <v>328082.98499999999</v>
      </c>
      <c r="L39" s="87"/>
    </row>
    <row r="40" spans="2:12" x14ac:dyDescent="0.35">
      <c r="B40" s="75" t="s">
        <v>269</v>
      </c>
      <c r="C40" s="63" t="s">
        <v>192</v>
      </c>
      <c r="D40" s="97" t="s">
        <v>25</v>
      </c>
      <c r="E40" s="69">
        <f>E30*1.1</f>
        <v>870.43000000000006</v>
      </c>
      <c r="F40" s="69">
        <v>181.29</v>
      </c>
      <c r="G40" s="67"/>
      <c r="H40" s="67">
        <f t="shared" si="0"/>
        <v>181.29</v>
      </c>
      <c r="I40" s="67">
        <f t="shared" si="1"/>
        <v>157800.25469999999</v>
      </c>
      <c r="J40" s="67">
        <f t="shared" si="2"/>
        <v>0</v>
      </c>
      <c r="K40" s="67">
        <f t="shared" si="3"/>
        <v>157800.25469999999</v>
      </c>
      <c r="L40" s="87"/>
    </row>
    <row r="41" spans="2:12" ht="31" x14ac:dyDescent="0.35">
      <c r="B41" s="75" t="s">
        <v>270</v>
      </c>
      <c r="C41" s="79" t="s">
        <v>413</v>
      </c>
      <c r="D41" s="97" t="s">
        <v>25</v>
      </c>
      <c r="E41" s="78">
        <f>E30</f>
        <v>791.3</v>
      </c>
      <c r="F41" s="98"/>
      <c r="G41" s="99">
        <v>100</v>
      </c>
      <c r="H41" s="67">
        <f t="shared" si="0"/>
        <v>100</v>
      </c>
      <c r="I41" s="67">
        <f t="shared" si="1"/>
        <v>0</v>
      </c>
      <c r="J41" s="67">
        <f t="shared" si="2"/>
        <v>79130</v>
      </c>
      <c r="K41" s="67">
        <f t="shared" si="3"/>
        <v>79130</v>
      </c>
      <c r="L41" s="87"/>
    </row>
    <row r="42" spans="2:12" x14ac:dyDescent="0.35">
      <c r="B42" s="75" t="s">
        <v>271</v>
      </c>
      <c r="C42" s="63" t="s">
        <v>402</v>
      </c>
      <c r="D42" s="94" t="s">
        <v>31</v>
      </c>
      <c r="E42" s="69">
        <f>E41*0.2</f>
        <v>158.26</v>
      </c>
      <c r="F42" s="69">
        <v>305</v>
      </c>
      <c r="G42" s="67"/>
      <c r="H42" s="67">
        <f t="shared" si="0"/>
        <v>305</v>
      </c>
      <c r="I42" s="67">
        <f t="shared" si="1"/>
        <v>48269.299999999996</v>
      </c>
      <c r="J42" s="67">
        <f t="shared" si="2"/>
        <v>0</v>
      </c>
      <c r="K42" s="67">
        <f t="shared" si="3"/>
        <v>48269.299999999996</v>
      </c>
      <c r="L42" s="87"/>
    </row>
    <row r="43" spans="2:12" ht="46.5" x14ac:dyDescent="0.35">
      <c r="B43" s="75" t="s">
        <v>272</v>
      </c>
      <c r="C43" s="91" t="s">
        <v>201</v>
      </c>
      <c r="D43" s="92" t="s">
        <v>25</v>
      </c>
      <c r="E43" s="69">
        <v>791.3</v>
      </c>
      <c r="F43" s="96"/>
      <c r="G43" s="67">
        <v>1050</v>
      </c>
      <c r="H43" s="67">
        <f t="shared" si="0"/>
        <v>1050</v>
      </c>
      <c r="I43" s="67">
        <f t="shared" si="1"/>
        <v>0</v>
      </c>
      <c r="J43" s="67">
        <f t="shared" si="2"/>
        <v>830865</v>
      </c>
      <c r="K43" s="67">
        <f t="shared" si="3"/>
        <v>830865</v>
      </c>
      <c r="L43" s="87"/>
    </row>
    <row r="44" spans="2:12" ht="31" x14ac:dyDescent="0.35">
      <c r="B44" s="75" t="s">
        <v>273</v>
      </c>
      <c r="C44" s="63" t="s">
        <v>193</v>
      </c>
      <c r="D44" s="94" t="s">
        <v>25</v>
      </c>
      <c r="E44" s="69">
        <f>E43*1.1</f>
        <v>870.43000000000006</v>
      </c>
      <c r="F44" s="69">
        <v>349.96</v>
      </c>
      <c r="G44" s="67"/>
      <c r="H44" s="67">
        <f t="shared" si="0"/>
        <v>349.96</v>
      </c>
      <c r="I44" s="67">
        <f t="shared" si="1"/>
        <v>304615.68280000001</v>
      </c>
      <c r="J44" s="67">
        <f t="shared" si="2"/>
        <v>0</v>
      </c>
      <c r="K44" s="67">
        <f t="shared" si="3"/>
        <v>304615.68280000001</v>
      </c>
      <c r="L44" s="87"/>
    </row>
    <row r="45" spans="2:12" x14ac:dyDescent="0.35">
      <c r="B45" s="75" t="s">
        <v>274</v>
      </c>
      <c r="C45" s="63" t="s">
        <v>194</v>
      </c>
      <c r="D45" s="94" t="s">
        <v>25</v>
      </c>
      <c r="E45" s="69">
        <f>E43*1.1</f>
        <v>870.43000000000006</v>
      </c>
      <c r="F45" s="69">
        <v>371.91</v>
      </c>
      <c r="G45" s="67"/>
      <c r="H45" s="67">
        <f t="shared" si="0"/>
        <v>371.91</v>
      </c>
      <c r="I45" s="67">
        <f t="shared" si="1"/>
        <v>323721.62130000006</v>
      </c>
      <c r="J45" s="67">
        <f t="shared" si="2"/>
        <v>0</v>
      </c>
      <c r="K45" s="67">
        <f t="shared" si="3"/>
        <v>323721.62130000006</v>
      </c>
      <c r="L45" s="87"/>
    </row>
    <row r="46" spans="2:12" x14ac:dyDescent="0.35">
      <c r="B46" s="75" t="s">
        <v>275</v>
      </c>
      <c r="C46" s="91" t="s">
        <v>202</v>
      </c>
      <c r="D46" s="92" t="s">
        <v>32</v>
      </c>
      <c r="E46" s="69">
        <v>2</v>
      </c>
      <c r="F46" s="96"/>
      <c r="G46" s="67">
        <v>500</v>
      </c>
      <c r="H46" s="67">
        <f t="shared" si="0"/>
        <v>500</v>
      </c>
      <c r="I46" s="67">
        <f t="shared" si="1"/>
        <v>0</v>
      </c>
      <c r="J46" s="67">
        <f t="shared" si="2"/>
        <v>1000</v>
      </c>
      <c r="K46" s="67">
        <f t="shared" si="3"/>
        <v>1000</v>
      </c>
      <c r="L46" s="65"/>
    </row>
    <row r="47" spans="2:12" x14ac:dyDescent="0.35">
      <c r="B47" s="75" t="s">
        <v>276</v>
      </c>
      <c r="C47" s="100" t="s">
        <v>203</v>
      </c>
      <c r="D47" s="92" t="s">
        <v>32</v>
      </c>
      <c r="E47" s="69">
        <v>2</v>
      </c>
      <c r="F47" s="96">
        <v>1375</v>
      </c>
      <c r="G47" s="67"/>
      <c r="H47" s="67">
        <f t="shared" si="0"/>
        <v>1375</v>
      </c>
      <c r="I47" s="67">
        <f t="shared" si="1"/>
        <v>2750</v>
      </c>
      <c r="J47" s="67">
        <f t="shared" si="2"/>
        <v>0</v>
      </c>
      <c r="K47" s="67">
        <f t="shared" si="3"/>
        <v>2750</v>
      </c>
      <c r="L47" s="65"/>
    </row>
    <row r="48" spans="2:12" ht="31" x14ac:dyDescent="0.35">
      <c r="B48" s="75" t="s">
        <v>277</v>
      </c>
      <c r="C48" s="120" t="s">
        <v>205</v>
      </c>
      <c r="D48" s="92" t="s">
        <v>196</v>
      </c>
      <c r="E48" s="69">
        <f>120.93+42.46+31.39+25.91+8.26</f>
        <v>228.95000000000002</v>
      </c>
      <c r="F48" s="96"/>
      <c r="G48" s="67">
        <v>1500</v>
      </c>
      <c r="H48" s="67">
        <f t="shared" si="0"/>
        <v>1500</v>
      </c>
      <c r="I48" s="67">
        <f t="shared" si="1"/>
        <v>0</v>
      </c>
      <c r="J48" s="67">
        <f t="shared" si="2"/>
        <v>343425</v>
      </c>
      <c r="K48" s="67">
        <f t="shared" si="3"/>
        <v>343425</v>
      </c>
      <c r="L48" s="65"/>
    </row>
    <row r="49" spans="2:12" ht="31" x14ac:dyDescent="0.35">
      <c r="B49" s="75" t="s">
        <v>278</v>
      </c>
      <c r="C49" s="63" t="s">
        <v>206</v>
      </c>
      <c r="D49" s="92" t="s">
        <v>196</v>
      </c>
      <c r="E49" s="69">
        <f>E48*1.1</f>
        <v>251.84500000000003</v>
      </c>
      <c r="F49" s="96">
        <v>980</v>
      </c>
      <c r="G49" s="67"/>
      <c r="H49" s="67">
        <f t="shared" si="0"/>
        <v>980</v>
      </c>
      <c r="I49" s="67">
        <f t="shared" si="1"/>
        <v>246808.10000000003</v>
      </c>
      <c r="J49" s="67">
        <f t="shared" si="2"/>
        <v>0</v>
      </c>
      <c r="K49" s="67">
        <f t="shared" si="3"/>
        <v>246808.10000000003</v>
      </c>
      <c r="L49" s="65"/>
    </row>
    <row r="50" spans="2:12" ht="31" x14ac:dyDescent="0.35">
      <c r="B50" s="75" t="s">
        <v>279</v>
      </c>
      <c r="C50" s="63" t="s">
        <v>197</v>
      </c>
      <c r="D50" s="92" t="s">
        <v>32</v>
      </c>
      <c r="E50" s="69">
        <f>E48/2</f>
        <v>114.47500000000001</v>
      </c>
      <c r="F50" s="96">
        <v>2400</v>
      </c>
      <c r="G50" s="67"/>
      <c r="H50" s="67">
        <f t="shared" si="0"/>
        <v>2400</v>
      </c>
      <c r="I50" s="67">
        <f t="shared" si="1"/>
        <v>274740</v>
      </c>
      <c r="J50" s="67">
        <f t="shared" si="2"/>
        <v>0</v>
      </c>
      <c r="K50" s="67">
        <f t="shared" si="3"/>
        <v>274740</v>
      </c>
      <c r="L50" s="65"/>
    </row>
    <row r="51" spans="2:12" x14ac:dyDescent="0.35">
      <c r="B51" s="75" t="s">
        <v>280</v>
      </c>
      <c r="C51" s="120" t="s">
        <v>397</v>
      </c>
      <c r="D51" s="92" t="s">
        <v>196</v>
      </c>
      <c r="E51" s="69">
        <f>5.4+2.6+2.9+10.15</f>
        <v>21.05</v>
      </c>
      <c r="F51" s="101"/>
      <c r="G51" s="67">
        <v>600</v>
      </c>
      <c r="H51" s="67">
        <f t="shared" si="0"/>
        <v>600</v>
      </c>
      <c r="I51" s="67">
        <f t="shared" si="1"/>
        <v>0</v>
      </c>
      <c r="J51" s="67">
        <f t="shared" si="2"/>
        <v>12630</v>
      </c>
      <c r="K51" s="67">
        <f t="shared" si="3"/>
        <v>12630</v>
      </c>
      <c r="L51" s="65"/>
    </row>
    <row r="52" spans="2:12" x14ac:dyDescent="0.35">
      <c r="B52" s="75" t="s">
        <v>281</v>
      </c>
      <c r="C52" s="63" t="s">
        <v>398</v>
      </c>
      <c r="D52" s="92" t="s">
        <v>196</v>
      </c>
      <c r="E52" s="69">
        <f>E51*1.1</f>
        <v>23.155000000000001</v>
      </c>
      <c r="F52" s="96">
        <v>634</v>
      </c>
      <c r="G52" s="67"/>
      <c r="H52" s="67">
        <f t="shared" si="0"/>
        <v>634</v>
      </c>
      <c r="I52" s="67">
        <f t="shared" si="1"/>
        <v>14680.27</v>
      </c>
      <c r="J52" s="67">
        <f t="shared" si="2"/>
        <v>0</v>
      </c>
      <c r="K52" s="67">
        <f t="shared" si="3"/>
        <v>14680.27</v>
      </c>
      <c r="L52" s="65"/>
    </row>
    <row r="53" spans="2:12" x14ac:dyDescent="0.35">
      <c r="B53" s="75" t="s">
        <v>187</v>
      </c>
      <c r="C53" s="73" t="s">
        <v>207</v>
      </c>
      <c r="D53" s="71"/>
      <c r="E53" s="69"/>
      <c r="F53" s="69"/>
      <c r="G53" s="67"/>
      <c r="H53" s="67">
        <f t="shared" si="0"/>
        <v>0</v>
      </c>
      <c r="I53" s="67">
        <f t="shared" si="1"/>
        <v>0</v>
      </c>
      <c r="J53" s="67">
        <f t="shared" si="2"/>
        <v>0</v>
      </c>
      <c r="K53" s="67">
        <f t="shared" si="3"/>
        <v>0</v>
      </c>
      <c r="L53" s="65"/>
    </row>
    <row r="54" spans="2:12" x14ac:dyDescent="0.35">
      <c r="B54" s="75" t="s">
        <v>174</v>
      </c>
      <c r="C54" s="64" t="s">
        <v>401</v>
      </c>
      <c r="D54" s="71" t="s">
        <v>25</v>
      </c>
      <c r="E54" s="69">
        <v>130</v>
      </c>
      <c r="F54" s="69"/>
      <c r="G54" s="67">
        <v>100</v>
      </c>
      <c r="H54" s="67">
        <f t="shared" si="0"/>
        <v>100</v>
      </c>
      <c r="I54" s="67">
        <f t="shared" si="1"/>
        <v>0</v>
      </c>
      <c r="J54" s="67">
        <f t="shared" si="2"/>
        <v>13000</v>
      </c>
      <c r="K54" s="67">
        <f t="shared" si="3"/>
        <v>13000</v>
      </c>
      <c r="L54" s="65"/>
    </row>
    <row r="55" spans="2:12" x14ac:dyDescent="0.35">
      <c r="B55" s="75" t="s">
        <v>285</v>
      </c>
      <c r="C55" s="102" t="s">
        <v>402</v>
      </c>
      <c r="D55" s="71" t="s">
        <v>31</v>
      </c>
      <c r="E55" s="69">
        <f>E54*0.2</f>
        <v>26</v>
      </c>
      <c r="F55" s="69">
        <v>305</v>
      </c>
      <c r="G55" s="67"/>
      <c r="H55" s="67">
        <f t="shared" si="0"/>
        <v>305</v>
      </c>
      <c r="I55" s="67">
        <f t="shared" si="1"/>
        <v>7930</v>
      </c>
      <c r="J55" s="67">
        <f t="shared" si="2"/>
        <v>0</v>
      </c>
      <c r="K55" s="67">
        <f t="shared" si="3"/>
        <v>7930</v>
      </c>
      <c r="L55" s="65"/>
    </row>
    <row r="56" spans="2:12" x14ac:dyDescent="0.35">
      <c r="B56" s="75" t="s">
        <v>243</v>
      </c>
      <c r="C56" s="64" t="s">
        <v>189</v>
      </c>
      <c r="D56" s="71" t="s">
        <v>25</v>
      </c>
      <c r="E56" s="69">
        <v>130</v>
      </c>
      <c r="F56" s="69"/>
      <c r="G56" s="67">
        <v>430</v>
      </c>
      <c r="H56" s="67">
        <f t="shared" si="0"/>
        <v>430</v>
      </c>
      <c r="I56" s="67">
        <f t="shared" si="1"/>
        <v>0</v>
      </c>
      <c r="J56" s="67">
        <f t="shared" si="2"/>
        <v>55900</v>
      </c>
      <c r="K56" s="67">
        <f t="shared" si="3"/>
        <v>55900</v>
      </c>
      <c r="L56" s="65"/>
    </row>
    <row r="57" spans="2:12" x14ac:dyDescent="0.35">
      <c r="B57" s="75" t="s">
        <v>282</v>
      </c>
      <c r="C57" s="68" t="s">
        <v>211</v>
      </c>
      <c r="D57" s="71" t="s">
        <v>25</v>
      </c>
      <c r="E57" s="69">
        <f>E56*1.1</f>
        <v>143</v>
      </c>
      <c r="F57" s="69">
        <v>278</v>
      </c>
      <c r="G57" s="67"/>
      <c r="H57" s="67">
        <f t="shared" si="0"/>
        <v>278</v>
      </c>
      <c r="I57" s="67">
        <f t="shared" si="1"/>
        <v>39754</v>
      </c>
      <c r="J57" s="67">
        <f t="shared" si="2"/>
        <v>0</v>
      </c>
      <c r="K57" s="67">
        <f t="shared" si="3"/>
        <v>39754</v>
      </c>
      <c r="L57" s="65"/>
    </row>
    <row r="58" spans="2:12" ht="31" x14ac:dyDescent="0.35">
      <c r="B58" s="75" t="s">
        <v>286</v>
      </c>
      <c r="C58" s="64" t="s">
        <v>208</v>
      </c>
      <c r="D58" s="71" t="s">
        <v>25</v>
      </c>
      <c r="E58" s="69">
        <v>130</v>
      </c>
      <c r="F58" s="69"/>
      <c r="G58" s="67">
        <v>850</v>
      </c>
      <c r="H58" s="67">
        <f t="shared" si="0"/>
        <v>850</v>
      </c>
      <c r="I58" s="67">
        <f t="shared" si="1"/>
        <v>0</v>
      </c>
      <c r="J58" s="67">
        <f t="shared" si="2"/>
        <v>110500</v>
      </c>
      <c r="K58" s="67">
        <f t="shared" si="3"/>
        <v>110500</v>
      </c>
      <c r="L58" s="65"/>
    </row>
    <row r="59" spans="2:12" x14ac:dyDescent="0.35">
      <c r="B59" s="75" t="s">
        <v>284</v>
      </c>
      <c r="C59" s="102" t="s">
        <v>200</v>
      </c>
      <c r="D59" s="71" t="s">
        <v>26</v>
      </c>
      <c r="E59" s="69">
        <f>E58*0.339*1.3</f>
        <v>57.291000000000004</v>
      </c>
      <c r="F59" s="69">
        <v>7200</v>
      </c>
      <c r="G59" s="67"/>
      <c r="H59" s="67">
        <f t="shared" si="0"/>
        <v>7200</v>
      </c>
      <c r="I59" s="67">
        <f t="shared" si="1"/>
        <v>412495.2</v>
      </c>
      <c r="J59" s="67">
        <f t="shared" si="2"/>
        <v>0</v>
      </c>
      <c r="K59" s="67">
        <f t="shared" si="3"/>
        <v>412495.2</v>
      </c>
      <c r="L59" s="65"/>
    </row>
    <row r="60" spans="2:12" x14ac:dyDescent="0.35">
      <c r="B60" s="75" t="s">
        <v>287</v>
      </c>
      <c r="C60" s="64" t="s">
        <v>393</v>
      </c>
      <c r="D60" s="71" t="s">
        <v>25</v>
      </c>
      <c r="E60" s="69">
        <v>130</v>
      </c>
      <c r="F60" s="67"/>
      <c r="G60" s="67">
        <v>40</v>
      </c>
      <c r="H60" s="67">
        <f t="shared" si="0"/>
        <v>40</v>
      </c>
      <c r="I60" s="67">
        <f t="shared" si="1"/>
        <v>0</v>
      </c>
      <c r="J60" s="67">
        <f t="shared" si="2"/>
        <v>5200</v>
      </c>
      <c r="K60" s="67">
        <f t="shared" si="3"/>
        <v>5200</v>
      </c>
      <c r="L60" s="65"/>
    </row>
    <row r="61" spans="2:12" x14ac:dyDescent="0.35">
      <c r="B61" s="75" t="s">
        <v>283</v>
      </c>
      <c r="C61" s="102" t="s">
        <v>190</v>
      </c>
      <c r="D61" s="71" t="s">
        <v>25</v>
      </c>
      <c r="E61" s="69">
        <f>E60*1.1</f>
        <v>143</v>
      </c>
      <c r="F61" s="67">
        <v>15.97</v>
      </c>
      <c r="G61" s="67"/>
      <c r="H61" s="67">
        <f t="shared" si="0"/>
        <v>15.97</v>
      </c>
      <c r="I61" s="67">
        <f t="shared" si="1"/>
        <v>2283.71</v>
      </c>
      <c r="J61" s="67">
        <f t="shared" si="2"/>
        <v>0</v>
      </c>
      <c r="K61" s="67">
        <f t="shared" si="3"/>
        <v>2283.71</v>
      </c>
      <c r="L61" s="65"/>
    </row>
    <row r="62" spans="2:12" x14ac:dyDescent="0.35">
      <c r="B62" s="75" t="s">
        <v>175</v>
      </c>
      <c r="C62" s="73" t="s">
        <v>210</v>
      </c>
      <c r="D62" s="71"/>
      <c r="E62" s="69"/>
      <c r="F62" s="69"/>
      <c r="G62" s="67"/>
      <c r="H62" s="67">
        <f t="shared" si="0"/>
        <v>0</v>
      </c>
      <c r="I62" s="67">
        <f t="shared" si="1"/>
        <v>0</v>
      </c>
      <c r="J62" s="67">
        <f t="shared" si="2"/>
        <v>0</v>
      </c>
      <c r="K62" s="67">
        <f t="shared" si="3"/>
        <v>0</v>
      </c>
      <c r="L62" s="65"/>
    </row>
    <row r="63" spans="2:12" x14ac:dyDescent="0.35">
      <c r="B63" s="75" t="s">
        <v>176</v>
      </c>
      <c r="C63" s="64" t="s">
        <v>401</v>
      </c>
      <c r="D63" s="71" t="s">
        <v>25</v>
      </c>
      <c r="E63" s="69">
        <v>84</v>
      </c>
      <c r="F63" s="69"/>
      <c r="G63" s="67">
        <v>100</v>
      </c>
      <c r="H63" s="67">
        <f t="shared" si="0"/>
        <v>100</v>
      </c>
      <c r="I63" s="67">
        <f t="shared" si="1"/>
        <v>0</v>
      </c>
      <c r="J63" s="67">
        <f t="shared" si="2"/>
        <v>8400</v>
      </c>
      <c r="K63" s="67">
        <f t="shared" si="3"/>
        <v>8400</v>
      </c>
      <c r="L63" s="65"/>
    </row>
    <row r="64" spans="2:12" x14ac:dyDescent="0.35">
      <c r="B64" s="75" t="s">
        <v>288</v>
      </c>
      <c r="C64" s="102" t="s">
        <v>402</v>
      </c>
      <c r="D64" s="71" t="s">
        <v>31</v>
      </c>
      <c r="E64" s="69">
        <f>E63*0.2</f>
        <v>16.8</v>
      </c>
      <c r="F64" s="69">
        <v>305</v>
      </c>
      <c r="G64" s="67"/>
      <c r="H64" s="67">
        <f t="shared" si="0"/>
        <v>305</v>
      </c>
      <c r="I64" s="67">
        <f t="shared" si="1"/>
        <v>5124</v>
      </c>
      <c r="J64" s="67">
        <f t="shared" si="2"/>
        <v>0</v>
      </c>
      <c r="K64" s="67">
        <f t="shared" si="3"/>
        <v>5124</v>
      </c>
      <c r="L64" s="65"/>
    </row>
    <row r="65" spans="2:12" x14ac:dyDescent="0.35">
      <c r="B65" s="75" t="s">
        <v>289</v>
      </c>
      <c r="C65" s="64" t="s">
        <v>212</v>
      </c>
      <c r="D65" s="71" t="s">
        <v>25</v>
      </c>
      <c r="E65" s="69">
        <v>84</v>
      </c>
      <c r="F65" s="69"/>
      <c r="G65" s="67">
        <v>430</v>
      </c>
      <c r="H65" s="67">
        <f t="shared" si="0"/>
        <v>430</v>
      </c>
      <c r="I65" s="67">
        <f t="shared" si="1"/>
        <v>0</v>
      </c>
      <c r="J65" s="67">
        <f t="shared" si="2"/>
        <v>36120</v>
      </c>
      <c r="K65" s="67">
        <f t="shared" si="3"/>
        <v>36120</v>
      </c>
      <c r="L65" s="65"/>
    </row>
    <row r="66" spans="2:12" x14ac:dyDescent="0.35">
      <c r="B66" s="75" t="s">
        <v>290</v>
      </c>
      <c r="C66" s="68" t="s">
        <v>213</v>
      </c>
      <c r="D66" s="71" t="s">
        <v>25</v>
      </c>
      <c r="E66" s="69">
        <f>E65*1.1</f>
        <v>92.4</v>
      </c>
      <c r="F66" s="69">
        <v>244.1</v>
      </c>
      <c r="G66" s="67"/>
      <c r="H66" s="67">
        <f t="shared" si="0"/>
        <v>244.1</v>
      </c>
      <c r="I66" s="67">
        <f t="shared" si="1"/>
        <v>22554.84</v>
      </c>
      <c r="J66" s="67">
        <f t="shared" si="2"/>
        <v>0</v>
      </c>
      <c r="K66" s="67">
        <f t="shared" si="3"/>
        <v>22554.84</v>
      </c>
      <c r="L66" s="65"/>
    </row>
    <row r="67" spans="2:12" ht="31" x14ac:dyDescent="0.35">
      <c r="B67" s="75" t="s">
        <v>291</v>
      </c>
      <c r="C67" s="64" t="s">
        <v>399</v>
      </c>
      <c r="D67" s="71" t="s">
        <v>25</v>
      </c>
      <c r="E67" s="69">
        <v>84</v>
      </c>
      <c r="F67" s="69"/>
      <c r="G67" s="67">
        <v>850</v>
      </c>
      <c r="H67" s="67">
        <f t="shared" si="0"/>
        <v>850</v>
      </c>
      <c r="I67" s="67">
        <f t="shared" si="1"/>
        <v>0</v>
      </c>
      <c r="J67" s="67">
        <f t="shared" si="2"/>
        <v>71400</v>
      </c>
      <c r="K67" s="67">
        <f t="shared" si="3"/>
        <v>71400</v>
      </c>
      <c r="L67" s="65"/>
    </row>
    <row r="68" spans="2:12" x14ac:dyDescent="0.35">
      <c r="B68" s="75" t="s">
        <v>292</v>
      </c>
      <c r="C68" s="102" t="s">
        <v>200</v>
      </c>
      <c r="D68" s="71" t="s">
        <v>26</v>
      </c>
      <c r="E68" s="69">
        <f>E67*0.46*1.3</f>
        <v>50.231999999999999</v>
      </c>
      <c r="F68" s="69">
        <v>7200</v>
      </c>
      <c r="G68" s="67"/>
      <c r="H68" s="67">
        <f t="shared" si="0"/>
        <v>7200</v>
      </c>
      <c r="I68" s="67">
        <f t="shared" si="1"/>
        <v>361670.40000000002</v>
      </c>
      <c r="J68" s="67">
        <f t="shared" si="2"/>
        <v>0</v>
      </c>
      <c r="K68" s="67">
        <f t="shared" si="3"/>
        <v>361670.40000000002</v>
      </c>
      <c r="L68" s="65"/>
    </row>
    <row r="69" spans="2:12" x14ac:dyDescent="0.35">
      <c r="B69" s="75" t="s">
        <v>293</v>
      </c>
      <c r="C69" s="64" t="s">
        <v>393</v>
      </c>
      <c r="D69" s="71" t="s">
        <v>25</v>
      </c>
      <c r="E69" s="69">
        <v>84</v>
      </c>
      <c r="F69" s="67"/>
      <c r="G69" s="67">
        <v>40</v>
      </c>
      <c r="H69" s="67">
        <f t="shared" si="0"/>
        <v>40</v>
      </c>
      <c r="I69" s="67">
        <f t="shared" si="1"/>
        <v>0</v>
      </c>
      <c r="J69" s="67">
        <f t="shared" si="2"/>
        <v>3360</v>
      </c>
      <c r="K69" s="67">
        <f t="shared" si="3"/>
        <v>3360</v>
      </c>
      <c r="L69" s="65"/>
    </row>
    <row r="70" spans="2:12" x14ac:dyDescent="0.35">
      <c r="B70" s="75" t="s">
        <v>294</v>
      </c>
      <c r="C70" s="102" t="s">
        <v>190</v>
      </c>
      <c r="D70" s="71" t="s">
        <v>25</v>
      </c>
      <c r="E70" s="69">
        <f>E69*1.1</f>
        <v>92.4</v>
      </c>
      <c r="F70" s="67">
        <v>15.97</v>
      </c>
      <c r="G70" s="67"/>
      <c r="H70" s="67">
        <f t="shared" si="0"/>
        <v>15.97</v>
      </c>
      <c r="I70" s="67">
        <f t="shared" si="1"/>
        <v>1475.6280000000002</v>
      </c>
      <c r="J70" s="67">
        <f t="shared" si="2"/>
        <v>0</v>
      </c>
      <c r="K70" s="67">
        <f t="shared" si="3"/>
        <v>1475.6280000000002</v>
      </c>
      <c r="L70" s="65"/>
    </row>
    <row r="71" spans="2:12" ht="31" x14ac:dyDescent="0.35">
      <c r="B71" s="75" t="s">
        <v>295</v>
      </c>
      <c r="C71" s="72" t="s">
        <v>414</v>
      </c>
      <c r="D71" s="71" t="s">
        <v>25</v>
      </c>
      <c r="E71" s="69">
        <v>84</v>
      </c>
      <c r="F71" s="69"/>
      <c r="G71" s="67">
        <v>600</v>
      </c>
      <c r="H71" s="67">
        <f t="shared" si="0"/>
        <v>600</v>
      </c>
      <c r="I71" s="67">
        <f t="shared" si="1"/>
        <v>0</v>
      </c>
      <c r="J71" s="67">
        <f t="shared" si="2"/>
        <v>50400</v>
      </c>
      <c r="K71" s="67">
        <f t="shared" si="3"/>
        <v>50400</v>
      </c>
      <c r="L71" s="65"/>
    </row>
    <row r="72" spans="2:12" x14ac:dyDescent="0.35">
      <c r="B72" s="75" t="s">
        <v>296</v>
      </c>
      <c r="C72" s="93" t="s">
        <v>408</v>
      </c>
      <c r="D72" s="71" t="s">
        <v>26</v>
      </c>
      <c r="E72" s="69">
        <f>E71*0.08*1.02</f>
        <v>6.8544</v>
      </c>
      <c r="F72" s="78">
        <v>7950</v>
      </c>
      <c r="G72" s="67"/>
      <c r="H72" s="67">
        <f t="shared" si="0"/>
        <v>7950</v>
      </c>
      <c r="I72" s="67">
        <f t="shared" si="1"/>
        <v>54492.480000000003</v>
      </c>
      <c r="J72" s="67">
        <f t="shared" si="2"/>
        <v>0</v>
      </c>
      <c r="K72" s="67">
        <f t="shared" si="3"/>
        <v>54492.480000000003</v>
      </c>
      <c r="L72" s="65"/>
    </row>
    <row r="73" spans="2:12" x14ac:dyDescent="0.35">
      <c r="B73" s="75" t="s">
        <v>297</v>
      </c>
      <c r="C73" s="102" t="s">
        <v>192</v>
      </c>
      <c r="D73" s="92" t="s">
        <v>25</v>
      </c>
      <c r="E73" s="69">
        <f>E63*1.1</f>
        <v>92.4</v>
      </c>
      <c r="F73" s="69">
        <v>181.29</v>
      </c>
      <c r="G73" s="67"/>
      <c r="H73" s="67">
        <f t="shared" si="0"/>
        <v>181.29</v>
      </c>
      <c r="I73" s="67">
        <f t="shared" si="1"/>
        <v>16751.196</v>
      </c>
      <c r="J73" s="67">
        <f t="shared" si="2"/>
        <v>0</v>
      </c>
      <c r="K73" s="67">
        <f t="shared" si="3"/>
        <v>16751.196</v>
      </c>
      <c r="L73" s="65"/>
    </row>
    <row r="74" spans="2:12" x14ac:dyDescent="0.35">
      <c r="B74" s="75" t="s">
        <v>170</v>
      </c>
      <c r="C74" s="73" t="s">
        <v>214</v>
      </c>
      <c r="D74" s="71"/>
      <c r="E74" s="69"/>
      <c r="F74" s="69"/>
      <c r="G74" s="67"/>
      <c r="H74" s="67">
        <f t="shared" si="0"/>
        <v>0</v>
      </c>
      <c r="I74" s="67">
        <f t="shared" si="1"/>
        <v>0</v>
      </c>
      <c r="J74" s="67">
        <f t="shared" si="2"/>
        <v>0</v>
      </c>
      <c r="K74" s="67">
        <f t="shared" si="3"/>
        <v>0</v>
      </c>
      <c r="L74" s="65"/>
    </row>
    <row r="75" spans="2:12" x14ac:dyDescent="0.35">
      <c r="B75" s="75" t="s">
        <v>177</v>
      </c>
      <c r="C75" s="64" t="s">
        <v>401</v>
      </c>
      <c r="D75" s="71" t="s">
        <v>25</v>
      </c>
      <c r="E75" s="69">
        <v>171.5</v>
      </c>
      <c r="F75" s="69"/>
      <c r="G75" s="67">
        <v>100</v>
      </c>
      <c r="H75" s="67">
        <f t="shared" si="0"/>
        <v>100</v>
      </c>
      <c r="I75" s="67">
        <f t="shared" si="1"/>
        <v>0</v>
      </c>
      <c r="J75" s="67">
        <f t="shared" si="2"/>
        <v>17150</v>
      </c>
      <c r="K75" s="67">
        <f t="shared" si="3"/>
        <v>17150</v>
      </c>
      <c r="L75" s="65"/>
    </row>
    <row r="76" spans="2:12" x14ac:dyDescent="0.35">
      <c r="B76" s="75" t="s">
        <v>299</v>
      </c>
      <c r="C76" s="102" t="s">
        <v>402</v>
      </c>
      <c r="D76" s="71" t="s">
        <v>31</v>
      </c>
      <c r="E76" s="69">
        <f>E75*0.2</f>
        <v>34.300000000000004</v>
      </c>
      <c r="F76" s="69">
        <v>305</v>
      </c>
      <c r="G76" s="67"/>
      <c r="H76" s="67">
        <f t="shared" si="0"/>
        <v>305</v>
      </c>
      <c r="I76" s="67">
        <f t="shared" si="1"/>
        <v>10461.500000000002</v>
      </c>
      <c r="J76" s="67">
        <f t="shared" si="2"/>
        <v>0</v>
      </c>
      <c r="K76" s="67">
        <f t="shared" si="3"/>
        <v>10461.500000000002</v>
      </c>
      <c r="L76" s="65"/>
    </row>
    <row r="77" spans="2:12" x14ac:dyDescent="0.35">
      <c r="B77" s="75" t="s">
        <v>300</v>
      </c>
      <c r="C77" s="64" t="s">
        <v>189</v>
      </c>
      <c r="D77" s="71" t="s">
        <v>25</v>
      </c>
      <c r="E77" s="69">
        <v>171.5</v>
      </c>
      <c r="F77" s="69"/>
      <c r="G77" s="67">
        <v>430</v>
      </c>
      <c r="H77" s="67">
        <f t="shared" si="0"/>
        <v>430</v>
      </c>
      <c r="I77" s="67">
        <f t="shared" si="1"/>
        <v>0</v>
      </c>
      <c r="J77" s="67">
        <f t="shared" si="2"/>
        <v>73745</v>
      </c>
      <c r="K77" s="67">
        <f t="shared" si="3"/>
        <v>73745</v>
      </c>
      <c r="L77" s="65"/>
    </row>
    <row r="78" spans="2:12" x14ac:dyDescent="0.35">
      <c r="B78" s="75" t="s">
        <v>301</v>
      </c>
      <c r="C78" s="68" t="s">
        <v>211</v>
      </c>
      <c r="D78" s="71" t="s">
        <v>25</v>
      </c>
      <c r="E78" s="69">
        <f>E77*1.1</f>
        <v>188.65</v>
      </c>
      <c r="F78" s="69">
        <v>278</v>
      </c>
      <c r="G78" s="67"/>
      <c r="H78" s="67">
        <f t="shared" ref="H78:H141" si="4">F78+G78</f>
        <v>278</v>
      </c>
      <c r="I78" s="67">
        <f t="shared" ref="I78:I141" si="5">F78*E78</f>
        <v>52444.700000000004</v>
      </c>
      <c r="J78" s="67">
        <f t="shared" ref="J78:J141" si="6">G78*E78</f>
        <v>0</v>
      </c>
      <c r="K78" s="67">
        <f t="shared" ref="K78:K141" si="7">I78+J78</f>
        <v>52444.700000000004</v>
      </c>
      <c r="L78" s="65"/>
    </row>
    <row r="79" spans="2:12" ht="31" x14ac:dyDescent="0.35">
      <c r="B79" s="75" t="s">
        <v>302</v>
      </c>
      <c r="C79" s="64" t="s">
        <v>215</v>
      </c>
      <c r="D79" s="71" t="s">
        <v>25</v>
      </c>
      <c r="E79" s="69">
        <v>171.5</v>
      </c>
      <c r="F79" s="69"/>
      <c r="G79" s="67">
        <v>850</v>
      </c>
      <c r="H79" s="67">
        <f t="shared" si="4"/>
        <v>850</v>
      </c>
      <c r="I79" s="67">
        <f t="shared" si="5"/>
        <v>0</v>
      </c>
      <c r="J79" s="67">
        <f t="shared" si="6"/>
        <v>145775</v>
      </c>
      <c r="K79" s="67">
        <f t="shared" si="7"/>
        <v>145775</v>
      </c>
      <c r="L79" s="65"/>
    </row>
    <row r="80" spans="2:12" x14ac:dyDescent="0.35">
      <c r="B80" s="75" t="s">
        <v>303</v>
      </c>
      <c r="C80" s="102" t="s">
        <v>200</v>
      </c>
      <c r="D80" s="71" t="s">
        <v>26</v>
      </c>
      <c r="E80" s="69">
        <f>E79*0.295*1.3</f>
        <v>65.77024999999999</v>
      </c>
      <c r="F80" s="69">
        <v>7200</v>
      </c>
      <c r="G80" s="67"/>
      <c r="H80" s="67">
        <f t="shared" si="4"/>
        <v>7200</v>
      </c>
      <c r="I80" s="67">
        <f t="shared" si="5"/>
        <v>473545.79999999993</v>
      </c>
      <c r="J80" s="67">
        <f t="shared" si="6"/>
        <v>0</v>
      </c>
      <c r="K80" s="67">
        <f t="shared" si="7"/>
        <v>473545.79999999993</v>
      </c>
      <c r="L80" s="65"/>
    </row>
    <row r="81" spans="2:12" x14ac:dyDescent="0.35">
      <c r="B81" s="75" t="s">
        <v>304</v>
      </c>
      <c r="C81" s="64" t="s">
        <v>393</v>
      </c>
      <c r="D81" s="71" t="s">
        <v>25</v>
      </c>
      <c r="E81" s="69">
        <v>171.5</v>
      </c>
      <c r="F81" s="67"/>
      <c r="G81" s="67">
        <v>40</v>
      </c>
      <c r="H81" s="67">
        <f t="shared" si="4"/>
        <v>40</v>
      </c>
      <c r="I81" s="67">
        <f t="shared" si="5"/>
        <v>0</v>
      </c>
      <c r="J81" s="67">
        <f t="shared" si="6"/>
        <v>6860</v>
      </c>
      <c r="K81" s="67">
        <f t="shared" si="7"/>
        <v>6860</v>
      </c>
      <c r="L81" s="65"/>
    </row>
    <row r="82" spans="2:12" x14ac:dyDescent="0.35">
      <c r="B82" s="75" t="s">
        <v>305</v>
      </c>
      <c r="C82" s="102" t="s">
        <v>190</v>
      </c>
      <c r="D82" s="71" t="s">
        <v>25</v>
      </c>
      <c r="E82" s="69">
        <f>E81*1.1</f>
        <v>188.65</v>
      </c>
      <c r="F82" s="67">
        <v>15.97</v>
      </c>
      <c r="G82" s="67"/>
      <c r="H82" s="67">
        <f t="shared" si="4"/>
        <v>15.97</v>
      </c>
      <c r="I82" s="67">
        <f t="shared" si="5"/>
        <v>3012.7405000000003</v>
      </c>
      <c r="J82" s="67">
        <f t="shared" si="6"/>
        <v>0</v>
      </c>
      <c r="K82" s="67">
        <f t="shared" si="7"/>
        <v>3012.7405000000003</v>
      </c>
      <c r="L82" s="65"/>
    </row>
    <row r="83" spans="2:12" ht="31" x14ac:dyDescent="0.35">
      <c r="B83" s="75" t="s">
        <v>306</v>
      </c>
      <c r="C83" s="72" t="s">
        <v>415</v>
      </c>
      <c r="D83" s="71" t="s">
        <v>25</v>
      </c>
      <c r="E83" s="69">
        <v>171.5</v>
      </c>
      <c r="F83" s="69"/>
      <c r="G83" s="67">
        <v>600</v>
      </c>
      <c r="H83" s="67">
        <f t="shared" si="4"/>
        <v>600</v>
      </c>
      <c r="I83" s="67">
        <f t="shared" si="5"/>
        <v>0</v>
      </c>
      <c r="J83" s="67">
        <f t="shared" si="6"/>
        <v>102900</v>
      </c>
      <c r="K83" s="67">
        <f t="shared" si="7"/>
        <v>102900</v>
      </c>
      <c r="L83" s="65"/>
    </row>
    <row r="84" spans="2:12" x14ac:dyDescent="0.35">
      <c r="B84" s="75" t="s">
        <v>307</v>
      </c>
      <c r="C84" s="93" t="s">
        <v>411</v>
      </c>
      <c r="D84" s="71" t="s">
        <v>26</v>
      </c>
      <c r="E84" s="69">
        <f>E83*0.07*1.02</f>
        <v>12.245100000000001</v>
      </c>
      <c r="F84" s="78">
        <v>7950</v>
      </c>
      <c r="G84" s="67"/>
      <c r="H84" s="67">
        <f t="shared" si="4"/>
        <v>7950</v>
      </c>
      <c r="I84" s="67">
        <f t="shared" si="5"/>
        <v>97348.545000000013</v>
      </c>
      <c r="J84" s="67">
        <f t="shared" si="6"/>
        <v>0</v>
      </c>
      <c r="K84" s="67">
        <f t="shared" si="7"/>
        <v>97348.545000000013</v>
      </c>
      <c r="L84" s="65"/>
    </row>
    <row r="85" spans="2:12" x14ac:dyDescent="0.35">
      <c r="B85" s="75" t="s">
        <v>308</v>
      </c>
      <c r="C85" s="102" t="s">
        <v>192</v>
      </c>
      <c r="D85" s="92" t="s">
        <v>25</v>
      </c>
      <c r="E85" s="69">
        <f>E75*1.1</f>
        <v>188.65</v>
      </c>
      <c r="F85" s="69">
        <v>181.29</v>
      </c>
      <c r="G85" s="67"/>
      <c r="H85" s="67">
        <f t="shared" si="4"/>
        <v>181.29</v>
      </c>
      <c r="I85" s="67">
        <f t="shared" si="5"/>
        <v>34200.358500000002</v>
      </c>
      <c r="J85" s="67">
        <f t="shared" si="6"/>
        <v>0</v>
      </c>
      <c r="K85" s="67">
        <f t="shared" si="7"/>
        <v>34200.358500000002</v>
      </c>
      <c r="L85" s="65"/>
    </row>
    <row r="86" spans="2:12" ht="31" x14ac:dyDescent="0.35">
      <c r="B86" s="75" t="s">
        <v>309</v>
      </c>
      <c r="C86" s="64" t="s">
        <v>216</v>
      </c>
      <c r="D86" s="71" t="s">
        <v>25</v>
      </c>
      <c r="E86" s="69">
        <v>171.5</v>
      </c>
      <c r="F86" s="69">
        <v>540</v>
      </c>
      <c r="G86" s="67">
        <v>440</v>
      </c>
      <c r="H86" s="67">
        <f t="shared" si="4"/>
        <v>980</v>
      </c>
      <c r="I86" s="67">
        <f t="shared" si="5"/>
        <v>92610</v>
      </c>
      <c r="J86" s="67">
        <f t="shared" si="6"/>
        <v>75460</v>
      </c>
      <c r="K86" s="67">
        <f t="shared" si="7"/>
        <v>168070</v>
      </c>
      <c r="L86" s="65"/>
    </row>
    <row r="87" spans="2:12" x14ac:dyDescent="0.35">
      <c r="B87" s="75" t="s">
        <v>172</v>
      </c>
      <c r="C87" s="73" t="s">
        <v>217</v>
      </c>
      <c r="D87" s="71"/>
      <c r="E87" s="69"/>
      <c r="F87" s="69"/>
      <c r="G87" s="67"/>
      <c r="H87" s="67">
        <f t="shared" si="4"/>
        <v>0</v>
      </c>
      <c r="I87" s="67">
        <f t="shared" si="5"/>
        <v>0</v>
      </c>
      <c r="J87" s="67">
        <f t="shared" si="6"/>
        <v>0</v>
      </c>
      <c r="K87" s="67">
        <f t="shared" si="7"/>
        <v>0</v>
      </c>
      <c r="L87" s="65"/>
    </row>
    <row r="88" spans="2:12" x14ac:dyDescent="0.35">
      <c r="B88" s="75" t="s">
        <v>178</v>
      </c>
      <c r="C88" s="64" t="s">
        <v>401</v>
      </c>
      <c r="D88" s="71" t="s">
        <v>25</v>
      </c>
      <c r="E88" s="69">
        <v>116.7</v>
      </c>
      <c r="F88" s="69"/>
      <c r="G88" s="67">
        <v>100</v>
      </c>
      <c r="H88" s="67">
        <f t="shared" si="4"/>
        <v>100</v>
      </c>
      <c r="I88" s="67">
        <f t="shared" si="5"/>
        <v>0</v>
      </c>
      <c r="J88" s="67">
        <f t="shared" si="6"/>
        <v>11670</v>
      </c>
      <c r="K88" s="67">
        <f t="shared" si="7"/>
        <v>11670</v>
      </c>
      <c r="L88" s="65"/>
    </row>
    <row r="89" spans="2:12" x14ac:dyDescent="0.35">
      <c r="B89" s="75" t="s">
        <v>179</v>
      </c>
      <c r="C89" s="102" t="s">
        <v>402</v>
      </c>
      <c r="D89" s="71" t="s">
        <v>209</v>
      </c>
      <c r="E89" s="69">
        <f>E88*0.2</f>
        <v>23.340000000000003</v>
      </c>
      <c r="F89" s="69">
        <v>305</v>
      </c>
      <c r="G89" s="67"/>
      <c r="H89" s="67">
        <f t="shared" si="4"/>
        <v>305</v>
      </c>
      <c r="I89" s="67">
        <f t="shared" si="5"/>
        <v>7118.7000000000007</v>
      </c>
      <c r="J89" s="67">
        <f t="shared" si="6"/>
        <v>0</v>
      </c>
      <c r="K89" s="67">
        <f t="shared" si="7"/>
        <v>7118.7000000000007</v>
      </c>
      <c r="L89" s="65"/>
    </row>
    <row r="90" spans="2:12" x14ac:dyDescent="0.35">
      <c r="B90" s="75" t="s">
        <v>310</v>
      </c>
      <c r="C90" s="64" t="s">
        <v>212</v>
      </c>
      <c r="D90" s="71" t="s">
        <v>25</v>
      </c>
      <c r="E90" s="69">
        <v>116.7</v>
      </c>
      <c r="F90" s="69"/>
      <c r="G90" s="67">
        <v>430</v>
      </c>
      <c r="H90" s="67">
        <f t="shared" si="4"/>
        <v>430</v>
      </c>
      <c r="I90" s="67">
        <f t="shared" si="5"/>
        <v>0</v>
      </c>
      <c r="J90" s="67">
        <f t="shared" si="6"/>
        <v>50181</v>
      </c>
      <c r="K90" s="67">
        <f t="shared" si="7"/>
        <v>50181</v>
      </c>
      <c r="L90" s="65"/>
    </row>
    <row r="91" spans="2:12" x14ac:dyDescent="0.35">
      <c r="B91" s="75" t="s">
        <v>311</v>
      </c>
      <c r="C91" s="102" t="s">
        <v>213</v>
      </c>
      <c r="D91" s="71" t="s">
        <v>25</v>
      </c>
      <c r="E91" s="69">
        <f>E90*1.1</f>
        <v>128.37</v>
      </c>
      <c r="F91" s="69">
        <v>244.1</v>
      </c>
      <c r="G91" s="67"/>
      <c r="H91" s="67">
        <f t="shared" si="4"/>
        <v>244.1</v>
      </c>
      <c r="I91" s="67">
        <f t="shared" si="5"/>
        <v>31335.117000000002</v>
      </c>
      <c r="J91" s="67">
        <f t="shared" si="6"/>
        <v>0</v>
      </c>
      <c r="K91" s="67">
        <f t="shared" si="7"/>
        <v>31335.117000000002</v>
      </c>
      <c r="L91" s="65"/>
    </row>
    <row r="92" spans="2:12" ht="31" x14ac:dyDescent="0.35">
      <c r="B92" s="75" t="s">
        <v>312</v>
      </c>
      <c r="C92" s="64" t="s">
        <v>218</v>
      </c>
      <c r="D92" s="71" t="s">
        <v>25</v>
      </c>
      <c r="E92" s="69">
        <v>116.7</v>
      </c>
      <c r="F92" s="69"/>
      <c r="G92" s="67">
        <v>850</v>
      </c>
      <c r="H92" s="67">
        <f t="shared" si="4"/>
        <v>850</v>
      </c>
      <c r="I92" s="67">
        <f t="shared" si="5"/>
        <v>0</v>
      </c>
      <c r="J92" s="67">
        <f t="shared" si="6"/>
        <v>99195</v>
      </c>
      <c r="K92" s="67">
        <f t="shared" si="7"/>
        <v>99195</v>
      </c>
      <c r="L92" s="65"/>
    </row>
    <row r="93" spans="2:12" x14ac:dyDescent="0.35">
      <c r="B93" s="75" t="s">
        <v>242</v>
      </c>
      <c r="C93" s="102" t="s">
        <v>200</v>
      </c>
      <c r="D93" s="71" t="s">
        <v>26</v>
      </c>
      <c r="E93" s="69">
        <f>E92*0.29*1.3</f>
        <v>43.995899999999999</v>
      </c>
      <c r="F93" s="69">
        <v>7200</v>
      </c>
      <c r="G93" s="67"/>
      <c r="H93" s="67">
        <f t="shared" si="4"/>
        <v>7200</v>
      </c>
      <c r="I93" s="67">
        <f t="shared" si="5"/>
        <v>316770.48</v>
      </c>
      <c r="J93" s="67">
        <f t="shared" si="6"/>
        <v>0</v>
      </c>
      <c r="K93" s="67">
        <f t="shared" si="7"/>
        <v>316770.48</v>
      </c>
      <c r="L93" s="65"/>
    </row>
    <row r="94" spans="2:12" x14ac:dyDescent="0.35">
      <c r="B94" s="75" t="s">
        <v>313</v>
      </c>
      <c r="C94" s="64" t="s">
        <v>393</v>
      </c>
      <c r="D94" s="71" t="s">
        <v>25</v>
      </c>
      <c r="E94" s="69">
        <v>116.7</v>
      </c>
      <c r="F94" s="67"/>
      <c r="G94" s="67">
        <v>40</v>
      </c>
      <c r="H94" s="67">
        <f t="shared" si="4"/>
        <v>40</v>
      </c>
      <c r="I94" s="67">
        <f t="shared" si="5"/>
        <v>0</v>
      </c>
      <c r="J94" s="67">
        <f t="shared" si="6"/>
        <v>4668</v>
      </c>
      <c r="K94" s="67">
        <f t="shared" si="7"/>
        <v>4668</v>
      </c>
      <c r="L94" s="65"/>
    </row>
    <row r="95" spans="2:12" x14ac:dyDescent="0.35">
      <c r="B95" s="75" t="s">
        <v>314</v>
      </c>
      <c r="C95" s="102" t="s">
        <v>190</v>
      </c>
      <c r="D95" s="71" t="s">
        <v>25</v>
      </c>
      <c r="E95" s="69">
        <f>E94*1.1</f>
        <v>128.37</v>
      </c>
      <c r="F95" s="67">
        <v>15.97</v>
      </c>
      <c r="G95" s="67"/>
      <c r="H95" s="67">
        <f t="shared" si="4"/>
        <v>15.97</v>
      </c>
      <c r="I95" s="67">
        <f t="shared" si="5"/>
        <v>2050.0689000000002</v>
      </c>
      <c r="J95" s="67">
        <f t="shared" si="6"/>
        <v>0</v>
      </c>
      <c r="K95" s="67">
        <f t="shared" si="7"/>
        <v>2050.0689000000002</v>
      </c>
      <c r="L95" s="65"/>
    </row>
    <row r="96" spans="2:12" ht="31" x14ac:dyDescent="0.35">
      <c r="B96" s="75" t="s">
        <v>315</v>
      </c>
      <c r="C96" s="72" t="s">
        <v>407</v>
      </c>
      <c r="D96" s="71" t="s">
        <v>25</v>
      </c>
      <c r="E96" s="69">
        <v>116.7</v>
      </c>
      <c r="F96" s="69"/>
      <c r="G96" s="67">
        <v>600</v>
      </c>
      <c r="H96" s="67">
        <f t="shared" si="4"/>
        <v>600</v>
      </c>
      <c r="I96" s="67">
        <f t="shared" si="5"/>
        <v>0</v>
      </c>
      <c r="J96" s="67">
        <f t="shared" si="6"/>
        <v>70020</v>
      </c>
      <c r="K96" s="67">
        <f t="shared" si="7"/>
        <v>70020</v>
      </c>
      <c r="L96" s="65"/>
    </row>
    <row r="97" spans="2:12" x14ac:dyDescent="0.35">
      <c r="B97" s="75" t="s">
        <v>316</v>
      </c>
      <c r="C97" s="93" t="s">
        <v>411</v>
      </c>
      <c r="D97" s="71" t="s">
        <v>26</v>
      </c>
      <c r="E97" s="69">
        <f>E96*0.05*1.02</f>
        <v>5.9517000000000007</v>
      </c>
      <c r="F97" s="78">
        <v>7950</v>
      </c>
      <c r="G97" s="67"/>
      <c r="H97" s="67">
        <f t="shared" si="4"/>
        <v>7950</v>
      </c>
      <c r="I97" s="67">
        <f t="shared" si="5"/>
        <v>47316.015000000007</v>
      </c>
      <c r="J97" s="67">
        <f t="shared" si="6"/>
        <v>0</v>
      </c>
      <c r="K97" s="67">
        <f t="shared" si="7"/>
        <v>47316.015000000007</v>
      </c>
      <c r="L97" s="65"/>
    </row>
    <row r="98" spans="2:12" x14ac:dyDescent="0.35">
      <c r="B98" s="75" t="s">
        <v>317</v>
      </c>
      <c r="C98" s="102" t="s">
        <v>192</v>
      </c>
      <c r="D98" s="92" t="s">
        <v>25</v>
      </c>
      <c r="E98" s="69">
        <f>E96*1.1</f>
        <v>128.37</v>
      </c>
      <c r="F98" s="69">
        <v>181.29</v>
      </c>
      <c r="G98" s="67"/>
      <c r="H98" s="67">
        <f t="shared" si="4"/>
        <v>181.29</v>
      </c>
      <c r="I98" s="67">
        <f t="shared" si="5"/>
        <v>23272.1973</v>
      </c>
      <c r="J98" s="67">
        <f t="shared" si="6"/>
        <v>0</v>
      </c>
      <c r="K98" s="67">
        <f t="shared" si="7"/>
        <v>23272.1973</v>
      </c>
      <c r="L98" s="65"/>
    </row>
    <row r="99" spans="2:12" ht="31" x14ac:dyDescent="0.35">
      <c r="B99" s="75" t="s">
        <v>318</v>
      </c>
      <c r="C99" s="72" t="s">
        <v>412</v>
      </c>
      <c r="D99" s="76" t="s">
        <v>25</v>
      </c>
      <c r="E99" s="77">
        <v>117</v>
      </c>
      <c r="F99" s="69"/>
      <c r="G99" s="67">
        <v>100</v>
      </c>
      <c r="H99" s="67">
        <f t="shared" si="4"/>
        <v>100</v>
      </c>
      <c r="I99" s="67">
        <f t="shared" si="5"/>
        <v>0</v>
      </c>
      <c r="J99" s="67">
        <f t="shared" si="6"/>
        <v>11700</v>
      </c>
      <c r="K99" s="67">
        <f t="shared" si="7"/>
        <v>11700</v>
      </c>
      <c r="L99" s="65"/>
    </row>
    <row r="100" spans="2:12" x14ac:dyDescent="0.35">
      <c r="B100" s="75" t="s">
        <v>319</v>
      </c>
      <c r="C100" s="70" t="s">
        <v>188</v>
      </c>
      <c r="D100" s="76" t="s">
        <v>209</v>
      </c>
      <c r="E100" s="77">
        <f>E99*0.2</f>
        <v>23.400000000000002</v>
      </c>
      <c r="F100" s="69">
        <v>305</v>
      </c>
      <c r="G100" s="67"/>
      <c r="H100" s="67">
        <f t="shared" si="4"/>
        <v>305</v>
      </c>
      <c r="I100" s="67">
        <f t="shared" si="5"/>
        <v>7137.0000000000009</v>
      </c>
      <c r="J100" s="67">
        <f t="shared" si="6"/>
        <v>0</v>
      </c>
      <c r="K100" s="67">
        <f t="shared" si="7"/>
        <v>7137.0000000000009</v>
      </c>
      <c r="L100" s="65"/>
    </row>
    <row r="101" spans="2:12" ht="46.5" x14ac:dyDescent="0.35">
      <c r="B101" s="75" t="s">
        <v>320</v>
      </c>
      <c r="C101" s="72" t="s">
        <v>201</v>
      </c>
      <c r="D101" s="103" t="s">
        <v>25</v>
      </c>
      <c r="E101" s="77">
        <v>116.7</v>
      </c>
      <c r="F101" s="69"/>
      <c r="G101" s="99">
        <v>1050</v>
      </c>
      <c r="H101" s="67">
        <f t="shared" si="4"/>
        <v>1050</v>
      </c>
      <c r="I101" s="67">
        <f t="shared" si="5"/>
        <v>0</v>
      </c>
      <c r="J101" s="67">
        <f t="shared" si="6"/>
        <v>122535</v>
      </c>
      <c r="K101" s="67">
        <f t="shared" si="7"/>
        <v>122535</v>
      </c>
      <c r="L101" s="65"/>
    </row>
    <row r="102" spans="2:12" ht="31" x14ac:dyDescent="0.35">
      <c r="B102" s="75" t="s">
        <v>321</v>
      </c>
      <c r="C102" s="70" t="s">
        <v>193</v>
      </c>
      <c r="D102" s="103" t="s">
        <v>25</v>
      </c>
      <c r="E102" s="77">
        <f>E101*1.1</f>
        <v>128.37</v>
      </c>
      <c r="F102" s="69">
        <v>349.96</v>
      </c>
      <c r="G102" s="67"/>
      <c r="H102" s="67">
        <f t="shared" si="4"/>
        <v>349.96</v>
      </c>
      <c r="I102" s="67">
        <f t="shared" si="5"/>
        <v>44924.3652</v>
      </c>
      <c r="J102" s="67">
        <f t="shared" si="6"/>
        <v>0</v>
      </c>
      <c r="K102" s="67">
        <f t="shared" si="7"/>
        <v>44924.3652</v>
      </c>
      <c r="L102" s="65"/>
    </row>
    <row r="103" spans="2:12" x14ac:dyDescent="0.35">
      <c r="B103" s="75" t="s">
        <v>322</v>
      </c>
      <c r="C103" s="70" t="s">
        <v>194</v>
      </c>
      <c r="D103" s="94" t="s">
        <v>25</v>
      </c>
      <c r="E103" s="77">
        <f>E101*1.1</f>
        <v>128.37</v>
      </c>
      <c r="F103" s="69">
        <v>371.91</v>
      </c>
      <c r="G103" s="67"/>
      <c r="H103" s="67">
        <f t="shared" si="4"/>
        <v>371.91</v>
      </c>
      <c r="I103" s="67">
        <f t="shared" si="5"/>
        <v>47742.086700000007</v>
      </c>
      <c r="J103" s="67">
        <f t="shared" si="6"/>
        <v>0</v>
      </c>
      <c r="K103" s="67">
        <f t="shared" si="7"/>
        <v>47742.086700000007</v>
      </c>
      <c r="L103" s="65"/>
    </row>
    <row r="104" spans="2:12" x14ac:dyDescent="0.35">
      <c r="B104" s="75" t="s">
        <v>323</v>
      </c>
      <c r="C104" s="64" t="s">
        <v>220</v>
      </c>
      <c r="D104" s="71" t="s">
        <v>25</v>
      </c>
      <c r="E104" s="69">
        <v>116.7</v>
      </c>
      <c r="F104" s="69"/>
      <c r="G104" s="99">
        <v>275</v>
      </c>
      <c r="H104" s="67">
        <f t="shared" si="4"/>
        <v>275</v>
      </c>
      <c r="I104" s="67">
        <f t="shared" si="5"/>
        <v>0</v>
      </c>
      <c r="J104" s="67">
        <f t="shared" si="6"/>
        <v>32092.5</v>
      </c>
      <c r="K104" s="67">
        <f t="shared" si="7"/>
        <v>32092.5</v>
      </c>
      <c r="L104" s="65"/>
    </row>
    <row r="105" spans="2:12" x14ac:dyDescent="0.35">
      <c r="B105" s="75" t="s">
        <v>324</v>
      </c>
      <c r="C105" s="70" t="s">
        <v>417</v>
      </c>
      <c r="D105" s="71" t="s">
        <v>25</v>
      </c>
      <c r="E105" s="77">
        <f>E104*1.1</f>
        <v>128.37</v>
      </c>
      <c r="F105" s="78">
        <v>1552.7</v>
      </c>
      <c r="G105" s="67"/>
      <c r="H105" s="67">
        <f t="shared" si="4"/>
        <v>1552.7</v>
      </c>
      <c r="I105" s="67">
        <f t="shared" si="5"/>
        <v>199320.09900000002</v>
      </c>
      <c r="J105" s="67">
        <f t="shared" si="6"/>
        <v>0</v>
      </c>
      <c r="K105" s="67">
        <f t="shared" si="7"/>
        <v>199320.09900000002</v>
      </c>
      <c r="L105" s="65"/>
    </row>
    <row r="106" spans="2:12" ht="31" x14ac:dyDescent="0.35">
      <c r="B106" s="75" t="s">
        <v>325</v>
      </c>
      <c r="C106" s="64" t="s">
        <v>222</v>
      </c>
      <c r="D106" s="71" t="s">
        <v>25</v>
      </c>
      <c r="E106" s="69">
        <v>116.7</v>
      </c>
      <c r="F106" s="69"/>
      <c r="G106" s="67">
        <v>850</v>
      </c>
      <c r="H106" s="67">
        <f t="shared" si="4"/>
        <v>850</v>
      </c>
      <c r="I106" s="67">
        <f t="shared" si="5"/>
        <v>0</v>
      </c>
      <c r="J106" s="67">
        <f t="shared" si="6"/>
        <v>99195</v>
      </c>
      <c r="K106" s="67">
        <f t="shared" si="7"/>
        <v>99195</v>
      </c>
      <c r="L106" s="65"/>
    </row>
    <row r="107" spans="2:12" x14ac:dyDescent="0.35">
      <c r="B107" s="75" t="s">
        <v>326</v>
      </c>
      <c r="C107" s="102" t="s">
        <v>221</v>
      </c>
      <c r="D107" s="71" t="s">
        <v>26</v>
      </c>
      <c r="E107" s="69">
        <f>E106*0.2*1.1</f>
        <v>25.674000000000007</v>
      </c>
      <c r="F107" s="69">
        <v>1750</v>
      </c>
      <c r="G107" s="67"/>
      <c r="H107" s="67">
        <f t="shared" si="4"/>
        <v>1750</v>
      </c>
      <c r="I107" s="67">
        <f t="shared" si="5"/>
        <v>44929.500000000015</v>
      </c>
      <c r="J107" s="67">
        <f t="shared" si="6"/>
        <v>0</v>
      </c>
      <c r="K107" s="67">
        <f t="shared" si="7"/>
        <v>44929.500000000015</v>
      </c>
      <c r="L107" s="65"/>
    </row>
    <row r="108" spans="2:12" x14ac:dyDescent="0.35">
      <c r="B108" s="75" t="s">
        <v>171</v>
      </c>
      <c r="C108" s="73" t="s">
        <v>223</v>
      </c>
      <c r="D108" s="71"/>
      <c r="E108" s="69"/>
      <c r="F108" s="69"/>
      <c r="G108" s="67"/>
      <c r="H108" s="67">
        <f t="shared" si="4"/>
        <v>0</v>
      </c>
      <c r="I108" s="67">
        <f t="shared" si="5"/>
        <v>0</v>
      </c>
      <c r="J108" s="67">
        <f t="shared" si="6"/>
        <v>0</v>
      </c>
      <c r="K108" s="67">
        <f t="shared" si="7"/>
        <v>0</v>
      </c>
      <c r="L108" s="65"/>
    </row>
    <row r="109" spans="2:12" x14ac:dyDescent="0.35">
      <c r="B109" s="75" t="s">
        <v>180</v>
      </c>
      <c r="C109" s="64" t="s">
        <v>401</v>
      </c>
      <c r="D109" s="71" t="s">
        <v>25</v>
      </c>
      <c r="E109" s="69">
        <v>291.89999999999998</v>
      </c>
      <c r="F109" s="69"/>
      <c r="G109" s="67">
        <v>100</v>
      </c>
      <c r="H109" s="67">
        <f t="shared" si="4"/>
        <v>100</v>
      </c>
      <c r="I109" s="67">
        <f t="shared" si="5"/>
        <v>0</v>
      </c>
      <c r="J109" s="67">
        <f t="shared" si="6"/>
        <v>29189.999999999996</v>
      </c>
      <c r="K109" s="67">
        <f t="shared" si="7"/>
        <v>29189.999999999996</v>
      </c>
      <c r="L109" s="65"/>
    </row>
    <row r="110" spans="2:12" x14ac:dyDescent="0.35">
      <c r="B110" s="75" t="s">
        <v>247</v>
      </c>
      <c r="C110" s="102" t="s">
        <v>402</v>
      </c>
      <c r="D110" s="71" t="s">
        <v>209</v>
      </c>
      <c r="E110" s="69">
        <f>E109*0.2</f>
        <v>58.379999999999995</v>
      </c>
      <c r="F110" s="69">
        <v>305</v>
      </c>
      <c r="G110" s="67"/>
      <c r="H110" s="67">
        <f t="shared" si="4"/>
        <v>305</v>
      </c>
      <c r="I110" s="67">
        <f t="shared" si="5"/>
        <v>17805.899999999998</v>
      </c>
      <c r="J110" s="67">
        <f t="shared" si="6"/>
        <v>0</v>
      </c>
      <c r="K110" s="67">
        <f t="shared" si="7"/>
        <v>17805.899999999998</v>
      </c>
      <c r="L110" s="65"/>
    </row>
    <row r="111" spans="2:12" x14ac:dyDescent="0.35">
      <c r="B111" s="75" t="s">
        <v>327</v>
      </c>
      <c r="C111" s="64" t="s">
        <v>212</v>
      </c>
      <c r="D111" s="71" t="s">
        <v>25</v>
      </c>
      <c r="E111" s="69">
        <v>291.89999999999998</v>
      </c>
      <c r="F111" s="69"/>
      <c r="G111" s="67">
        <v>430</v>
      </c>
      <c r="H111" s="67">
        <f t="shared" si="4"/>
        <v>430</v>
      </c>
      <c r="I111" s="67">
        <f t="shared" si="5"/>
        <v>0</v>
      </c>
      <c r="J111" s="67">
        <f t="shared" si="6"/>
        <v>125516.99999999999</v>
      </c>
      <c r="K111" s="67">
        <f t="shared" si="7"/>
        <v>125516.99999999999</v>
      </c>
      <c r="L111" s="65"/>
    </row>
    <row r="112" spans="2:12" x14ac:dyDescent="0.35">
      <c r="B112" s="75" t="s">
        <v>328</v>
      </c>
      <c r="C112" s="102" t="s">
        <v>213</v>
      </c>
      <c r="D112" s="71" t="s">
        <v>25</v>
      </c>
      <c r="E112" s="69">
        <f>E111*1.1</f>
        <v>321.08999999999997</v>
      </c>
      <c r="F112" s="69">
        <v>244.1</v>
      </c>
      <c r="G112" s="67"/>
      <c r="H112" s="67">
        <f t="shared" si="4"/>
        <v>244.1</v>
      </c>
      <c r="I112" s="67">
        <f t="shared" si="5"/>
        <v>78378.068999999989</v>
      </c>
      <c r="J112" s="67">
        <f t="shared" si="6"/>
        <v>0</v>
      </c>
      <c r="K112" s="67">
        <f t="shared" si="7"/>
        <v>78378.068999999989</v>
      </c>
      <c r="L112" s="65"/>
    </row>
    <row r="113" spans="2:12" ht="31" x14ac:dyDescent="0.35">
      <c r="B113" s="75" t="s">
        <v>298</v>
      </c>
      <c r="C113" s="64" t="s">
        <v>224</v>
      </c>
      <c r="D113" s="71" t="s">
        <v>25</v>
      </c>
      <c r="E113" s="69">
        <v>291.89999999999998</v>
      </c>
      <c r="F113" s="69"/>
      <c r="G113" s="67">
        <v>850</v>
      </c>
      <c r="H113" s="67">
        <f t="shared" si="4"/>
        <v>850</v>
      </c>
      <c r="I113" s="67">
        <f t="shared" si="5"/>
        <v>0</v>
      </c>
      <c r="J113" s="67">
        <f t="shared" si="6"/>
        <v>248114.99999999997</v>
      </c>
      <c r="K113" s="67">
        <f t="shared" si="7"/>
        <v>248114.99999999997</v>
      </c>
      <c r="L113" s="65"/>
    </row>
    <row r="114" spans="2:12" x14ac:dyDescent="0.35">
      <c r="B114" s="75" t="s">
        <v>329</v>
      </c>
      <c r="C114" s="102" t="s">
        <v>200</v>
      </c>
      <c r="D114" s="71" t="s">
        <v>26</v>
      </c>
      <c r="E114" s="69">
        <f>E109*0.25*1.3</f>
        <v>94.867499999999993</v>
      </c>
      <c r="F114" s="69">
        <v>7200</v>
      </c>
      <c r="G114" s="67"/>
      <c r="H114" s="67">
        <f t="shared" si="4"/>
        <v>7200</v>
      </c>
      <c r="I114" s="67">
        <f t="shared" si="5"/>
        <v>683046</v>
      </c>
      <c r="J114" s="67">
        <f t="shared" si="6"/>
        <v>0</v>
      </c>
      <c r="K114" s="67">
        <f t="shared" si="7"/>
        <v>683046</v>
      </c>
      <c r="L114" s="65"/>
    </row>
    <row r="115" spans="2:12" x14ac:dyDescent="0.35">
      <c r="B115" s="75" t="s">
        <v>244</v>
      </c>
      <c r="C115" s="64" t="s">
        <v>393</v>
      </c>
      <c r="D115" s="71" t="s">
        <v>25</v>
      </c>
      <c r="E115" s="69">
        <v>291.89999999999998</v>
      </c>
      <c r="F115" s="67"/>
      <c r="G115" s="67">
        <v>40</v>
      </c>
      <c r="H115" s="67">
        <f t="shared" si="4"/>
        <v>40</v>
      </c>
      <c r="I115" s="67">
        <f t="shared" si="5"/>
        <v>0</v>
      </c>
      <c r="J115" s="67">
        <f t="shared" si="6"/>
        <v>11676</v>
      </c>
      <c r="K115" s="67">
        <f t="shared" si="7"/>
        <v>11676</v>
      </c>
      <c r="L115" s="65"/>
    </row>
    <row r="116" spans="2:12" x14ac:dyDescent="0.35">
      <c r="B116" s="75" t="s">
        <v>330</v>
      </c>
      <c r="C116" s="102" t="s">
        <v>190</v>
      </c>
      <c r="D116" s="71" t="s">
        <v>25</v>
      </c>
      <c r="E116" s="69">
        <f>E115*1.1</f>
        <v>321.08999999999997</v>
      </c>
      <c r="F116" s="67">
        <v>15.97</v>
      </c>
      <c r="G116" s="67"/>
      <c r="H116" s="67">
        <f t="shared" si="4"/>
        <v>15.97</v>
      </c>
      <c r="I116" s="67">
        <f t="shared" si="5"/>
        <v>5127.8072999999995</v>
      </c>
      <c r="J116" s="67">
        <f t="shared" si="6"/>
        <v>0</v>
      </c>
      <c r="K116" s="67">
        <f t="shared" si="7"/>
        <v>5127.8072999999995</v>
      </c>
      <c r="L116" s="65"/>
    </row>
    <row r="117" spans="2:12" ht="31" x14ac:dyDescent="0.35">
      <c r="B117" s="75" t="s">
        <v>331</v>
      </c>
      <c r="C117" s="72" t="s">
        <v>407</v>
      </c>
      <c r="D117" s="71" t="s">
        <v>25</v>
      </c>
      <c r="E117" s="69">
        <v>291.89999999999998</v>
      </c>
      <c r="F117" s="69"/>
      <c r="G117" s="67">
        <v>600</v>
      </c>
      <c r="H117" s="67">
        <f t="shared" si="4"/>
        <v>600</v>
      </c>
      <c r="I117" s="67">
        <f t="shared" si="5"/>
        <v>0</v>
      </c>
      <c r="J117" s="67">
        <f t="shared" si="6"/>
        <v>175140</v>
      </c>
      <c r="K117" s="67">
        <f t="shared" si="7"/>
        <v>175140</v>
      </c>
      <c r="L117" s="65"/>
    </row>
    <row r="118" spans="2:12" x14ac:dyDescent="0.35">
      <c r="B118" s="75" t="s">
        <v>332</v>
      </c>
      <c r="C118" s="93" t="s">
        <v>408</v>
      </c>
      <c r="D118" s="71" t="s">
        <v>26</v>
      </c>
      <c r="E118" s="69">
        <f>E117*0.05*1.02</f>
        <v>14.886899999999999</v>
      </c>
      <c r="F118" s="78">
        <v>7950</v>
      </c>
      <c r="G118" s="67"/>
      <c r="H118" s="67">
        <f t="shared" si="4"/>
        <v>7950</v>
      </c>
      <c r="I118" s="67">
        <f t="shared" si="5"/>
        <v>118350.855</v>
      </c>
      <c r="J118" s="67">
        <f t="shared" si="6"/>
        <v>0</v>
      </c>
      <c r="K118" s="67">
        <f t="shared" si="7"/>
        <v>118350.855</v>
      </c>
      <c r="L118" s="65"/>
    </row>
    <row r="119" spans="2:12" x14ac:dyDescent="0.35">
      <c r="B119" s="75" t="s">
        <v>333</v>
      </c>
      <c r="C119" s="102" t="s">
        <v>192</v>
      </c>
      <c r="D119" s="92" t="s">
        <v>25</v>
      </c>
      <c r="E119" s="69">
        <f>E109*1.1</f>
        <v>321.08999999999997</v>
      </c>
      <c r="F119" s="69">
        <v>181.29</v>
      </c>
      <c r="G119" s="67"/>
      <c r="H119" s="67">
        <f t="shared" si="4"/>
        <v>181.29</v>
      </c>
      <c r="I119" s="67">
        <f t="shared" si="5"/>
        <v>58210.406099999993</v>
      </c>
      <c r="J119" s="67">
        <f t="shared" si="6"/>
        <v>0</v>
      </c>
      <c r="K119" s="67">
        <f t="shared" si="7"/>
        <v>58210.406099999993</v>
      </c>
      <c r="L119" s="65"/>
    </row>
    <row r="120" spans="2:12" ht="31" x14ac:dyDescent="0.35">
      <c r="B120" s="75" t="s">
        <v>334</v>
      </c>
      <c r="C120" s="72" t="s">
        <v>412</v>
      </c>
      <c r="D120" s="76" t="s">
        <v>25</v>
      </c>
      <c r="E120" s="77">
        <v>292</v>
      </c>
      <c r="F120" s="69"/>
      <c r="G120" s="67">
        <v>100</v>
      </c>
      <c r="H120" s="67">
        <f t="shared" si="4"/>
        <v>100</v>
      </c>
      <c r="I120" s="67">
        <f t="shared" si="5"/>
        <v>0</v>
      </c>
      <c r="J120" s="67">
        <f t="shared" si="6"/>
        <v>29200</v>
      </c>
      <c r="K120" s="67">
        <f t="shared" si="7"/>
        <v>29200</v>
      </c>
      <c r="L120" s="65"/>
    </row>
    <row r="121" spans="2:12" x14ac:dyDescent="0.35">
      <c r="B121" s="75" t="s">
        <v>335</v>
      </c>
      <c r="C121" s="70" t="s">
        <v>188</v>
      </c>
      <c r="D121" s="76" t="s">
        <v>209</v>
      </c>
      <c r="E121" s="77">
        <f>E120*0.2</f>
        <v>58.400000000000006</v>
      </c>
      <c r="F121" s="69">
        <v>305</v>
      </c>
      <c r="G121" s="67"/>
      <c r="H121" s="67">
        <f t="shared" si="4"/>
        <v>305</v>
      </c>
      <c r="I121" s="67">
        <f t="shared" si="5"/>
        <v>17812</v>
      </c>
      <c r="J121" s="67">
        <f t="shared" si="6"/>
        <v>0</v>
      </c>
      <c r="K121" s="67">
        <f t="shared" si="7"/>
        <v>17812</v>
      </c>
      <c r="L121" s="65"/>
    </row>
    <row r="122" spans="2:12" ht="46.5" x14ac:dyDescent="0.35">
      <c r="B122" s="75" t="s">
        <v>336</v>
      </c>
      <c r="C122" s="79" t="s">
        <v>201</v>
      </c>
      <c r="D122" s="71" t="s">
        <v>25</v>
      </c>
      <c r="E122" s="69">
        <v>291.89999999999998</v>
      </c>
      <c r="F122" s="69"/>
      <c r="G122" s="99">
        <v>1050</v>
      </c>
      <c r="H122" s="67">
        <f t="shared" si="4"/>
        <v>1050</v>
      </c>
      <c r="I122" s="67">
        <f t="shared" si="5"/>
        <v>0</v>
      </c>
      <c r="J122" s="67">
        <f t="shared" si="6"/>
        <v>306495</v>
      </c>
      <c r="K122" s="67">
        <f t="shared" si="7"/>
        <v>306495</v>
      </c>
      <c r="L122" s="65"/>
    </row>
    <row r="123" spans="2:12" ht="31" x14ac:dyDescent="0.35">
      <c r="B123" s="75" t="s">
        <v>337</v>
      </c>
      <c r="C123" s="70" t="s">
        <v>193</v>
      </c>
      <c r="D123" s="76" t="s">
        <v>25</v>
      </c>
      <c r="E123" s="69">
        <f>E109*1.1</f>
        <v>321.08999999999997</v>
      </c>
      <c r="F123" s="69">
        <v>349.96</v>
      </c>
      <c r="G123" s="67"/>
      <c r="H123" s="67">
        <f t="shared" si="4"/>
        <v>349.96</v>
      </c>
      <c r="I123" s="67">
        <f t="shared" si="5"/>
        <v>112368.65639999998</v>
      </c>
      <c r="J123" s="67">
        <f t="shared" si="6"/>
        <v>0</v>
      </c>
      <c r="K123" s="67">
        <f t="shared" si="7"/>
        <v>112368.65639999998</v>
      </c>
      <c r="L123" s="65"/>
    </row>
    <row r="124" spans="2:12" x14ac:dyDescent="0.35">
      <c r="B124" s="75" t="s">
        <v>338</v>
      </c>
      <c r="C124" s="70" t="s">
        <v>194</v>
      </c>
      <c r="D124" s="94" t="s">
        <v>25</v>
      </c>
      <c r="E124" s="69">
        <f>E122*1.1</f>
        <v>321.08999999999997</v>
      </c>
      <c r="F124" s="69">
        <v>371.91</v>
      </c>
      <c r="G124" s="67"/>
      <c r="H124" s="67">
        <f t="shared" si="4"/>
        <v>371.91</v>
      </c>
      <c r="I124" s="67">
        <f t="shared" si="5"/>
        <v>119416.5819</v>
      </c>
      <c r="J124" s="67">
        <f t="shared" si="6"/>
        <v>0</v>
      </c>
      <c r="K124" s="67">
        <f t="shared" si="7"/>
        <v>119416.5819</v>
      </c>
      <c r="L124" s="65"/>
    </row>
    <row r="125" spans="2:12" x14ac:dyDescent="0.35">
      <c r="B125" s="75" t="s">
        <v>339</v>
      </c>
      <c r="C125" s="64" t="s">
        <v>220</v>
      </c>
      <c r="D125" s="71" t="s">
        <v>25</v>
      </c>
      <c r="E125" s="77">
        <v>321</v>
      </c>
      <c r="F125" s="78"/>
      <c r="G125" s="99">
        <v>275</v>
      </c>
      <c r="H125" s="67">
        <f t="shared" si="4"/>
        <v>275</v>
      </c>
      <c r="I125" s="67">
        <f t="shared" si="5"/>
        <v>0</v>
      </c>
      <c r="J125" s="67">
        <f t="shared" si="6"/>
        <v>88275</v>
      </c>
      <c r="K125" s="67">
        <f t="shared" si="7"/>
        <v>88275</v>
      </c>
      <c r="L125" s="65"/>
    </row>
    <row r="126" spans="2:12" x14ac:dyDescent="0.35">
      <c r="B126" s="75" t="s">
        <v>340</v>
      </c>
      <c r="C126" s="70" t="s">
        <v>417</v>
      </c>
      <c r="D126" s="71" t="s">
        <v>25</v>
      </c>
      <c r="E126" s="77">
        <f>E125*1.1</f>
        <v>353.1</v>
      </c>
      <c r="F126" s="78">
        <v>1552.7</v>
      </c>
      <c r="G126" s="67"/>
      <c r="H126" s="67">
        <f t="shared" si="4"/>
        <v>1552.7</v>
      </c>
      <c r="I126" s="67">
        <f t="shared" si="5"/>
        <v>548258.37</v>
      </c>
      <c r="J126" s="67">
        <f t="shared" si="6"/>
        <v>0</v>
      </c>
      <c r="K126" s="67">
        <f t="shared" si="7"/>
        <v>548258.37</v>
      </c>
      <c r="L126" s="65"/>
    </row>
    <row r="127" spans="2:12" ht="31" x14ac:dyDescent="0.35">
      <c r="B127" s="75" t="s">
        <v>341</v>
      </c>
      <c r="C127" s="64" t="s">
        <v>225</v>
      </c>
      <c r="D127" s="71" t="s">
        <v>25</v>
      </c>
      <c r="E127" s="77">
        <f>E125</f>
        <v>321</v>
      </c>
      <c r="F127" s="69"/>
      <c r="G127" s="67">
        <v>850</v>
      </c>
      <c r="H127" s="67">
        <f t="shared" si="4"/>
        <v>850</v>
      </c>
      <c r="I127" s="67">
        <f t="shared" si="5"/>
        <v>0</v>
      </c>
      <c r="J127" s="67">
        <f t="shared" si="6"/>
        <v>272850</v>
      </c>
      <c r="K127" s="67">
        <f t="shared" si="7"/>
        <v>272850</v>
      </c>
      <c r="L127" s="65"/>
    </row>
    <row r="128" spans="2:12" x14ac:dyDescent="0.35">
      <c r="B128" s="75" t="s">
        <v>342</v>
      </c>
      <c r="C128" s="102" t="s">
        <v>221</v>
      </c>
      <c r="D128" s="71" t="s">
        <v>26</v>
      </c>
      <c r="E128" s="77">
        <f>E127*0.25*1.1</f>
        <v>88.275000000000006</v>
      </c>
      <c r="F128" s="69">
        <v>1750</v>
      </c>
      <c r="G128" s="67"/>
      <c r="H128" s="67">
        <f t="shared" si="4"/>
        <v>1750</v>
      </c>
      <c r="I128" s="67">
        <f t="shared" si="5"/>
        <v>154481.25</v>
      </c>
      <c r="J128" s="67">
        <f t="shared" si="6"/>
        <v>0</v>
      </c>
      <c r="K128" s="67">
        <f t="shared" si="7"/>
        <v>154481.25</v>
      </c>
      <c r="L128" s="65"/>
    </row>
    <row r="129" spans="2:12" x14ac:dyDescent="0.35">
      <c r="B129" s="75" t="s">
        <v>181</v>
      </c>
      <c r="C129" s="73" t="s">
        <v>226</v>
      </c>
      <c r="D129" s="71"/>
      <c r="E129" s="69"/>
      <c r="F129" s="69"/>
      <c r="G129" s="67"/>
      <c r="H129" s="67">
        <f t="shared" si="4"/>
        <v>0</v>
      </c>
      <c r="I129" s="67">
        <f t="shared" si="5"/>
        <v>0</v>
      </c>
      <c r="J129" s="67">
        <f t="shared" si="6"/>
        <v>0</v>
      </c>
      <c r="K129" s="67">
        <f t="shared" si="7"/>
        <v>0</v>
      </c>
      <c r="L129" s="65"/>
    </row>
    <row r="130" spans="2:12" ht="31" x14ac:dyDescent="0.35">
      <c r="B130" s="75" t="s">
        <v>182</v>
      </c>
      <c r="C130" s="79" t="s">
        <v>227</v>
      </c>
      <c r="D130" s="97" t="s">
        <v>25</v>
      </c>
      <c r="E130" s="78">
        <v>21.9</v>
      </c>
      <c r="F130" s="78"/>
      <c r="G130" s="99">
        <v>525</v>
      </c>
      <c r="H130" s="67">
        <f t="shared" si="4"/>
        <v>525</v>
      </c>
      <c r="I130" s="67">
        <f t="shared" si="5"/>
        <v>0</v>
      </c>
      <c r="J130" s="67">
        <f t="shared" si="6"/>
        <v>11497.5</v>
      </c>
      <c r="K130" s="67">
        <f t="shared" si="7"/>
        <v>11497.5</v>
      </c>
      <c r="L130" s="65"/>
    </row>
    <row r="131" spans="2:12" x14ac:dyDescent="0.35">
      <c r="B131" s="75" t="s">
        <v>183</v>
      </c>
      <c r="C131" s="93" t="s">
        <v>228</v>
      </c>
      <c r="D131" s="97" t="s">
        <v>25</v>
      </c>
      <c r="E131" s="78">
        <f>E130*1.1</f>
        <v>24.09</v>
      </c>
      <c r="F131" s="99">
        <v>1360</v>
      </c>
      <c r="G131" s="99"/>
      <c r="H131" s="67">
        <f t="shared" si="4"/>
        <v>1360</v>
      </c>
      <c r="I131" s="67">
        <f t="shared" si="5"/>
        <v>32762.400000000001</v>
      </c>
      <c r="J131" s="67">
        <f t="shared" si="6"/>
        <v>0</v>
      </c>
      <c r="K131" s="67">
        <f t="shared" si="7"/>
        <v>32762.400000000001</v>
      </c>
      <c r="L131" s="65"/>
    </row>
    <row r="132" spans="2:12" ht="31" x14ac:dyDescent="0.35">
      <c r="B132" s="75" t="s">
        <v>343</v>
      </c>
      <c r="C132" s="72" t="s">
        <v>415</v>
      </c>
      <c r="D132" s="71" t="s">
        <v>25</v>
      </c>
      <c r="E132" s="69">
        <v>21.9</v>
      </c>
      <c r="F132" s="69"/>
      <c r="G132" s="67">
        <v>600</v>
      </c>
      <c r="H132" s="67">
        <f t="shared" si="4"/>
        <v>600</v>
      </c>
      <c r="I132" s="67">
        <f t="shared" si="5"/>
        <v>0</v>
      </c>
      <c r="J132" s="67">
        <f t="shared" si="6"/>
        <v>13140</v>
      </c>
      <c r="K132" s="67">
        <f t="shared" si="7"/>
        <v>13140</v>
      </c>
      <c r="L132" s="65"/>
    </row>
    <row r="133" spans="2:12" x14ac:dyDescent="0.35">
      <c r="B133" s="75" t="s">
        <v>344</v>
      </c>
      <c r="C133" s="93" t="s">
        <v>408</v>
      </c>
      <c r="D133" s="71" t="s">
        <v>26</v>
      </c>
      <c r="E133" s="69">
        <f>E132*0.07*1.02</f>
        <v>1.5636600000000003</v>
      </c>
      <c r="F133" s="78">
        <v>7950</v>
      </c>
      <c r="G133" s="67"/>
      <c r="H133" s="67">
        <f t="shared" si="4"/>
        <v>7950</v>
      </c>
      <c r="I133" s="67">
        <f t="shared" si="5"/>
        <v>12431.097000000002</v>
      </c>
      <c r="J133" s="67">
        <f t="shared" si="6"/>
        <v>0</v>
      </c>
      <c r="K133" s="67">
        <f t="shared" si="7"/>
        <v>12431.097000000002</v>
      </c>
      <c r="L133" s="65"/>
    </row>
    <row r="134" spans="2:12" x14ac:dyDescent="0.35">
      <c r="B134" s="75" t="s">
        <v>345</v>
      </c>
      <c r="C134" s="102" t="s">
        <v>192</v>
      </c>
      <c r="D134" s="92" t="s">
        <v>25</v>
      </c>
      <c r="E134" s="69">
        <f>E130*1.1</f>
        <v>24.09</v>
      </c>
      <c r="F134" s="69">
        <v>181.29</v>
      </c>
      <c r="G134" s="67"/>
      <c r="H134" s="67">
        <f t="shared" si="4"/>
        <v>181.29</v>
      </c>
      <c r="I134" s="67">
        <f t="shared" si="5"/>
        <v>4367.2761</v>
      </c>
      <c r="J134" s="67">
        <f t="shared" si="6"/>
        <v>0</v>
      </c>
      <c r="K134" s="67">
        <f t="shared" si="7"/>
        <v>4367.2761</v>
      </c>
      <c r="L134" s="65"/>
    </row>
    <row r="135" spans="2:12" ht="31" x14ac:dyDescent="0.35">
      <c r="B135" s="75" t="s">
        <v>346</v>
      </c>
      <c r="C135" s="72" t="s">
        <v>412</v>
      </c>
      <c r="D135" s="76" t="s">
        <v>25</v>
      </c>
      <c r="E135" s="77">
        <v>22</v>
      </c>
      <c r="F135" s="69"/>
      <c r="G135" s="67">
        <v>100</v>
      </c>
      <c r="H135" s="67">
        <f t="shared" si="4"/>
        <v>100</v>
      </c>
      <c r="I135" s="67">
        <f t="shared" si="5"/>
        <v>0</v>
      </c>
      <c r="J135" s="67">
        <f t="shared" si="6"/>
        <v>2200</v>
      </c>
      <c r="K135" s="67">
        <f t="shared" si="7"/>
        <v>2200</v>
      </c>
      <c r="L135" s="65"/>
    </row>
    <row r="136" spans="2:12" x14ac:dyDescent="0.35">
      <c r="B136" s="75" t="s">
        <v>347</v>
      </c>
      <c r="C136" s="70" t="s">
        <v>188</v>
      </c>
      <c r="D136" s="76" t="s">
        <v>209</v>
      </c>
      <c r="E136" s="77">
        <f>E135*0.2</f>
        <v>4.4000000000000004</v>
      </c>
      <c r="F136" s="69">
        <v>305</v>
      </c>
      <c r="G136" s="67"/>
      <c r="H136" s="67">
        <f t="shared" si="4"/>
        <v>305</v>
      </c>
      <c r="I136" s="67">
        <f t="shared" si="5"/>
        <v>1342</v>
      </c>
      <c r="J136" s="67">
        <f t="shared" si="6"/>
        <v>0</v>
      </c>
      <c r="K136" s="67">
        <f t="shared" si="7"/>
        <v>1342</v>
      </c>
      <c r="L136" s="65"/>
    </row>
    <row r="137" spans="2:12" ht="46.5" x14ac:dyDescent="0.35">
      <c r="B137" s="75" t="s">
        <v>418</v>
      </c>
      <c r="C137" s="79" t="s">
        <v>201</v>
      </c>
      <c r="D137" s="97" t="s">
        <v>25</v>
      </c>
      <c r="E137" s="78">
        <v>21.9</v>
      </c>
      <c r="F137" s="78"/>
      <c r="G137" s="99">
        <v>1050</v>
      </c>
      <c r="H137" s="67">
        <f t="shared" si="4"/>
        <v>1050</v>
      </c>
      <c r="I137" s="67">
        <f t="shared" si="5"/>
        <v>0</v>
      </c>
      <c r="J137" s="67">
        <f t="shared" si="6"/>
        <v>22995</v>
      </c>
      <c r="K137" s="67">
        <f t="shared" si="7"/>
        <v>22995</v>
      </c>
      <c r="L137" s="65"/>
    </row>
    <row r="138" spans="2:12" ht="31" x14ac:dyDescent="0.35">
      <c r="B138" s="75" t="s">
        <v>419</v>
      </c>
      <c r="C138" s="70" t="s">
        <v>193</v>
      </c>
      <c r="D138" s="103" t="s">
        <v>25</v>
      </c>
      <c r="E138" s="77">
        <f>E137*1.1</f>
        <v>24.09</v>
      </c>
      <c r="F138" s="69">
        <v>349.96</v>
      </c>
      <c r="G138" s="67"/>
      <c r="H138" s="67">
        <f t="shared" si="4"/>
        <v>349.96</v>
      </c>
      <c r="I138" s="67">
        <f t="shared" si="5"/>
        <v>8430.536399999999</v>
      </c>
      <c r="J138" s="67">
        <f t="shared" si="6"/>
        <v>0</v>
      </c>
      <c r="K138" s="67">
        <f t="shared" si="7"/>
        <v>8430.536399999999</v>
      </c>
      <c r="L138" s="65"/>
    </row>
    <row r="139" spans="2:12" x14ac:dyDescent="0.35">
      <c r="B139" s="75" t="s">
        <v>420</v>
      </c>
      <c r="C139" s="70" t="s">
        <v>194</v>
      </c>
      <c r="D139" s="94" t="s">
        <v>25</v>
      </c>
      <c r="E139" s="77">
        <f>E137*1.1</f>
        <v>24.09</v>
      </c>
      <c r="F139" s="69">
        <v>371.91</v>
      </c>
      <c r="G139" s="67"/>
      <c r="H139" s="67">
        <f t="shared" si="4"/>
        <v>371.91</v>
      </c>
      <c r="I139" s="67">
        <f t="shared" si="5"/>
        <v>8959.3119000000006</v>
      </c>
      <c r="J139" s="67">
        <f t="shared" si="6"/>
        <v>0</v>
      </c>
      <c r="K139" s="67">
        <f t="shared" si="7"/>
        <v>8959.3119000000006</v>
      </c>
      <c r="L139" s="65"/>
    </row>
    <row r="140" spans="2:12" x14ac:dyDescent="0.35">
      <c r="B140" s="75" t="s">
        <v>237</v>
      </c>
      <c r="C140" s="73" t="s">
        <v>229</v>
      </c>
      <c r="D140" s="71"/>
      <c r="E140" s="69"/>
      <c r="F140" s="69"/>
      <c r="G140" s="67"/>
      <c r="H140" s="67">
        <f t="shared" si="4"/>
        <v>0</v>
      </c>
      <c r="I140" s="67">
        <f t="shared" si="5"/>
        <v>0</v>
      </c>
      <c r="J140" s="67">
        <f t="shared" si="6"/>
        <v>0</v>
      </c>
      <c r="K140" s="67">
        <f t="shared" si="7"/>
        <v>0</v>
      </c>
      <c r="L140" s="65"/>
    </row>
    <row r="141" spans="2:12" x14ac:dyDescent="0.35">
      <c r="B141" s="75" t="s">
        <v>184</v>
      </c>
      <c r="C141" s="64" t="s">
        <v>401</v>
      </c>
      <c r="D141" s="71" t="s">
        <v>25</v>
      </c>
      <c r="E141" s="69">
        <v>142</v>
      </c>
      <c r="F141" s="69"/>
      <c r="G141" s="67">
        <v>100</v>
      </c>
      <c r="H141" s="67">
        <f t="shared" si="4"/>
        <v>100</v>
      </c>
      <c r="I141" s="67">
        <f t="shared" si="5"/>
        <v>0</v>
      </c>
      <c r="J141" s="67">
        <f t="shared" si="6"/>
        <v>14200</v>
      </c>
      <c r="K141" s="67">
        <f t="shared" si="7"/>
        <v>14200</v>
      </c>
      <c r="L141" s="65"/>
    </row>
    <row r="142" spans="2:12" x14ac:dyDescent="0.35">
      <c r="B142" s="75" t="s">
        <v>348</v>
      </c>
      <c r="C142" s="102" t="s">
        <v>402</v>
      </c>
      <c r="D142" s="71" t="s">
        <v>209</v>
      </c>
      <c r="E142" s="69">
        <f>E141*0.2</f>
        <v>28.400000000000002</v>
      </c>
      <c r="F142" s="69">
        <v>305</v>
      </c>
      <c r="G142" s="67"/>
      <c r="H142" s="67">
        <f t="shared" ref="H142:H192" si="8">F142+G142</f>
        <v>305</v>
      </c>
      <c r="I142" s="67">
        <f t="shared" ref="I142:I192" si="9">F142*E142</f>
        <v>8662</v>
      </c>
      <c r="J142" s="67">
        <f t="shared" ref="J142:J192" si="10">G142*E142</f>
        <v>0</v>
      </c>
      <c r="K142" s="67">
        <f t="shared" ref="K142:K192" si="11">I142+J142</f>
        <v>8662</v>
      </c>
      <c r="L142" s="65"/>
    </row>
    <row r="143" spans="2:12" x14ac:dyDescent="0.35">
      <c r="B143" s="75" t="s">
        <v>352</v>
      </c>
      <c r="C143" s="72" t="s">
        <v>189</v>
      </c>
      <c r="D143" s="71" t="s">
        <v>25</v>
      </c>
      <c r="E143" s="69">
        <v>142</v>
      </c>
      <c r="F143" s="69"/>
      <c r="G143" s="67">
        <v>430</v>
      </c>
      <c r="H143" s="67">
        <f t="shared" si="8"/>
        <v>430</v>
      </c>
      <c r="I143" s="67">
        <f t="shared" si="9"/>
        <v>0</v>
      </c>
      <c r="J143" s="67">
        <f t="shared" si="10"/>
        <v>61060</v>
      </c>
      <c r="K143" s="67">
        <f t="shared" si="11"/>
        <v>61060</v>
      </c>
      <c r="L143" s="65"/>
    </row>
    <row r="144" spans="2:12" x14ac:dyDescent="0.35">
      <c r="B144" s="75" t="s">
        <v>350</v>
      </c>
      <c r="C144" s="102" t="s">
        <v>213</v>
      </c>
      <c r="D144" s="71" t="s">
        <v>209</v>
      </c>
      <c r="E144" s="69">
        <f>E143*1.1</f>
        <v>156.20000000000002</v>
      </c>
      <c r="F144" s="69">
        <v>244.1</v>
      </c>
      <c r="G144" s="67"/>
      <c r="H144" s="67">
        <f t="shared" si="8"/>
        <v>244.1</v>
      </c>
      <c r="I144" s="67">
        <f t="shared" si="9"/>
        <v>38128.420000000006</v>
      </c>
      <c r="J144" s="67">
        <f t="shared" si="10"/>
        <v>0</v>
      </c>
      <c r="K144" s="67">
        <f t="shared" si="11"/>
        <v>38128.420000000006</v>
      </c>
      <c r="L144" s="65"/>
    </row>
    <row r="145" spans="2:12" ht="31" x14ac:dyDescent="0.35">
      <c r="B145" s="75" t="s">
        <v>351</v>
      </c>
      <c r="C145" s="72" t="s">
        <v>416</v>
      </c>
      <c r="D145" s="71" t="s">
        <v>25</v>
      </c>
      <c r="E145" s="69">
        <v>142</v>
      </c>
      <c r="F145" s="69"/>
      <c r="G145" s="67">
        <v>600</v>
      </c>
      <c r="H145" s="67">
        <f t="shared" si="8"/>
        <v>600</v>
      </c>
      <c r="I145" s="67">
        <f t="shared" si="9"/>
        <v>0</v>
      </c>
      <c r="J145" s="67">
        <f t="shared" si="10"/>
        <v>85200</v>
      </c>
      <c r="K145" s="67">
        <f t="shared" si="11"/>
        <v>85200</v>
      </c>
      <c r="L145" s="65"/>
    </row>
    <row r="146" spans="2:12" x14ac:dyDescent="0.35">
      <c r="B146" s="75" t="s">
        <v>349</v>
      </c>
      <c r="C146" s="93" t="s">
        <v>411</v>
      </c>
      <c r="D146" s="71" t="s">
        <v>26</v>
      </c>
      <c r="E146" s="69">
        <f>E145*0.045*1.02</f>
        <v>6.5177999999999994</v>
      </c>
      <c r="F146" s="78">
        <v>7950</v>
      </c>
      <c r="G146" s="67"/>
      <c r="H146" s="67">
        <f t="shared" si="8"/>
        <v>7950</v>
      </c>
      <c r="I146" s="67">
        <f t="shared" si="9"/>
        <v>51816.509999999995</v>
      </c>
      <c r="J146" s="67">
        <f t="shared" si="10"/>
        <v>0</v>
      </c>
      <c r="K146" s="67">
        <f t="shared" si="11"/>
        <v>51816.509999999995</v>
      </c>
      <c r="L146" s="65"/>
    </row>
    <row r="147" spans="2:12" x14ac:dyDescent="0.35">
      <c r="B147" s="75" t="s">
        <v>353</v>
      </c>
      <c r="C147" s="102" t="s">
        <v>192</v>
      </c>
      <c r="D147" s="92" t="s">
        <v>25</v>
      </c>
      <c r="E147" s="69">
        <f>E145*1.1</f>
        <v>156.20000000000002</v>
      </c>
      <c r="F147" s="69">
        <v>181.29</v>
      </c>
      <c r="G147" s="67"/>
      <c r="H147" s="67">
        <f t="shared" si="8"/>
        <v>181.29</v>
      </c>
      <c r="I147" s="67">
        <f t="shared" si="9"/>
        <v>28317.498000000003</v>
      </c>
      <c r="J147" s="67">
        <f t="shared" si="10"/>
        <v>0</v>
      </c>
      <c r="K147" s="67">
        <f t="shared" si="11"/>
        <v>28317.498000000003</v>
      </c>
      <c r="L147" s="65"/>
    </row>
    <row r="148" spans="2:12" x14ac:dyDescent="0.35">
      <c r="B148" s="75" t="s">
        <v>238</v>
      </c>
      <c r="C148" s="73" t="s">
        <v>230</v>
      </c>
      <c r="D148" s="71"/>
      <c r="E148" s="69"/>
      <c r="F148" s="69"/>
      <c r="G148" s="67"/>
      <c r="H148" s="67">
        <f t="shared" si="8"/>
        <v>0</v>
      </c>
      <c r="I148" s="67">
        <f t="shared" si="9"/>
        <v>0</v>
      </c>
      <c r="J148" s="67">
        <f t="shared" si="10"/>
        <v>0</v>
      </c>
      <c r="K148" s="67">
        <f t="shared" si="11"/>
        <v>0</v>
      </c>
      <c r="L148" s="65"/>
    </row>
    <row r="149" spans="2:12" x14ac:dyDescent="0.35">
      <c r="B149" s="75" t="s">
        <v>185</v>
      </c>
      <c r="C149" s="64" t="s">
        <v>401</v>
      </c>
      <c r="D149" s="71" t="s">
        <v>25</v>
      </c>
      <c r="E149" s="69">
        <v>475.5</v>
      </c>
      <c r="F149" s="69"/>
      <c r="G149" s="67">
        <v>100</v>
      </c>
      <c r="H149" s="67">
        <f t="shared" si="8"/>
        <v>100</v>
      </c>
      <c r="I149" s="67">
        <f t="shared" si="9"/>
        <v>0</v>
      </c>
      <c r="J149" s="67">
        <f t="shared" si="10"/>
        <v>47550</v>
      </c>
      <c r="K149" s="67">
        <f t="shared" si="11"/>
        <v>47550</v>
      </c>
      <c r="L149" s="65"/>
    </row>
    <row r="150" spans="2:12" x14ac:dyDescent="0.35">
      <c r="B150" s="75" t="s">
        <v>354</v>
      </c>
      <c r="C150" s="102" t="s">
        <v>402</v>
      </c>
      <c r="D150" s="71" t="s">
        <v>209</v>
      </c>
      <c r="E150" s="69">
        <f>E149*0.2</f>
        <v>95.100000000000009</v>
      </c>
      <c r="F150" s="69">
        <v>305</v>
      </c>
      <c r="G150" s="67"/>
      <c r="H150" s="67">
        <f t="shared" si="8"/>
        <v>305</v>
      </c>
      <c r="I150" s="67">
        <f t="shared" si="9"/>
        <v>29005.500000000004</v>
      </c>
      <c r="J150" s="67">
        <f t="shared" si="10"/>
        <v>0</v>
      </c>
      <c r="K150" s="67">
        <f t="shared" si="11"/>
        <v>29005.500000000004</v>
      </c>
      <c r="L150" s="65"/>
    </row>
    <row r="151" spans="2:12" x14ac:dyDescent="0.35">
      <c r="B151" s="75" t="s">
        <v>355</v>
      </c>
      <c r="C151" s="64" t="s">
        <v>212</v>
      </c>
      <c r="D151" s="71" t="s">
        <v>25</v>
      </c>
      <c r="E151" s="69">
        <v>475.5</v>
      </c>
      <c r="F151" s="69"/>
      <c r="G151" s="67">
        <v>430</v>
      </c>
      <c r="H151" s="67">
        <f t="shared" si="8"/>
        <v>430</v>
      </c>
      <c r="I151" s="67">
        <f t="shared" si="9"/>
        <v>0</v>
      </c>
      <c r="J151" s="67">
        <f t="shared" si="10"/>
        <v>204465</v>
      </c>
      <c r="K151" s="67">
        <f t="shared" si="11"/>
        <v>204465</v>
      </c>
      <c r="L151" s="65"/>
    </row>
    <row r="152" spans="2:12" x14ac:dyDescent="0.35">
      <c r="B152" s="75" t="s">
        <v>356</v>
      </c>
      <c r="C152" s="102" t="s">
        <v>213</v>
      </c>
      <c r="D152" s="71" t="s">
        <v>25</v>
      </c>
      <c r="E152" s="69">
        <f>E151*1.1</f>
        <v>523.05000000000007</v>
      </c>
      <c r="F152" s="69">
        <v>244.1</v>
      </c>
      <c r="G152" s="67"/>
      <c r="H152" s="67">
        <f t="shared" si="8"/>
        <v>244.1</v>
      </c>
      <c r="I152" s="67">
        <f t="shared" si="9"/>
        <v>127676.50500000002</v>
      </c>
      <c r="J152" s="67">
        <f t="shared" si="10"/>
        <v>0</v>
      </c>
      <c r="K152" s="67">
        <f t="shared" si="11"/>
        <v>127676.50500000002</v>
      </c>
      <c r="L152" s="65"/>
    </row>
    <row r="153" spans="2:12" ht="31" x14ac:dyDescent="0.35">
      <c r="B153" s="75" t="s">
        <v>357</v>
      </c>
      <c r="C153" s="64" t="s">
        <v>231</v>
      </c>
      <c r="D153" s="71" t="s">
        <v>25</v>
      </c>
      <c r="E153" s="69">
        <v>475.5</v>
      </c>
      <c r="F153" s="69"/>
      <c r="G153" s="67">
        <v>850</v>
      </c>
      <c r="H153" s="67">
        <f t="shared" si="8"/>
        <v>850</v>
      </c>
      <c r="I153" s="67">
        <f t="shared" si="9"/>
        <v>0</v>
      </c>
      <c r="J153" s="67">
        <f t="shared" si="10"/>
        <v>404175</v>
      </c>
      <c r="K153" s="67">
        <f t="shared" si="11"/>
        <v>404175</v>
      </c>
      <c r="L153" s="65"/>
    </row>
    <row r="154" spans="2:12" x14ac:dyDescent="0.35">
      <c r="B154" s="75" t="s">
        <v>358</v>
      </c>
      <c r="C154" s="102" t="s">
        <v>200</v>
      </c>
      <c r="D154" s="71" t="s">
        <v>26</v>
      </c>
      <c r="E154" s="69">
        <f>E153*0.25*1.3</f>
        <v>154.53749999999999</v>
      </c>
      <c r="F154" s="69">
        <v>7200</v>
      </c>
      <c r="G154" s="67"/>
      <c r="H154" s="67">
        <f t="shared" si="8"/>
        <v>7200</v>
      </c>
      <c r="I154" s="67">
        <f t="shared" si="9"/>
        <v>1112670</v>
      </c>
      <c r="J154" s="67">
        <f t="shared" si="10"/>
        <v>0</v>
      </c>
      <c r="K154" s="67">
        <f t="shared" si="11"/>
        <v>1112670</v>
      </c>
      <c r="L154" s="65"/>
    </row>
    <row r="155" spans="2:12" x14ac:dyDescent="0.35">
      <c r="B155" s="75" t="s">
        <v>359</v>
      </c>
      <c r="C155" s="64" t="s">
        <v>393</v>
      </c>
      <c r="D155" s="71" t="s">
        <v>25</v>
      </c>
      <c r="E155" s="69">
        <v>475.5</v>
      </c>
      <c r="F155" s="67"/>
      <c r="G155" s="67">
        <v>40</v>
      </c>
      <c r="H155" s="67">
        <f t="shared" si="8"/>
        <v>40</v>
      </c>
      <c r="I155" s="67">
        <f t="shared" si="9"/>
        <v>0</v>
      </c>
      <c r="J155" s="67">
        <f t="shared" si="10"/>
        <v>19020</v>
      </c>
      <c r="K155" s="67">
        <f t="shared" si="11"/>
        <v>19020</v>
      </c>
      <c r="L155" s="65"/>
    </row>
    <row r="156" spans="2:12" x14ac:dyDescent="0.35">
      <c r="B156" s="75" t="s">
        <v>360</v>
      </c>
      <c r="C156" s="102" t="s">
        <v>190</v>
      </c>
      <c r="D156" s="71" t="s">
        <v>25</v>
      </c>
      <c r="E156" s="69">
        <f>E155*1.1</f>
        <v>523.05000000000007</v>
      </c>
      <c r="F156" s="67">
        <v>15.97</v>
      </c>
      <c r="G156" s="67"/>
      <c r="H156" s="67">
        <f t="shared" si="8"/>
        <v>15.97</v>
      </c>
      <c r="I156" s="67">
        <f t="shared" si="9"/>
        <v>8353.1085000000021</v>
      </c>
      <c r="J156" s="67">
        <f t="shared" si="10"/>
        <v>0</v>
      </c>
      <c r="K156" s="67">
        <f t="shared" si="11"/>
        <v>8353.1085000000021</v>
      </c>
      <c r="L156" s="65"/>
    </row>
    <row r="157" spans="2:12" ht="31" x14ac:dyDescent="0.35">
      <c r="B157" s="75" t="s">
        <v>361</v>
      </c>
      <c r="C157" s="72" t="s">
        <v>407</v>
      </c>
      <c r="D157" s="71" t="s">
        <v>25</v>
      </c>
      <c r="E157" s="69">
        <v>475.5</v>
      </c>
      <c r="F157" s="69"/>
      <c r="G157" s="67">
        <v>600</v>
      </c>
      <c r="H157" s="67">
        <f t="shared" si="8"/>
        <v>600</v>
      </c>
      <c r="I157" s="67">
        <f t="shared" si="9"/>
        <v>0</v>
      </c>
      <c r="J157" s="67">
        <f t="shared" si="10"/>
        <v>285300</v>
      </c>
      <c r="K157" s="67">
        <f t="shared" si="11"/>
        <v>285300</v>
      </c>
      <c r="L157" s="65"/>
    </row>
    <row r="158" spans="2:12" x14ac:dyDescent="0.35">
      <c r="B158" s="75" t="s">
        <v>362</v>
      </c>
      <c r="C158" s="93" t="s">
        <v>411</v>
      </c>
      <c r="D158" s="71" t="s">
        <v>26</v>
      </c>
      <c r="E158" s="69">
        <f>E157*0.05</f>
        <v>23.775000000000002</v>
      </c>
      <c r="F158" s="78">
        <v>7950</v>
      </c>
      <c r="G158" s="67"/>
      <c r="H158" s="67">
        <f t="shared" si="8"/>
        <v>7950</v>
      </c>
      <c r="I158" s="67">
        <f t="shared" si="9"/>
        <v>189011.25000000003</v>
      </c>
      <c r="J158" s="67">
        <f t="shared" si="10"/>
        <v>0</v>
      </c>
      <c r="K158" s="67">
        <f t="shared" si="11"/>
        <v>189011.25000000003</v>
      </c>
      <c r="L158" s="65"/>
    </row>
    <row r="159" spans="2:12" x14ac:dyDescent="0.35">
      <c r="B159" s="75" t="s">
        <v>363</v>
      </c>
      <c r="C159" s="102" t="s">
        <v>192</v>
      </c>
      <c r="D159" s="92" t="s">
        <v>25</v>
      </c>
      <c r="E159" s="69">
        <f>E157*1.1</f>
        <v>523.05000000000007</v>
      </c>
      <c r="F159" s="69">
        <v>181.29</v>
      </c>
      <c r="G159" s="67"/>
      <c r="H159" s="67">
        <f t="shared" si="8"/>
        <v>181.29</v>
      </c>
      <c r="I159" s="67">
        <f t="shared" si="9"/>
        <v>94823.734500000006</v>
      </c>
      <c r="J159" s="67">
        <f t="shared" si="10"/>
        <v>0</v>
      </c>
      <c r="K159" s="67">
        <f t="shared" si="11"/>
        <v>94823.734500000006</v>
      </c>
      <c r="L159" s="65"/>
    </row>
    <row r="160" spans="2:12" ht="31" x14ac:dyDescent="0.35">
      <c r="B160" s="75" t="s">
        <v>364</v>
      </c>
      <c r="C160" s="72" t="s">
        <v>412</v>
      </c>
      <c r="D160" s="76" t="s">
        <v>25</v>
      </c>
      <c r="E160" s="77">
        <v>476</v>
      </c>
      <c r="F160" s="69"/>
      <c r="G160" s="67">
        <v>100</v>
      </c>
      <c r="H160" s="67">
        <f t="shared" si="8"/>
        <v>100</v>
      </c>
      <c r="I160" s="67">
        <f t="shared" si="9"/>
        <v>0</v>
      </c>
      <c r="J160" s="67">
        <f t="shared" si="10"/>
        <v>47600</v>
      </c>
      <c r="K160" s="67">
        <f t="shared" si="11"/>
        <v>47600</v>
      </c>
      <c r="L160" s="65"/>
    </row>
    <row r="161" spans="2:12" x14ac:dyDescent="0.35">
      <c r="B161" s="75" t="s">
        <v>365</v>
      </c>
      <c r="C161" s="70" t="s">
        <v>188</v>
      </c>
      <c r="D161" s="76" t="s">
        <v>209</v>
      </c>
      <c r="E161" s="77">
        <f>E160*0.2</f>
        <v>95.2</v>
      </c>
      <c r="F161" s="69">
        <v>305</v>
      </c>
      <c r="G161" s="67"/>
      <c r="H161" s="67">
        <f t="shared" si="8"/>
        <v>305</v>
      </c>
      <c r="I161" s="67">
        <f t="shared" si="9"/>
        <v>29036</v>
      </c>
      <c r="J161" s="67">
        <f t="shared" si="10"/>
        <v>0</v>
      </c>
      <c r="K161" s="67">
        <f t="shared" si="11"/>
        <v>29036</v>
      </c>
      <c r="L161" s="65"/>
    </row>
    <row r="162" spans="2:12" ht="46.5" x14ac:dyDescent="0.35">
      <c r="B162" s="75" t="s">
        <v>366</v>
      </c>
      <c r="C162" s="79" t="s">
        <v>201</v>
      </c>
      <c r="D162" s="71" t="s">
        <v>25</v>
      </c>
      <c r="E162" s="69">
        <v>475.5</v>
      </c>
      <c r="F162" s="69"/>
      <c r="G162" s="99">
        <v>1050</v>
      </c>
      <c r="H162" s="67">
        <f t="shared" si="8"/>
        <v>1050</v>
      </c>
      <c r="I162" s="67">
        <f t="shared" si="9"/>
        <v>0</v>
      </c>
      <c r="J162" s="67">
        <f t="shared" si="10"/>
        <v>499275</v>
      </c>
      <c r="K162" s="67">
        <f t="shared" si="11"/>
        <v>499275</v>
      </c>
      <c r="L162" s="65"/>
    </row>
    <row r="163" spans="2:12" ht="31" x14ac:dyDescent="0.35">
      <c r="B163" s="75" t="s">
        <v>367</v>
      </c>
      <c r="C163" s="70" t="s">
        <v>193</v>
      </c>
      <c r="D163" s="71" t="s">
        <v>25</v>
      </c>
      <c r="E163" s="69">
        <f>E162*1.1</f>
        <v>523.05000000000007</v>
      </c>
      <c r="F163" s="69">
        <v>349.96</v>
      </c>
      <c r="G163" s="67"/>
      <c r="H163" s="67">
        <f t="shared" si="8"/>
        <v>349.96</v>
      </c>
      <c r="I163" s="67">
        <f t="shared" si="9"/>
        <v>183046.57800000001</v>
      </c>
      <c r="J163" s="67">
        <f t="shared" si="10"/>
        <v>0</v>
      </c>
      <c r="K163" s="67">
        <f t="shared" si="11"/>
        <v>183046.57800000001</v>
      </c>
      <c r="L163" s="65"/>
    </row>
    <row r="164" spans="2:12" x14ac:dyDescent="0.35">
      <c r="B164" s="75" t="s">
        <v>368</v>
      </c>
      <c r="C164" s="70" t="s">
        <v>194</v>
      </c>
      <c r="D164" s="94" t="s">
        <v>25</v>
      </c>
      <c r="E164" s="69">
        <f>E162*1.1</f>
        <v>523.05000000000007</v>
      </c>
      <c r="F164" s="69">
        <v>371.91</v>
      </c>
      <c r="G164" s="67"/>
      <c r="H164" s="67">
        <f t="shared" si="8"/>
        <v>371.91</v>
      </c>
      <c r="I164" s="67">
        <f t="shared" si="9"/>
        <v>194527.52550000005</v>
      </c>
      <c r="J164" s="67">
        <f t="shared" si="10"/>
        <v>0</v>
      </c>
      <c r="K164" s="67">
        <f t="shared" si="11"/>
        <v>194527.52550000005</v>
      </c>
      <c r="L164" s="65"/>
    </row>
    <row r="165" spans="2:12" x14ac:dyDescent="0.35">
      <c r="B165" s="75" t="s">
        <v>369</v>
      </c>
      <c r="C165" s="72" t="s">
        <v>220</v>
      </c>
      <c r="D165" s="76" t="s">
        <v>25</v>
      </c>
      <c r="E165" s="77">
        <v>475.5</v>
      </c>
      <c r="F165" s="78"/>
      <c r="G165" s="99">
        <v>275</v>
      </c>
      <c r="H165" s="67">
        <f t="shared" si="8"/>
        <v>275</v>
      </c>
      <c r="I165" s="67">
        <f t="shared" si="9"/>
        <v>0</v>
      </c>
      <c r="J165" s="67">
        <f t="shared" si="10"/>
        <v>130762.5</v>
      </c>
      <c r="K165" s="67">
        <f t="shared" si="11"/>
        <v>130762.5</v>
      </c>
      <c r="L165" s="65"/>
    </row>
    <row r="166" spans="2:12" x14ac:dyDescent="0.35">
      <c r="B166" s="75" t="s">
        <v>370</v>
      </c>
      <c r="C166" s="70" t="s">
        <v>417</v>
      </c>
      <c r="D166" s="76" t="s">
        <v>25</v>
      </c>
      <c r="E166" s="77">
        <f>E165*1.1</f>
        <v>523.05000000000007</v>
      </c>
      <c r="F166" s="78">
        <v>1552.7</v>
      </c>
      <c r="G166" s="67"/>
      <c r="H166" s="67">
        <f t="shared" si="8"/>
        <v>1552.7</v>
      </c>
      <c r="I166" s="67">
        <f t="shared" si="9"/>
        <v>812139.7350000001</v>
      </c>
      <c r="J166" s="67">
        <f t="shared" si="10"/>
        <v>0</v>
      </c>
      <c r="K166" s="67">
        <f t="shared" si="11"/>
        <v>812139.7350000001</v>
      </c>
      <c r="L166" s="65"/>
    </row>
    <row r="167" spans="2:12" ht="31" x14ac:dyDescent="0.35">
      <c r="B167" s="75" t="s">
        <v>371</v>
      </c>
      <c r="C167" s="72" t="s">
        <v>232</v>
      </c>
      <c r="D167" s="76" t="s">
        <v>25</v>
      </c>
      <c r="E167" s="77">
        <v>475.5</v>
      </c>
      <c r="F167" s="69"/>
      <c r="G167" s="67">
        <v>960</v>
      </c>
      <c r="H167" s="67">
        <f t="shared" si="8"/>
        <v>960</v>
      </c>
      <c r="I167" s="67">
        <f t="shared" si="9"/>
        <v>0</v>
      </c>
      <c r="J167" s="67">
        <f t="shared" si="10"/>
        <v>456480</v>
      </c>
      <c r="K167" s="67">
        <f t="shared" si="11"/>
        <v>456480</v>
      </c>
      <c r="L167" s="65"/>
    </row>
    <row r="168" spans="2:12" x14ac:dyDescent="0.35">
      <c r="B168" s="75" t="s">
        <v>421</v>
      </c>
      <c r="C168" s="70" t="s">
        <v>221</v>
      </c>
      <c r="D168" s="76" t="s">
        <v>26</v>
      </c>
      <c r="E168" s="77">
        <f>E167*0.36*1.1</f>
        <v>188.29800000000003</v>
      </c>
      <c r="F168" s="69">
        <v>1750</v>
      </c>
      <c r="G168" s="67"/>
      <c r="H168" s="67">
        <f t="shared" si="8"/>
        <v>1750</v>
      </c>
      <c r="I168" s="67">
        <f t="shared" si="9"/>
        <v>329521.50000000006</v>
      </c>
      <c r="J168" s="67">
        <f t="shared" si="10"/>
        <v>0</v>
      </c>
      <c r="K168" s="67">
        <f t="shared" si="11"/>
        <v>329521.50000000006</v>
      </c>
      <c r="L168" s="65"/>
    </row>
    <row r="169" spans="2:12" x14ac:dyDescent="0.35">
      <c r="B169" s="75" t="s">
        <v>239</v>
      </c>
      <c r="C169" s="73" t="s">
        <v>233</v>
      </c>
      <c r="D169" s="71"/>
      <c r="E169" s="69"/>
      <c r="F169" s="69"/>
      <c r="G169" s="67"/>
      <c r="H169" s="67">
        <f t="shared" si="8"/>
        <v>0</v>
      </c>
      <c r="I169" s="67">
        <f t="shared" si="9"/>
        <v>0</v>
      </c>
      <c r="J169" s="67">
        <f t="shared" si="10"/>
        <v>0</v>
      </c>
      <c r="K169" s="67">
        <f t="shared" si="11"/>
        <v>0</v>
      </c>
      <c r="L169" s="65"/>
    </row>
    <row r="170" spans="2:12" x14ac:dyDescent="0.35">
      <c r="B170" s="75" t="s">
        <v>186</v>
      </c>
      <c r="C170" s="72" t="s">
        <v>401</v>
      </c>
      <c r="D170" s="76" t="s">
        <v>25</v>
      </c>
      <c r="E170" s="104">
        <v>148.6</v>
      </c>
      <c r="F170" s="69"/>
      <c r="G170" s="67">
        <v>100</v>
      </c>
      <c r="H170" s="67">
        <f t="shared" si="8"/>
        <v>100</v>
      </c>
      <c r="I170" s="67">
        <f t="shared" si="9"/>
        <v>0</v>
      </c>
      <c r="J170" s="67">
        <f t="shared" si="10"/>
        <v>14860</v>
      </c>
      <c r="K170" s="67">
        <f t="shared" si="11"/>
        <v>14860</v>
      </c>
      <c r="L170" s="65"/>
    </row>
    <row r="171" spans="2:12" x14ac:dyDescent="0.35">
      <c r="B171" s="75" t="s">
        <v>372</v>
      </c>
      <c r="C171" s="70" t="s">
        <v>402</v>
      </c>
      <c r="D171" s="76" t="s">
        <v>209</v>
      </c>
      <c r="E171" s="104">
        <f>E170*0.2</f>
        <v>29.72</v>
      </c>
      <c r="F171" s="69">
        <v>305</v>
      </c>
      <c r="G171" s="67"/>
      <c r="H171" s="67">
        <f t="shared" si="8"/>
        <v>305</v>
      </c>
      <c r="I171" s="67">
        <f t="shared" si="9"/>
        <v>9064.6</v>
      </c>
      <c r="J171" s="67">
        <f t="shared" si="10"/>
        <v>0</v>
      </c>
      <c r="K171" s="67">
        <f t="shared" si="11"/>
        <v>9064.6</v>
      </c>
      <c r="L171" s="65"/>
    </row>
    <row r="172" spans="2:12" x14ac:dyDescent="0.35">
      <c r="B172" s="75" t="s">
        <v>373</v>
      </c>
      <c r="C172" s="72" t="s">
        <v>212</v>
      </c>
      <c r="D172" s="76" t="s">
        <v>25</v>
      </c>
      <c r="E172" s="104">
        <v>148.6</v>
      </c>
      <c r="F172" s="69"/>
      <c r="G172" s="67">
        <v>430</v>
      </c>
      <c r="H172" s="67">
        <f t="shared" si="8"/>
        <v>430</v>
      </c>
      <c r="I172" s="67">
        <f t="shared" si="9"/>
        <v>0</v>
      </c>
      <c r="J172" s="67">
        <f t="shared" si="10"/>
        <v>63898</v>
      </c>
      <c r="K172" s="67">
        <f t="shared" si="11"/>
        <v>63898</v>
      </c>
      <c r="L172" s="65"/>
    </row>
    <row r="173" spans="2:12" x14ac:dyDescent="0.35">
      <c r="B173" s="75" t="s">
        <v>374</v>
      </c>
      <c r="C173" s="70" t="s">
        <v>213</v>
      </c>
      <c r="D173" s="76" t="s">
        <v>25</v>
      </c>
      <c r="E173" s="104">
        <f>E170*1.1</f>
        <v>163.46</v>
      </c>
      <c r="F173" s="69">
        <v>244.1</v>
      </c>
      <c r="G173" s="67"/>
      <c r="H173" s="67">
        <f t="shared" si="8"/>
        <v>244.1</v>
      </c>
      <c r="I173" s="67">
        <f t="shared" si="9"/>
        <v>39900.586000000003</v>
      </c>
      <c r="J173" s="67">
        <f t="shared" si="10"/>
        <v>0</v>
      </c>
      <c r="K173" s="67">
        <f t="shared" si="11"/>
        <v>39900.586000000003</v>
      </c>
      <c r="L173" s="65"/>
    </row>
    <row r="174" spans="2:12" ht="31" x14ac:dyDescent="0.35">
      <c r="B174" s="75" t="s">
        <v>375</v>
      </c>
      <c r="C174" s="72" t="s">
        <v>234</v>
      </c>
      <c r="D174" s="76" t="s">
        <v>25</v>
      </c>
      <c r="E174" s="104">
        <v>148.6</v>
      </c>
      <c r="F174" s="69"/>
      <c r="G174" s="67">
        <v>850</v>
      </c>
      <c r="H174" s="67">
        <f t="shared" si="8"/>
        <v>850</v>
      </c>
      <c r="I174" s="67">
        <f t="shared" si="9"/>
        <v>0</v>
      </c>
      <c r="J174" s="67">
        <f t="shared" si="10"/>
        <v>126310</v>
      </c>
      <c r="K174" s="67">
        <f t="shared" si="11"/>
        <v>126310</v>
      </c>
      <c r="L174" s="65"/>
    </row>
    <row r="175" spans="2:12" x14ac:dyDescent="0.35">
      <c r="B175" s="75" t="s">
        <v>376</v>
      </c>
      <c r="C175" s="70" t="s">
        <v>200</v>
      </c>
      <c r="D175" s="76" t="s">
        <v>26</v>
      </c>
      <c r="E175" s="104">
        <f>E174*0.2*1.3</f>
        <v>38.636000000000003</v>
      </c>
      <c r="F175" s="69">
        <v>7200</v>
      </c>
      <c r="G175" s="67"/>
      <c r="H175" s="67">
        <f t="shared" si="8"/>
        <v>7200</v>
      </c>
      <c r="I175" s="67">
        <f t="shared" si="9"/>
        <v>278179.20000000001</v>
      </c>
      <c r="J175" s="67">
        <f t="shared" si="10"/>
        <v>0</v>
      </c>
      <c r="K175" s="67">
        <f t="shared" si="11"/>
        <v>278179.20000000001</v>
      </c>
      <c r="L175" s="65"/>
    </row>
    <row r="176" spans="2:12" x14ac:dyDescent="0.35">
      <c r="B176" s="75" t="s">
        <v>377</v>
      </c>
      <c r="C176" s="72" t="s">
        <v>393</v>
      </c>
      <c r="D176" s="76" t="s">
        <v>25</v>
      </c>
      <c r="E176" s="104">
        <v>148.6</v>
      </c>
      <c r="F176" s="67"/>
      <c r="G176" s="67">
        <v>40</v>
      </c>
      <c r="H176" s="67">
        <f t="shared" si="8"/>
        <v>40</v>
      </c>
      <c r="I176" s="67">
        <f t="shared" si="9"/>
        <v>0</v>
      </c>
      <c r="J176" s="67">
        <f t="shared" si="10"/>
        <v>5944</v>
      </c>
      <c r="K176" s="67">
        <f t="shared" si="11"/>
        <v>5944</v>
      </c>
      <c r="L176" s="65"/>
    </row>
    <row r="177" spans="2:12" x14ac:dyDescent="0.35">
      <c r="B177" s="75" t="s">
        <v>378</v>
      </c>
      <c r="C177" s="70" t="s">
        <v>190</v>
      </c>
      <c r="D177" s="76" t="s">
        <v>25</v>
      </c>
      <c r="E177" s="104">
        <f>E176*1.1</f>
        <v>163.46</v>
      </c>
      <c r="F177" s="67">
        <v>15.97</v>
      </c>
      <c r="G177" s="67"/>
      <c r="H177" s="67">
        <f t="shared" si="8"/>
        <v>15.97</v>
      </c>
      <c r="I177" s="67">
        <f t="shared" si="9"/>
        <v>2610.4562000000001</v>
      </c>
      <c r="J177" s="67">
        <f t="shared" si="10"/>
        <v>0</v>
      </c>
      <c r="K177" s="67">
        <f t="shared" si="11"/>
        <v>2610.4562000000001</v>
      </c>
      <c r="L177" s="65"/>
    </row>
    <row r="178" spans="2:12" ht="31" x14ac:dyDescent="0.35">
      <c r="B178" s="75" t="s">
        <v>379</v>
      </c>
      <c r="C178" s="72" t="s">
        <v>407</v>
      </c>
      <c r="D178" s="76" t="s">
        <v>25</v>
      </c>
      <c r="E178" s="104">
        <v>148.6</v>
      </c>
      <c r="F178" s="69"/>
      <c r="G178" s="67">
        <v>600</v>
      </c>
      <c r="H178" s="67">
        <f t="shared" si="8"/>
        <v>600</v>
      </c>
      <c r="I178" s="67">
        <f t="shared" si="9"/>
        <v>0</v>
      </c>
      <c r="J178" s="67">
        <f t="shared" si="10"/>
        <v>89160</v>
      </c>
      <c r="K178" s="67">
        <f t="shared" si="11"/>
        <v>89160</v>
      </c>
      <c r="L178" s="65"/>
    </row>
    <row r="179" spans="2:12" x14ac:dyDescent="0.35">
      <c r="B179" s="75" t="s">
        <v>380</v>
      </c>
      <c r="C179" s="70" t="s">
        <v>408</v>
      </c>
      <c r="D179" s="76" t="s">
        <v>26</v>
      </c>
      <c r="E179" s="104">
        <f>E178*0.05*1.02</f>
        <v>7.5785999999999998</v>
      </c>
      <c r="F179" s="78">
        <v>7950</v>
      </c>
      <c r="G179" s="67"/>
      <c r="H179" s="67">
        <f t="shared" si="8"/>
        <v>7950</v>
      </c>
      <c r="I179" s="67">
        <f t="shared" si="9"/>
        <v>60249.869999999995</v>
      </c>
      <c r="J179" s="67">
        <f t="shared" si="10"/>
        <v>0</v>
      </c>
      <c r="K179" s="67">
        <f t="shared" si="11"/>
        <v>60249.869999999995</v>
      </c>
      <c r="L179" s="65"/>
    </row>
    <row r="180" spans="2:12" x14ac:dyDescent="0.35">
      <c r="B180" s="75" t="s">
        <v>381</v>
      </c>
      <c r="C180" s="70" t="s">
        <v>192</v>
      </c>
      <c r="D180" s="92" t="s">
        <v>25</v>
      </c>
      <c r="E180" s="104">
        <f>E170*1.1</f>
        <v>163.46</v>
      </c>
      <c r="F180" s="69">
        <v>181.29</v>
      </c>
      <c r="G180" s="67"/>
      <c r="H180" s="67">
        <f t="shared" si="8"/>
        <v>181.29</v>
      </c>
      <c r="I180" s="67">
        <f t="shared" si="9"/>
        <v>29633.663400000001</v>
      </c>
      <c r="J180" s="67">
        <f t="shared" si="10"/>
        <v>0</v>
      </c>
      <c r="K180" s="67">
        <f t="shared" si="11"/>
        <v>29633.663400000001</v>
      </c>
      <c r="L180" s="65"/>
    </row>
    <row r="181" spans="2:12" ht="31" x14ac:dyDescent="0.35">
      <c r="B181" s="75" t="s">
        <v>382</v>
      </c>
      <c r="C181" s="72" t="s">
        <v>412</v>
      </c>
      <c r="D181" s="76" t="s">
        <v>25</v>
      </c>
      <c r="E181" s="77">
        <v>149</v>
      </c>
      <c r="F181" s="69"/>
      <c r="G181" s="67">
        <v>100</v>
      </c>
      <c r="H181" s="67">
        <f t="shared" si="8"/>
        <v>100</v>
      </c>
      <c r="I181" s="67">
        <f t="shared" si="9"/>
        <v>0</v>
      </c>
      <c r="J181" s="67">
        <f t="shared" si="10"/>
        <v>14900</v>
      </c>
      <c r="K181" s="67">
        <f t="shared" si="11"/>
        <v>14900</v>
      </c>
      <c r="L181" s="65"/>
    </row>
    <row r="182" spans="2:12" x14ac:dyDescent="0.35">
      <c r="B182" s="75" t="s">
        <v>383</v>
      </c>
      <c r="C182" s="70" t="s">
        <v>188</v>
      </c>
      <c r="D182" s="76" t="s">
        <v>209</v>
      </c>
      <c r="E182" s="77">
        <f>E181*0.2</f>
        <v>29.8</v>
      </c>
      <c r="F182" s="69">
        <v>305</v>
      </c>
      <c r="G182" s="67"/>
      <c r="H182" s="67">
        <f t="shared" si="8"/>
        <v>305</v>
      </c>
      <c r="I182" s="67">
        <f t="shared" si="9"/>
        <v>9089</v>
      </c>
      <c r="J182" s="67">
        <f t="shared" si="10"/>
        <v>0</v>
      </c>
      <c r="K182" s="67">
        <f t="shared" si="11"/>
        <v>9089</v>
      </c>
      <c r="L182" s="65"/>
    </row>
    <row r="183" spans="2:12" ht="46.5" x14ac:dyDescent="0.35">
      <c r="B183" s="75" t="s">
        <v>384</v>
      </c>
      <c r="C183" s="72" t="s">
        <v>201</v>
      </c>
      <c r="D183" s="76" t="s">
        <v>25</v>
      </c>
      <c r="E183" s="104">
        <v>148.6</v>
      </c>
      <c r="F183" s="69"/>
      <c r="G183" s="99">
        <v>1050</v>
      </c>
      <c r="H183" s="67">
        <f t="shared" si="8"/>
        <v>1050</v>
      </c>
      <c r="I183" s="67">
        <f t="shared" si="9"/>
        <v>0</v>
      </c>
      <c r="J183" s="67">
        <f t="shared" si="10"/>
        <v>156030</v>
      </c>
      <c r="K183" s="67">
        <f t="shared" si="11"/>
        <v>156030</v>
      </c>
      <c r="L183" s="65"/>
    </row>
    <row r="184" spans="2:12" ht="31" x14ac:dyDescent="0.35">
      <c r="B184" s="75" t="s">
        <v>385</v>
      </c>
      <c r="C184" s="70" t="s">
        <v>193</v>
      </c>
      <c r="D184" s="76" t="s">
        <v>25</v>
      </c>
      <c r="E184" s="104">
        <f>E183*1.1</f>
        <v>163.46</v>
      </c>
      <c r="F184" s="69">
        <v>349.96</v>
      </c>
      <c r="G184" s="67"/>
      <c r="H184" s="67">
        <f t="shared" si="8"/>
        <v>349.96</v>
      </c>
      <c r="I184" s="67">
        <f t="shared" si="9"/>
        <v>57204.461600000002</v>
      </c>
      <c r="J184" s="67">
        <f t="shared" si="10"/>
        <v>0</v>
      </c>
      <c r="K184" s="67">
        <f t="shared" si="11"/>
        <v>57204.461600000002</v>
      </c>
      <c r="L184" s="65"/>
    </row>
    <row r="185" spans="2:12" x14ac:dyDescent="0.35">
      <c r="B185" s="75" t="s">
        <v>386</v>
      </c>
      <c r="C185" s="70" t="s">
        <v>194</v>
      </c>
      <c r="D185" s="94" t="s">
        <v>25</v>
      </c>
      <c r="E185" s="104">
        <f>E183*1.1</f>
        <v>163.46</v>
      </c>
      <c r="F185" s="69">
        <v>371.91</v>
      </c>
      <c r="G185" s="67"/>
      <c r="H185" s="67">
        <f t="shared" si="8"/>
        <v>371.91</v>
      </c>
      <c r="I185" s="67">
        <f t="shared" si="9"/>
        <v>60792.40860000001</v>
      </c>
      <c r="J185" s="67">
        <f t="shared" si="10"/>
        <v>0</v>
      </c>
      <c r="K185" s="67">
        <f t="shared" si="11"/>
        <v>60792.40860000001</v>
      </c>
      <c r="L185" s="65"/>
    </row>
    <row r="186" spans="2:12" x14ac:dyDescent="0.35">
      <c r="B186" s="75" t="s">
        <v>387</v>
      </c>
      <c r="C186" s="79" t="s">
        <v>220</v>
      </c>
      <c r="D186" s="76" t="s">
        <v>25</v>
      </c>
      <c r="E186" s="77">
        <v>148.6</v>
      </c>
      <c r="F186" s="78"/>
      <c r="G186" s="99">
        <v>275</v>
      </c>
      <c r="H186" s="67">
        <f t="shared" si="8"/>
        <v>275</v>
      </c>
      <c r="I186" s="67">
        <f t="shared" si="9"/>
        <v>0</v>
      </c>
      <c r="J186" s="67">
        <f t="shared" si="10"/>
        <v>40865</v>
      </c>
      <c r="K186" s="67">
        <f t="shared" si="11"/>
        <v>40865</v>
      </c>
      <c r="L186" s="65"/>
    </row>
    <row r="187" spans="2:12" x14ac:dyDescent="0.35">
      <c r="B187" s="75" t="s">
        <v>388</v>
      </c>
      <c r="C187" s="70" t="s">
        <v>417</v>
      </c>
      <c r="D187" s="76" t="s">
        <v>25</v>
      </c>
      <c r="E187" s="77">
        <f>E186*1.1</f>
        <v>163.46</v>
      </c>
      <c r="F187" s="78">
        <v>1552.7</v>
      </c>
      <c r="G187" s="67"/>
      <c r="H187" s="67">
        <f t="shared" si="8"/>
        <v>1552.7</v>
      </c>
      <c r="I187" s="67">
        <f t="shared" si="9"/>
        <v>253804.34200000003</v>
      </c>
      <c r="J187" s="67">
        <f t="shared" si="10"/>
        <v>0</v>
      </c>
      <c r="K187" s="67">
        <f t="shared" si="11"/>
        <v>253804.34200000003</v>
      </c>
      <c r="L187" s="65"/>
    </row>
    <row r="188" spans="2:12" ht="31" x14ac:dyDescent="0.35">
      <c r="B188" s="75" t="s">
        <v>389</v>
      </c>
      <c r="C188" s="72" t="s">
        <v>409</v>
      </c>
      <c r="D188" s="76" t="s">
        <v>25</v>
      </c>
      <c r="E188" s="77">
        <v>148.6</v>
      </c>
      <c r="F188" s="69"/>
      <c r="G188" s="67">
        <v>960</v>
      </c>
      <c r="H188" s="67">
        <f t="shared" si="8"/>
        <v>960</v>
      </c>
      <c r="I188" s="67">
        <f t="shared" si="9"/>
        <v>0</v>
      </c>
      <c r="J188" s="67">
        <f t="shared" si="10"/>
        <v>142656</v>
      </c>
      <c r="K188" s="67">
        <f t="shared" si="11"/>
        <v>142656</v>
      </c>
      <c r="L188" s="65"/>
    </row>
    <row r="189" spans="2:12" x14ac:dyDescent="0.35">
      <c r="B189" s="75" t="s">
        <v>390</v>
      </c>
      <c r="C189" s="70" t="s">
        <v>394</v>
      </c>
      <c r="D189" s="76" t="s">
        <v>26</v>
      </c>
      <c r="E189" s="77">
        <f>E188*0.36*1.1</f>
        <v>58.845599999999997</v>
      </c>
      <c r="F189" s="69">
        <v>1750</v>
      </c>
      <c r="G189" s="67"/>
      <c r="H189" s="67">
        <f t="shared" si="8"/>
        <v>1750</v>
      </c>
      <c r="I189" s="67">
        <f t="shared" si="9"/>
        <v>102979.79999999999</v>
      </c>
      <c r="J189" s="67">
        <f t="shared" si="10"/>
        <v>0</v>
      </c>
      <c r="K189" s="67">
        <f t="shared" si="11"/>
        <v>102979.79999999999</v>
      </c>
      <c r="L189" s="65"/>
    </row>
    <row r="190" spans="2:12" x14ac:dyDescent="0.35">
      <c r="B190" s="75" t="s">
        <v>391</v>
      </c>
      <c r="C190" s="72" t="s">
        <v>219</v>
      </c>
      <c r="D190" s="76" t="s">
        <v>25</v>
      </c>
      <c r="E190" s="77">
        <v>149</v>
      </c>
      <c r="F190" s="69"/>
      <c r="G190" s="67">
        <v>60</v>
      </c>
      <c r="H190" s="67">
        <f t="shared" si="8"/>
        <v>60</v>
      </c>
      <c r="I190" s="67">
        <f t="shared" si="9"/>
        <v>0</v>
      </c>
      <c r="J190" s="67">
        <f t="shared" si="10"/>
        <v>8940</v>
      </c>
      <c r="K190" s="67">
        <f t="shared" si="11"/>
        <v>8940</v>
      </c>
      <c r="L190" s="65"/>
    </row>
    <row r="191" spans="2:12" x14ac:dyDescent="0.35">
      <c r="B191" s="75" t="s">
        <v>392</v>
      </c>
      <c r="C191" s="70" t="s">
        <v>406</v>
      </c>
      <c r="D191" s="76" t="s">
        <v>25</v>
      </c>
      <c r="E191" s="104">
        <f>E188*1.1</f>
        <v>163.46</v>
      </c>
      <c r="F191" s="69">
        <v>130</v>
      </c>
      <c r="G191" s="67"/>
      <c r="H191" s="67">
        <f t="shared" si="8"/>
        <v>130</v>
      </c>
      <c r="I191" s="67">
        <f t="shared" si="9"/>
        <v>21249.8</v>
      </c>
      <c r="J191" s="67">
        <f t="shared" si="10"/>
        <v>0</v>
      </c>
      <c r="K191" s="67">
        <f t="shared" si="11"/>
        <v>21249.8</v>
      </c>
      <c r="L191" s="65"/>
    </row>
    <row r="192" spans="2:12" x14ac:dyDescent="0.35">
      <c r="B192" s="82"/>
      <c r="C192" s="64"/>
      <c r="D192" s="65"/>
      <c r="E192" s="69"/>
      <c r="F192" s="69"/>
      <c r="G192" s="67"/>
      <c r="H192" s="67">
        <f t="shared" si="8"/>
        <v>0</v>
      </c>
      <c r="I192" s="67">
        <f t="shared" si="9"/>
        <v>0</v>
      </c>
      <c r="J192" s="67">
        <f t="shared" si="10"/>
        <v>0</v>
      </c>
      <c r="K192" s="67">
        <f t="shared" si="11"/>
        <v>0</v>
      </c>
      <c r="L192" s="65"/>
    </row>
    <row r="193" spans="2:16" x14ac:dyDescent="0.35">
      <c r="B193" s="82"/>
      <c r="C193" s="125" t="s">
        <v>404</v>
      </c>
      <c r="D193" s="105"/>
      <c r="E193" s="106"/>
      <c r="F193" s="105"/>
      <c r="G193" s="107"/>
      <c r="H193" s="107"/>
      <c r="I193" s="107">
        <f>SUM(I13:I192)</f>
        <v>12912479.645599999</v>
      </c>
      <c r="J193" s="107">
        <f t="shared" ref="J193:K193" si="12">SUM(J13:J192)</f>
        <v>8508450.5</v>
      </c>
      <c r="K193" s="107">
        <f t="shared" si="12"/>
        <v>21420930.145600002</v>
      </c>
      <c r="L193" s="108"/>
    </row>
    <row r="194" spans="2:16" x14ac:dyDescent="0.35">
      <c r="B194" s="82"/>
      <c r="C194" s="64" t="s">
        <v>405</v>
      </c>
      <c r="D194" s="65"/>
      <c r="E194" s="66"/>
      <c r="F194" s="65"/>
      <c r="G194" s="67"/>
      <c r="H194" s="67"/>
      <c r="I194" s="67">
        <f t="shared" ref="I194:J194" si="13">I193/6</f>
        <v>2152079.9409333332</v>
      </c>
      <c r="J194" s="67">
        <f t="shared" si="13"/>
        <v>1418075.0833333333</v>
      </c>
      <c r="K194" s="67">
        <f>ROUNDDOWN(K193/6,2)</f>
        <v>3570155.02</v>
      </c>
    </row>
    <row r="195" spans="2:16" s="123" customFormat="1" x14ac:dyDescent="0.35">
      <c r="B195" s="80"/>
      <c r="C195" s="81"/>
      <c r="D195" s="82"/>
      <c r="E195" s="109">
        <f>SUM(E13:E194)</f>
        <v>34848.735110000001</v>
      </c>
      <c r="F195" s="82"/>
      <c r="G195" s="82"/>
      <c r="H195" s="82"/>
      <c r="I195" s="84"/>
      <c r="J195" s="82"/>
      <c r="K195" s="109"/>
      <c r="L195" s="82"/>
      <c r="M195" s="82"/>
      <c r="N195" s="82"/>
      <c r="O195" s="82"/>
      <c r="P195" s="82"/>
    </row>
    <row r="196" spans="2:16" x14ac:dyDescent="0.35">
      <c r="C196" s="81" t="s">
        <v>422</v>
      </c>
      <c r="E196" s="109"/>
    </row>
  </sheetData>
  <autoFilter ref="B11:P195" xr:uid="{64B79D9E-1027-4AF4-9633-5DF83DC3B7DA}"/>
  <mergeCells count="13">
    <mergeCell ref="L7:L9"/>
    <mergeCell ref="F8:H8"/>
    <mergeCell ref="I8:K8"/>
    <mergeCell ref="K2:L2"/>
    <mergeCell ref="K3:L3"/>
    <mergeCell ref="B5:L5"/>
    <mergeCell ref="B6:L6"/>
    <mergeCell ref="B7:B9"/>
    <mergeCell ref="C7:C9"/>
    <mergeCell ref="D7:D9"/>
    <mergeCell ref="E7:E9"/>
    <mergeCell ref="F7:H7"/>
    <mergeCell ref="I7:K7"/>
  </mergeCells>
  <pageMargins left="0.25" right="0.25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79D9E-1027-4AF4-9633-5DF83DC3B7DA}">
  <sheetPr>
    <tabColor rgb="FF92D050"/>
    <pageSetUpPr fitToPage="1"/>
  </sheetPr>
  <dimension ref="A1:R196"/>
  <sheetViews>
    <sheetView topLeftCell="B187" zoomScale="120" zoomScaleNormal="120" zoomScaleSheetLayoutView="100" workbookViewId="0">
      <selection activeCell="I203" sqref="I203"/>
    </sheetView>
  </sheetViews>
  <sheetFormatPr defaultColWidth="8.90625" defaultRowHeight="15.5" outlineLevelCol="1" x14ac:dyDescent="0.35"/>
  <cols>
    <col min="1" max="1" width="6.90625" style="82" hidden="1" customWidth="1"/>
    <col min="2" max="2" width="7.54296875" style="80" customWidth="1"/>
    <col min="3" max="3" width="83.54296875" style="81" customWidth="1"/>
    <col min="4" max="4" width="9.36328125" style="82" customWidth="1"/>
    <col min="5" max="5" width="12" style="83" customWidth="1"/>
    <col min="6" max="6" width="13.54296875" style="82" bestFit="1" customWidth="1"/>
    <col min="7" max="8" width="12" style="82" customWidth="1"/>
    <col min="9" max="9" width="15" style="84" bestFit="1" customWidth="1"/>
    <col min="10" max="10" width="14.36328125" style="82" bestFit="1" customWidth="1"/>
    <col min="11" max="11" width="15" style="82" bestFit="1" customWidth="1"/>
    <col min="12" max="12" width="31.36328125" style="82" hidden="1" customWidth="1" outlineLevel="1"/>
    <col min="13" max="13" width="13.36328125" style="82" hidden="1" customWidth="1" collapsed="1"/>
    <col min="14" max="14" width="12.453125" style="82" hidden="1" customWidth="1"/>
    <col min="15" max="15" width="122.36328125" style="82" hidden="1" customWidth="1"/>
    <col min="16" max="16" width="6.08984375" style="82" customWidth="1"/>
    <col min="17" max="16384" width="8.90625" style="82"/>
  </cols>
  <sheetData>
    <row r="1" spans="2:18" x14ac:dyDescent="0.35">
      <c r="L1" s="114" t="s">
        <v>12</v>
      </c>
      <c r="M1" s="85"/>
      <c r="N1" s="85"/>
      <c r="O1" s="85"/>
      <c r="P1" s="85"/>
    </row>
    <row r="2" spans="2:18" x14ac:dyDescent="0.35">
      <c r="K2" s="129" t="s">
        <v>14</v>
      </c>
      <c r="L2" s="129"/>
      <c r="O2" s="114"/>
      <c r="P2" s="114"/>
    </row>
    <row r="3" spans="2:18" x14ac:dyDescent="0.35">
      <c r="K3" s="129" t="s">
        <v>13</v>
      </c>
      <c r="L3" s="129"/>
      <c r="O3" s="114"/>
      <c r="P3" s="114"/>
    </row>
    <row r="4" spans="2:18" x14ac:dyDescent="0.35">
      <c r="O4" s="115"/>
      <c r="P4" s="115"/>
    </row>
    <row r="5" spans="2:18" x14ac:dyDescent="0.35">
      <c r="B5" s="130" t="s">
        <v>3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85"/>
      <c r="N5" s="85"/>
      <c r="O5" s="85"/>
      <c r="P5" s="85"/>
    </row>
    <row r="6" spans="2:18" x14ac:dyDescent="0.35">
      <c r="B6" s="131" t="s">
        <v>235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86"/>
      <c r="N6" s="86"/>
      <c r="O6" s="86"/>
      <c r="P6" s="112"/>
    </row>
    <row r="7" spans="2:18" x14ac:dyDescent="0.35">
      <c r="B7" s="132" t="s">
        <v>11</v>
      </c>
      <c r="C7" s="133" t="s">
        <v>0</v>
      </c>
      <c r="D7" s="128" t="s">
        <v>1</v>
      </c>
      <c r="E7" s="134" t="s">
        <v>2</v>
      </c>
      <c r="F7" s="128" t="s">
        <v>4</v>
      </c>
      <c r="G7" s="128"/>
      <c r="H7" s="128"/>
      <c r="I7" s="128" t="s">
        <v>5</v>
      </c>
      <c r="J7" s="128"/>
      <c r="K7" s="128"/>
      <c r="L7" s="127" t="s">
        <v>6</v>
      </c>
    </row>
    <row r="8" spans="2:18" x14ac:dyDescent="0.35">
      <c r="B8" s="132"/>
      <c r="C8" s="133"/>
      <c r="D8" s="128"/>
      <c r="E8" s="134"/>
      <c r="F8" s="128" t="s">
        <v>7</v>
      </c>
      <c r="G8" s="128"/>
      <c r="H8" s="128"/>
      <c r="I8" s="128" t="s">
        <v>7</v>
      </c>
      <c r="J8" s="128"/>
      <c r="K8" s="128"/>
      <c r="L8" s="127"/>
    </row>
    <row r="9" spans="2:18" x14ac:dyDescent="0.35">
      <c r="B9" s="132"/>
      <c r="C9" s="133"/>
      <c r="D9" s="128"/>
      <c r="E9" s="134"/>
      <c r="F9" s="87" t="s">
        <v>8</v>
      </c>
      <c r="G9" s="113" t="s">
        <v>9</v>
      </c>
      <c r="H9" s="113" t="s">
        <v>10</v>
      </c>
      <c r="I9" s="113" t="s">
        <v>8</v>
      </c>
      <c r="J9" s="113" t="s">
        <v>9</v>
      </c>
      <c r="K9" s="113" t="s">
        <v>10</v>
      </c>
      <c r="L9" s="127"/>
    </row>
    <row r="10" spans="2:18" x14ac:dyDescent="0.35">
      <c r="B10" s="88" t="s">
        <v>236</v>
      </c>
      <c r="C10" s="113">
        <v>2</v>
      </c>
      <c r="D10" s="113">
        <v>3</v>
      </c>
      <c r="E10" s="113">
        <v>4</v>
      </c>
      <c r="F10" s="113" t="s">
        <v>170</v>
      </c>
      <c r="G10" s="116" t="s">
        <v>172</v>
      </c>
      <c r="H10" s="113">
        <v>7</v>
      </c>
      <c r="I10" s="113">
        <v>8</v>
      </c>
      <c r="J10" s="116" t="s">
        <v>237</v>
      </c>
      <c r="K10" s="116" t="s">
        <v>238</v>
      </c>
      <c r="L10" s="113">
        <v>14</v>
      </c>
    </row>
    <row r="11" spans="2:18" x14ac:dyDescent="0.35">
      <c r="B11" s="88"/>
      <c r="C11" s="64"/>
      <c r="D11" s="65"/>
      <c r="E11" s="118"/>
      <c r="F11" s="88"/>
      <c r="G11" s="116"/>
      <c r="H11" s="113"/>
      <c r="I11" s="113"/>
      <c r="J11" s="116"/>
      <c r="K11" s="116"/>
      <c r="L11" s="113"/>
    </row>
    <row r="12" spans="2:18" x14ac:dyDescent="0.35">
      <c r="B12" s="119" t="s">
        <v>236</v>
      </c>
      <c r="C12" s="89" t="s">
        <v>195</v>
      </c>
      <c r="D12" s="90"/>
      <c r="E12" s="118"/>
      <c r="F12" s="88"/>
      <c r="G12" s="116"/>
      <c r="H12" s="113"/>
      <c r="I12" s="113"/>
      <c r="J12" s="116"/>
      <c r="K12" s="116"/>
      <c r="L12" s="113"/>
    </row>
    <row r="13" spans="2:18" x14ac:dyDescent="0.35">
      <c r="B13" s="119" t="s">
        <v>240</v>
      </c>
      <c r="C13" s="91" t="s">
        <v>401</v>
      </c>
      <c r="D13" s="92" t="s">
        <v>25</v>
      </c>
      <c r="E13" s="67">
        <v>128.4</v>
      </c>
      <c r="F13" s="67"/>
      <c r="G13" s="67">
        <v>100</v>
      </c>
      <c r="H13" s="67">
        <f>F13+G13</f>
        <v>100</v>
      </c>
      <c r="I13" s="67">
        <f>F13*E13</f>
        <v>0</v>
      </c>
      <c r="J13" s="67">
        <f>G13*E13</f>
        <v>12840</v>
      </c>
      <c r="K13" s="67">
        <f>I13+J13</f>
        <v>12840</v>
      </c>
      <c r="L13" s="113"/>
    </row>
    <row r="14" spans="2:18" x14ac:dyDescent="0.35">
      <c r="B14" s="119" t="s">
        <v>245</v>
      </c>
      <c r="C14" s="63" t="s">
        <v>402</v>
      </c>
      <c r="D14" s="71" t="s">
        <v>31</v>
      </c>
      <c r="E14" s="67">
        <f>E13*0.2</f>
        <v>25.680000000000003</v>
      </c>
      <c r="F14" s="67">
        <v>305</v>
      </c>
      <c r="G14" s="67"/>
      <c r="H14" s="67">
        <f t="shared" ref="H14:H74" si="0">F14+G14</f>
        <v>305</v>
      </c>
      <c r="I14" s="67">
        <f t="shared" ref="I14:I74" si="1">F14*E14</f>
        <v>7832.4000000000005</v>
      </c>
      <c r="J14" s="67">
        <f t="shared" ref="J14:J74" si="2">G14*E14</f>
        <v>0</v>
      </c>
      <c r="K14" s="67">
        <f t="shared" ref="K14:K74" si="3">I14+J14</f>
        <v>7832.4000000000005</v>
      </c>
      <c r="L14" s="113"/>
    </row>
    <row r="15" spans="2:18" ht="31" x14ac:dyDescent="0.35">
      <c r="B15" s="119" t="s">
        <v>248</v>
      </c>
      <c r="C15" s="110" t="s">
        <v>204</v>
      </c>
      <c r="D15" s="97" t="s">
        <v>25</v>
      </c>
      <c r="E15" s="99">
        <v>128.4</v>
      </c>
      <c r="F15" s="99"/>
      <c r="G15" s="99">
        <v>525</v>
      </c>
      <c r="H15" s="67">
        <f t="shared" si="0"/>
        <v>525</v>
      </c>
      <c r="I15" s="67">
        <f t="shared" si="1"/>
        <v>0</v>
      </c>
      <c r="J15" s="67">
        <f t="shared" si="2"/>
        <v>67410</v>
      </c>
      <c r="K15" s="67">
        <f t="shared" si="3"/>
        <v>67410</v>
      </c>
      <c r="L15" s="113"/>
    </row>
    <row r="16" spans="2:18" x14ac:dyDescent="0.35">
      <c r="B16" s="119" t="s">
        <v>249</v>
      </c>
      <c r="C16" s="93" t="s">
        <v>403</v>
      </c>
      <c r="D16" s="97" t="s">
        <v>25</v>
      </c>
      <c r="E16" s="99">
        <f>E15*1.03</f>
        <v>132.25200000000001</v>
      </c>
      <c r="F16" s="99">
        <v>1360</v>
      </c>
      <c r="G16" s="99"/>
      <c r="H16" s="67">
        <f t="shared" si="0"/>
        <v>1360</v>
      </c>
      <c r="I16" s="67">
        <f t="shared" si="1"/>
        <v>179862.72</v>
      </c>
      <c r="J16" s="67">
        <f t="shared" si="2"/>
        <v>0</v>
      </c>
      <c r="K16" s="67">
        <f t="shared" si="3"/>
        <v>179862.72</v>
      </c>
      <c r="L16" s="113"/>
      <c r="R16" s="113"/>
    </row>
    <row r="17" spans="2:12" x14ac:dyDescent="0.35">
      <c r="B17" s="119" t="s">
        <v>250</v>
      </c>
      <c r="C17" s="91" t="s">
        <v>393</v>
      </c>
      <c r="D17" s="92" t="s">
        <v>25</v>
      </c>
      <c r="E17" s="67">
        <v>128.4</v>
      </c>
      <c r="F17" s="67"/>
      <c r="G17" s="67">
        <v>40</v>
      </c>
      <c r="H17" s="67">
        <f t="shared" si="0"/>
        <v>40</v>
      </c>
      <c r="I17" s="67">
        <f t="shared" si="1"/>
        <v>0</v>
      </c>
      <c r="J17" s="67">
        <f t="shared" si="2"/>
        <v>5136</v>
      </c>
      <c r="K17" s="67">
        <f t="shared" si="3"/>
        <v>5136</v>
      </c>
      <c r="L17" s="113"/>
    </row>
    <row r="18" spans="2:12" x14ac:dyDescent="0.35">
      <c r="B18" s="119" t="s">
        <v>251</v>
      </c>
      <c r="C18" s="63" t="s">
        <v>190</v>
      </c>
      <c r="D18" s="92" t="s">
        <v>25</v>
      </c>
      <c r="E18" s="67">
        <f>E17*1.1</f>
        <v>141.24</v>
      </c>
      <c r="F18" s="67">
        <v>15.97</v>
      </c>
      <c r="G18" s="67"/>
      <c r="H18" s="67">
        <f t="shared" si="0"/>
        <v>15.97</v>
      </c>
      <c r="I18" s="67">
        <f t="shared" si="1"/>
        <v>2255.6028000000001</v>
      </c>
      <c r="J18" s="67">
        <f t="shared" si="2"/>
        <v>0</v>
      </c>
      <c r="K18" s="67">
        <f t="shared" si="3"/>
        <v>2255.6028000000001</v>
      </c>
      <c r="L18" s="113"/>
    </row>
    <row r="19" spans="2:12" ht="31" x14ac:dyDescent="0.35">
      <c r="B19" s="75" t="s">
        <v>252</v>
      </c>
      <c r="C19" s="91" t="s">
        <v>191</v>
      </c>
      <c r="D19" s="92" t="s">
        <v>25</v>
      </c>
      <c r="E19" s="67">
        <v>128.4</v>
      </c>
      <c r="F19" s="69"/>
      <c r="G19" s="67">
        <v>850</v>
      </c>
      <c r="H19" s="67">
        <f t="shared" si="0"/>
        <v>850</v>
      </c>
      <c r="I19" s="67">
        <f t="shared" si="1"/>
        <v>0</v>
      </c>
      <c r="J19" s="67">
        <f t="shared" si="2"/>
        <v>109140</v>
      </c>
      <c r="K19" s="67">
        <f t="shared" si="3"/>
        <v>109140</v>
      </c>
      <c r="L19" s="65"/>
    </row>
    <row r="20" spans="2:12" x14ac:dyDescent="0.35">
      <c r="B20" s="75" t="s">
        <v>253</v>
      </c>
      <c r="C20" s="63" t="s">
        <v>400</v>
      </c>
      <c r="D20" s="92" t="s">
        <v>26</v>
      </c>
      <c r="E20" s="67">
        <f>E19*0.25*1.3</f>
        <v>41.730000000000004</v>
      </c>
      <c r="F20" s="69">
        <v>7200</v>
      </c>
      <c r="G20" s="67"/>
      <c r="H20" s="67">
        <f t="shared" si="0"/>
        <v>7200</v>
      </c>
      <c r="I20" s="67">
        <f t="shared" si="1"/>
        <v>300456</v>
      </c>
      <c r="J20" s="67">
        <f t="shared" si="2"/>
        <v>0</v>
      </c>
      <c r="K20" s="67">
        <f t="shared" si="3"/>
        <v>300456</v>
      </c>
      <c r="L20" s="65"/>
    </row>
    <row r="21" spans="2:12" ht="62" x14ac:dyDescent="0.35">
      <c r="B21" s="75" t="s">
        <v>254</v>
      </c>
      <c r="C21" s="74" t="s">
        <v>410</v>
      </c>
      <c r="D21" s="92" t="s">
        <v>25</v>
      </c>
      <c r="E21" s="67">
        <v>128.4</v>
      </c>
      <c r="F21" s="69"/>
      <c r="G21" s="67">
        <v>600</v>
      </c>
      <c r="H21" s="67">
        <f t="shared" si="0"/>
        <v>600</v>
      </c>
      <c r="I21" s="67">
        <f t="shared" si="1"/>
        <v>0</v>
      </c>
      <c r="J21" s="67">
        <f t="shared" si="2"/>
        <v>77040</v>
      </c>
      <c r="K21" s="67">
        <f t="shared" si="3"/>
        <v>77040</v>
      </c>
      <c r="L21" s="65"/>
    </row>
    <row r="22" spans="2:12" x14ac:dyDescent="0.35">
      <c r="B22" s="75" t="s">
        <v>255</v>
      </c>
      <c r="C22" s="93" t="s">
        <v>411</v>
      </c>
      <c r="D22" s="92" t="s">
        <v>26</v>
      </c>
      <c r="E22" s="67">
        <f>E21*0.05*1.02+(0.1*0.1/2*58.6)</f>
        <v>6.841400000000001</v>
      </c>
      <c r="F22" s="78">
        <v>7950</v>
      </c>
      <c r="G22" s="67"/>
      <c r="H22" s="67">
        <f t="shared" si="0"/>
        <v>7950</v>
      </c>
      <c r="I22" s="67">
        <f t="shared" si="1"/>
        <v>54389.130000000005</v>
      </c>
      <c r="J22" s="67">
        <f t="shared" si="2"/>
        <v>0</v>
      </c>
      <c r="K22" s="67">
        <f t="shared" si="3"/>
        <v>54389.130000000005</v>
      </c>
      <c r="L22" s="65"/>
    </row>
    <row r="23" spans="2:12" x14ac:dyDescent="0.35">
      <c r="B23" s="75" t="s">
        <v>256</v>
      </c>
      <c r="C23" s="63" t="s">
        <v>192</v>
      </c>
      <c r="D23" s="92" t="s">
        <v>25</v>
      </c>
      <c r="E23" s="67">
        <f>E13*1.1</f>
        <v>141.24</v>
      </c>
      <c r="F23" s="69">
        <v>181.29</v>
      </c>
      <c r="G23" s="67"/>
      <c r="H23" s="67">
        <f t="shared" si="0"/>
        <v>181.29</v>
      </c>
      <c r="I23" s="67">
        <f t="shared" si="1"/>
        <v>25605.399600000001</v>
      </c>
      <c r="J23" s="67">
        <f t="shared" si="2"/>
        <v>0</v>
      </c>
      <c r="K23" s="67">
        <f t="shared" si="3"/>
        <v>25605.399600000001</v>
      </c>
      <c r="L23" s="65"/>
    </row>
    <row r="24" spans="2:12" ht="31" x14ac:dyDescent="0.35">
      <c r="B24" s="75" t="s">
        <v>257</v>
      </c>
      <c r="C24" s="74" t="s">
        <v>412</v>
      </c>
      <c r="D24" s="92" t="s">
        <v>25</v>
      </c>
      <c r="E24" s="67">
        <v>128.4</v>
      </c>
      <c r="F24" s="69"/>
      <c r="G24" s="67">
        <v>100</v>
      </c>
      <c r="H24" s="67">
        <f t="shared" si="0"/>
        <v>100</v>
      </c>
      <c r="I24" s="67">
        <f t="shared" si="1"/>
        <v>0</v>
      </c>
      <c r="J24" s="67">
        <f t="shared" si="2"/>
        <v>12840</v>
      </c>
      <c r="K24" s="67">
        <f t="shared" si="3"/>
        <v>12840</v>
      </c>
      <c r="L24" s="65"/>
    </row>
    <row r="25" spans="2:12" x14ac:dyDescent="0.35">
      <c r="B25" s="75" t="s">
        <v>258</v>
      </c>
      <c r="C25" s="63" t="s">
        <v>188</v>
      </c>
      <c r="D25" s="94" t="s">
        <v>31</v>
      </c>
      <c r="E25" s="67">
        <f>E24*0.2</f>
        <v>25.680000000000003</v>
      </c>
      <c r="F25" s="69">
        <v>305</v>
      </c>
      <c r="G25" s="67"/>
      <c r="H25" s="67">
        <f t="shared" si="0"/>
        <v>305</v>
      </c>
      <c r="I25" s="67">
        <f t="shared" si="1"/>
        <v>7832.4000000000005</v>
      </c>
      <c r="J25" s="67">
        <f t="shared" si="2"/>
        <v>0</v>
      </c>
      <c r="K25" s="67">
        <f t="shared" si="3"/>
        <v>7832.4000000000005</v>
      </c>
      <c r="L25" s="65"/>
    </row>
    <row r="26" spans="2:12" ht="46.5" x14ac:dyDescent="0.35">
      <c r="B26" s="75" t="s">
        <v>259</v>
      </c>
      <c r="C26" s="91" t="s">
        <v>201</v>
      </c>
      <c r="D26" s="92" t="s">
        <v>25</v>
      </c>
      <c r="E26" s="67">
        <v>128.4</v>
      </c>
      <c r="F26" s="69"/>
      <c r="G26" s="67">
        <v>1050</v>
      </c>
      <c r="H26" s="67">
        <f t="shared" si="0"/>
        <v>1050</v>
      </c>
      <c r="I26" s="67">
        <f t="shared" si="1"/>
        <v>0</v>
      </c>
      <c r="J26" s="67">
        <f t="shared" si="2"/>
        <v>134820</v>
      </c>
      <c r="K26" s="67">
        <f t="shared" si="3"/>
        <v>134820</v>
      </c>
      <c r="L26" s="65"/>
    </row>
    <row r="27" spans="2:12" ht="31" x14ac:dyDescent="0.35">
      <c r="B27" s="75" t="s">
        <v>260</v>
      </c>
      <c r="C27" s="63" t="s">
        <v>193</v>
      </c>
      <c r="D27" s="94" t="s">
        <v>25</v>
      </c>
      <c r="E27" s="67">
        <f>E26*1.1</f>
        <v>141.24</v>
      </c>
      <c r="F27" s="69">
        <v>349.96</v>
      </c>
      <c r="G27" s="67"/>
      <c r="H27" s="67">
        <f t="shared" si="0"/>
        <v>349.96</v>
      </c>
      <c r="I27" s="67">
        <f t="shared" si="1"/>
        <v>49428.350400000003</v>
      </c>
      <c r="J27" s="67">
        <f t="shared" si="2"/>
        <v>0</v>
      </c>
      <c r="K27" s="67">
        <f t="shared" si="3"/>
        <v>49428.350400000003</v>
      </c>
      <c r="L27" s="65"/>
    </row>
    <row r="28" spans="2:12" x14ac:dyDescent="0.35">
      <c r="B28" s="75" t="s">
        <v>261</v>
      </c>
      <c r="C28" s="63" t="s">
        <v>194</v>
      </c>
      <c r="D28" s="94" t="s">
        <v>25</v>
      </c>
      <c r="E28" s="67">
        <f>E26*1.1</f>
        <v>141.24</v>
      </c>
      <c r="F28" s="69">
        <v>371.91</v>
      </c>
      <c r="G28" s="67"/>
      <c r="H28" s="67">
        <f t="shared" si="0"/>
        <v>371.91</v>
      </c>
      <c r="I28" s="67">
        <f t="shared" si="1"/>
        <v>52528.568400000004</v>
      </c>
      <c r="J28" s="67">
        <f t="shared" si="2"/>
        <v>0</v>
      </c>
      <c r="K28" s="67">
        <f t="shared" si="3"/>
        <v>52528.568400000004</v>
      </c>
      <c r="L28" s="65"/>
    </row>
    <row r="29" spans="2:12" x14ac:dyDescent="0.35">
      <c r="B29" s="75">
        <v>2</v>
      </c>
      <c r="C29" s="89" t="s">
        <v>395</v>
      </c>
      <c r="D29" s="71"/>
      <c r="E29" s="69"/>
      <c r="F29" s="95"/>
      <c r="G29" s="67"/>
      <c r="H29" s="67">
        <f t="shared" si="0"/>
        <v>0</v>
      </c>
      <c r="I29" s="67">
        <f t="shared" si="1"/>
        <v>0</v>
      </c>
      <c r="J29" s="67">
        <f t="shared" si="2"/>
        <v>0</v>
      </c>
      <c r="K29" s="67">
        <f t="shared" si="3"/>
        <v>0</v>
      </c>
      <c r="L29" s="87"/>
    </row>
    <row r="30" spans="2:12" x14ac:dyDescent="0.35">
      <c r="B30" s="75" t="s">
        <v>173</v>
      </c>
      <c r="C30" s="91" t="s">
        <v>401</v>
      </c>
      <c r="D30" s="92" t="s">
        <v>25</v>
      </c>
      <c r="E30" s="69">
        <f>ROUND(791.3,1)</f>
        <v>791.3</v>
      </c>
      <c r="F30" s="96"/>
      <c r="G30" s="67">
        <v>100</v>
      </c>
      <c r="H30" s="67">
        <f t="shared" si="0"/>
        <v>100</v>
      </c>
      <c r="I30" s="67">
        <f t="shared" si="1"/>
        <v>0</v>
      </c>
      <c r="J30" s="67">
        <f t="shared" si="2"/>
        <v>79130</v>
      </c>
      <c r="K30" s="67">
        <f t="shared" si="3"/>
        <v>79130</v>
      </c>
      <c r="L30" s="87"/>
    </row>
    <row r="31" spans="2:12" x14ac:dyDescent="0.35">
      <c r="B31" s="75" t="s">
        <v>241</v>
      </c>
      <c r="C31" s="63" t="s">
        <v>402</v>
      </c>
      <c r="D31" s="92" t="s">
        <v>31</v>
      </c>
      <c r="E31" s="69">
        <f>E30*0.2</f>
        <v>158.26</v>
      </c>
      <c r="F31" s="69">
        <v>305</v>
      </c>
      <c r="G31" s="67"/>
      <c r="H31" s="67">
        <f t="shared" si="0"/>
        <v>305</v>
      </c>
      <c r="I31" s="67">
        <f t="shared" si="1"/>
        <v>48269.299999999996</v>
      </c>
      <c r="J31" s="67">
        <f t="shared" si="2"/>
        <v>0</v>
      </c>
      <c r="K31" s="67">
        <f t="shared" si="3"/>
        <v>48269.299999999996</v>
      </c>
      <c r="L31" s="87"/>
    </row>
    <row r="32" spans="2:12" x14ac:dyDescent="0.35">
      <c r="B32" s="75" t="s">
        <v>246</v>
      </c>
      <c r="C32" s="110" t="s">
        <v>198</v>
      </c>
      <c r="D32" s="92" t="s">
        <v>25</v>
      </c>
      <c r="E32" s="77">
        <v>791</v>
      </c>
      <c r="F32" s="67"/>
      <c r="G32" s="67">
        <v>40</v>
      </c>
      <c r="H32" s="67">
        <f t="shared" si="0"/>
        <v>40</v>
      </c>
      <c r="I32" s="67">
        <f t="shared" si="1"/>
        <v>0</v>
      </c>
      <c r="J32" s="67">
        <f t="shared" si="2"/>
        <v>31640</v>
      </c>
      <c r="K32" s="67">
        <f t="shared" si="3"/>
        <v>31640</v>
      </c>
      <c r="L32" s="87"/>
    </row>
    <row r="33" spans="2:12" x14ac:dyDescent="0.35">
      <c r="B33" s="75" t="s">
        <v>262</v>
      </c>
      <c r="C33" s="93" t="s">
        <v>199</v>
      </c>
      <c r="D33" s="92" t="s">
        <v>25</v>
      </c>
      <c r="E33" s="69">
        <f>E32*1.1</f>
        <v>870.1</v>
      </c>
      <c r="F33" s="67">
        <v>15.97</v>
      </c>
      <c r="G33" s="67"/>
      <c r="H33" s="67">
        <f t="shared" si="0"/>
        <v>15.97</v>
      </c>
      <c r="I33" s="67">
        <f t="shared" si="1"/>
        <v>13895.497000000001</v>
      </c>
      <c r="J33" s="67">
        <f t="shared" si="2"/>
        <v>0</v>
      </c>
      <c r="K33" s="67">
        <f t="shared" si="3"/>
        <v>13895.497000000001</v>
      </c>
      <c r="L33" s="87"/>
    </row>
    <row r="34" spans="2:12" ht="31" x14ac:dyDescent="0.35">
      <c r="B34" s="75" t="s">
        <v>263</v>
      </c>
      <c r="C34" s="110" t="s">
        <v>396</v>
      </c>
      <c r="D34" s="92" t="s">
        <v>25</v>
      </c>
      <c r="E34" s="67">
        <v>791.3</v>
      </c>
      <c r="F34" s="96"/>
      <c r="G34" s="67">
        <v>850</v>
      </c>
      <c r="H34" s="67">
        <f t="shared" si="0"/>
        <v>850</v>
      </c>
      <c r="I34" s="67">
        <f t="shared" si="1"/>
        <v>0</v>
      </c>
      <c r="J34" s="67">
        <f t="shared" si="2"/>
        <v>672605</v>
      </c>
      <c r="K34" s="67">
        <f t="shared" si="3"/>
        <v>672605</v>
      </c>
      <c r="L34" s="87"/>
    </row>
    <row r="35" spans="2:12" x14ac:dyDescent="0.35">
      <c r="B35" s="75" t="s">
        <v>264</v>
      </c>
      <c r="C35" s="111" t="s">
        <v>200</v>
      </c>
      <c r="D35" s="92" t="s">
        <v>26</v>
      </c>
      <c r="E35" s="67">
        <f>E34*0.25*1.3</f>
        <v>257.17250000000001</v>
      </c>
      <c r="F35" s="69">
        <v>7200</v>
      </c>
      <c r="G35" s="67"/>
      <c r="H35" s="67">
        <f t="shared" si="0"/>
        <v>7200</v>
      </c>
      <c r="I35" s="67">
        <f t="shared" si="1"/>
        <v>1851642</v>
      </c>
      <c r="J35" s="67">
        <f t="shared" si="2"/>
        <v>0</v>
      </c>
      <c r="K35" s="67">
        <f t="shared" si="3"/>
        <v>1851642</v>
      </c>
      <c r="L35" s="87"/>
    </row>
    <row r="36" spans="2:12" x14ac:dyDescent="0.35">
      <c r="B36" s="75" t="s">
        <v>265</v>
      </c>
      <c r="C36" s="91" t="s">
        <v>393</v>
      </c>
      <c r="D36" s="92" t="s">
        <v>25</v>
      </c>
      <c r="E36" s="69">
        <v>791.3</v>
      </c>
      <c r="F36" s="67"/>
      <c r="G36" s="67">
        <v>40</v>
      </c>
      <c r="H36" s="67">
        <f t="shared" si="0"/>
        <v>40</v>
      </c>
      <c r="I36" s="67">
        <f t="shared" si="1"/>
        <v>0</v>
      </c>
      <c r="J36" s="67">
        <f t="shared" si="2"/>
        <v>31652</v>
      </c>
      <c r="K36" s="67">
        <f t="shared" si="3"/>
        <v>31652</v>
      </c>
      <c r="L36" s="87"/>
    </row>
    <row r="37" spans="2:12" x14ac:dyDescent="0.35">
      <c r="B37" s="75" t="s">
        <v>266</v>
      </c>
      <c r="C37" s="63" t="s">
        <v>190</v>
      </c>
      <c r="D37" s="92" t="s">
        <v>25</v>
      </c>
      <c r="E37" s="69">
        <f>E36*1.1</f>
        <v>870.43000000000006</v>
      </c>
      <c r="F37" s="67">
        <v>15.97</v>
      </c>
      <c r="G37" s="67"/>
      <c r="H37" s="67">
        <f t="shared" si="0"/>
        <v>15.97</v>
      </c>
      <c r="I37" s="67">
        <f t="shared" si="1"/>
        <v>13900.767100000001</v>
      </c>
      <c r="J37" s="67">
        <f t="shared" si="2"/>
        <v>0</v>
      </c>
      <c r="K37" s="67">
        <f t="shared" si="3"/>
        <v>13900.767100000001</v>
      </c>
      <c r="L37" s="87"/>
    </row>
    <row r="38" spans="2:12" ht="62" x14ac:dyDescent="0.35">
      <c r="B38" s="75" t="s">
        <v>267</v>
      </c>
      <c r="C38" s="74" t="s">
        <v>410</v>
      </c>
      <c r="D38" s="92" t="s">
        <v>25</v>
      </c>
      <c r="E38" s="69">
        <f>E30</f>
        <v>791.3</v>
      </c>
      <c r="F38" s="96"/>
      <c r="G38" s="67">
        <v>600</v>
      </c>
      <c r="H38" s="67">
        <f t="shared" si="0"/>
        <v>600</v>
      </c>
      <c r="I38" s="67">
        <f t="shared" si="1"/>
        <v>0</v>
      </c>
      <c r="J38" s="67">
        <f t="shared" si="2"/>
        <v>474780</v>
      </c>
      <c r="K38" s="67">
        <f t="shared" si="3"/>
        <v>474780</v>
      </c>
      <c r="L38" s="87"/>
    </row>
    <row r="39" spans="2:12" x14ac:dyDescent="0.35">
      <c r="B39" s="75" t="s">
        <v>268</v>
      </c>
      <c r="C39" s="93" t="s">
        <v>411</v>
      </c>
      <c r="D39" s="92" t="s">
        <v>26</v>
      </c>
      <c r="E39" s="69">
        <f>E38*0.05*1.02+(0.1*0.1/2*182.4)</f>
        <v>41.268299999999996</v>
      </c>
      <c r="F39" s="78">
        <v>7950</v>
      </c>
      <c r="G39" s="67"/>
      <c r="H39" s="67">
        <f t="shared" si="0"/>
        <v>7950</v>
      </c>
      <c r="I39" s="67">
        <f t="shared" si="1"/>
        <v>328082.98499999999</v>
      </c>
      <c r="J39" s="67">
        <f t="shared" si="2"/>
        <v>0</v>
      </c>
      <c r="K39" s="67">
        <f t="shared" si="3"/>
        <v>328082.98499999999</v>
      </c>
      <c r="L39" s="87"/>
    </row>
    <row r="40" spans="2:12" x14ac:dyDescent="0.35">
      <c r="B40" s="75" t="s">
        <v>269</v>
      </c>
      <c r="C40" s="63" t="s">
        <v>192</v>
      </c>
      <c r="D40" s="97" t="s">
        <v>25</v>
      </c>
      <c r="E40" s="69">
        <f>E30*1.1</f>
        <v>870.43000000000006</v>
      </c>
      <c r="F40" s="69">
        <v>181.29</v>
      </c>
      <c r="G40" s="67"/>
      <c r="H40" s="67">
        <f t="shared" si="0"/>
        <v>181.29</v>
      </c>
      <c r="I40" s="67">
        <f t="shared" si="1"/>
        <v>157800.25469999999</v>
      </c>
      <c r="J40" s="67">
        <f t="shared" si="2"/>
        <v>0</v>
      </c>
      <c r="K40" s="67">
        <f t="shared" si="3"/>
        <v>157800.25469999999</v>
      </c>
      <c r="L40" s="87"/>
    </row>
    <row r="41" spans="2:12" ht="31" x14ac:dyDescent="0.35">
      <c r="B41" s="75" t="s">
        <v>270</v>
      </c>
      <c r="C41" s="79" t="s">
        <v>413</v>
      </c>
      <c r="D41" s="97" t="s">
        <v>25</v>
      </c>
      <c r="E41" s="78">
        <f>E30</f>
        <v>791.3</v>
      </c>
      <c r="F41" s="98"/>
      <c r="G41" s="99">
        <v>100</v>
      </c>
      <c r="H41" s="67">
        <f t="shared" si="0"/>
        <v>100</v>
      </c>
      <c r="I41" s="67">
        <f t="shared" si="1"/>
        <v>0</v>
      </c>
      <c r="J41" s="67">
        <f t="shared" si="2"/>
        <v>79130</v>
      </c>
      <c r="K41" s="67">
        <f t="shared" si="3"/>
        <v>79130</v>
      </c>
      <c r="L41" s="87"/>
    </row>
    <row r="42" spans="2:12" x14ac:dyDescent="0.35">
      <c r="B42" s="75" t="s">
        <v>271</v>
      </c>
      <c r="C42" s="63" t="s">
        <v>402</v>
      </c>
      <c r="D42" s="94" t="s">
        <v>31</v>
      </c>
      <c r="E42" s="69">
        <f>E41*0.2</f>
        <v>158.26</v>
      </c>
      <c r="F42" s="69">
        <v>305</v>
      </c>
      <c r="G42" s="67"/>
      <c r="H42" s="67">
        <f t="shared" si="0"/>
        <v>305</v>
      </c>
      <c r="I42" s="67">
        <f t="shared" si="1"/>
        <v>48269.299999999996</v>
      </c>
      <c r="J42" s="67">
        <f t="shared" si="2"/>
        <v>0</v>
      </c>
      <c r="K42" s="67">
        <f t="shared" si="3"/>
        <v>48269.299999999996</v>
      </c>
      <c r="L42" s="87"/>
    </row>
    <row r="43" spans="2:12" ht="46.5" x14ac:dyDescent="0.35">
      <c r="B43" s="75" t="s">
        <v>272</v>
      </c>
      <c r="C43" s="91" t="s">
        <v>201</v>
      </c>
      <c r="D43" s="92" t="s">
        <v>25</v>
      </c>
      <c r="E43" s="69">
        <v>791.3</v>
      </c>
      <c r="F43" s="96"/>
      <c r="G43" s="67">
        <v>1050</v>
      </c>
      <c r="H43" s="67">
        <f t="shared" si="0"/>
        <v>1050</v>
      </c>
      <c r="I43" s="67">
        <f t="shared" si="1"/>
        <v>0</v>
      </c>
      <c r="J43" s="67">
        <f t="shared" si="2"/>
        <v>830865</v>
      </c>
      <c r="K43" s="67">
        <f t="shared" si="3"/>
        <v>830865</v>
      </c>
      <c r="L43" s="87"/>
    </row>
    <row r="44" spans="2:12" ht="31" x14ac:dyDescent="0.35">
      <c r="B44" s="75" t="s">
        <v>273</v>
      </c>
      <c r="C44" s="63" t="s">
        <v>193</v>
      </c>
      <c r="D44" s="94" t="s">
        <v>25</v>
      </c>
      <c r="E44" s="69">
        <f>E43*1.1</f>
        <v>870.43000000000006</v>
      </c>
      <c r="F44" s="69">
        <v>349.96</v>
      </c>
      <c r="G44" s="67"/>
      <c r="H44" s="67">
        <f t="shared" si="0"/>
        <v>349.96</v>
      </c>
      <c r="I44" s="67">
        <f t="shared" si="1"/>
        <v>304615.68280000001</v>
      </c>
      <c r="J44" s="67">
        <f t="shared" si="2"/>
        <v>0</v>
      </c>
      <c r="K44" s="67">
        <f t="shared" si="3"/>
        <v>304615.68280000001</v>
      </c>
      <c r="L44" s="87"/>
    </row>
    <row r="45" spans="2:12" x14ac:dyDescent="0.35">
      <c r="B45" s="75" t="s">
        <v>274</v>
      </c>
      <c r="C45" s="63" t="s">
        <v>194</v>
      </c>
      <c r="D45" s="94" t="s">
        <v>25</v>
      </c>
      <c r="E45" s="69">
        <f>E43*1.1</f>
        <v>870.43000000000006</v>
      </c>
      <c r="F45" s="69">
        <v>371.91</v>
      </c>
      <c r="G45" s="67"/>
      <c r="H45" s="67">
        <f t="shared" si="0"/>
        <v>371.91</v>
      </c>
      <c r="I45" s="67">
        <f t="shared" si="1"/>
        <v>323721.62130000006</v>
      </c>
      <c r="J45" s="67">
        <f t="shared" si="2"/>
        <v>0</v>
      </c>
      <c r="K45" s="67">
        <f t="shared" si="3"/>
        <v>323721.62130000006</v>
      </c>
      <c r="L45" s="87"/>
    </row>
    <row r="46" spans="2:12" x14ac:dyDescent="0.35">
      <c r="B46" s="75" t="s">
        <v>275</v>
      </c>
      <c r="C46" s="91" t="s">
        <v>202</v>
      </c>
      <c r="D46" s="92" t="s">
        <v>32</v>
      </c>
      <c r="E46" s="69">
        <v>2</v>
      </c>
      <c r="F46" s="96"/>
      <c r="G46" s="67">
        <v>500</v>
      </c>
      <c r="H46" s="67">
        <f t="shared" si="0"/>
        <v>500</v>
      </c>
      <c r="I46" s="67">
        <f t="shared" si="1"/>
        <v>0</v>
      </c>
      <c r="J46" s="67">
        <f t="shared" si="2"/>
        <v>1000</v>
      </c>
      <c r="K46" s="67">
        <f t="shared" si="3"/>
        <v>1000</v>
      </c>
      <c r="L46" s="65"/>
    </row>
    <row r="47" spans="2:12" x14ac:dyDescent="0.35">
      <c r="B47" s="75" t="s">
        <v>276</v>
      </c>
      <c r="C47" s="100" t="s">
        <v>203</v>
      </c>
      <c r="D47" s="92" t="s">
        <v>32</v>
      </c>
      <c r="E47" s="69">
        <v>2</v>
      </c>
      <c r="F47" s="96">
        <v>1375</v>
      </c>
      <c r="G47" s="67"/>
      <c r="H47" s="67">
        <f t="shared" si="0"/>
        <v>1375</v>
      </c>
      <c r="I47" s="67">
        <f t="shared" si="1"/>
        <v>2750</v>
      </c>
      <c r="J47" s="67">
        <f t="shared" si="2"/>
        <v>0</v>
      </c>
      <c r="K47" s="67">
        <f t="shared" si="3"/>
        <v>2750</v>
      </c>
      <c r="L47" s="65"/>
    </row>
    <row r="48" spans="2:12" ht="31" x14ac:dyDescent="0.35">
      <c r="B48" s="75" t="s">
        <v>277</v>
      </c>
      <c r="C48" s="120" t="s">
        <v>205</v>
      </c>
      <c r="D48" s="92" t="s">
        <v>196</v>
      </c>
      <c r="E48" s="69">
        <f>120.93+42.46+31.39+25.91+8.26</f>
        <v>228.95000000000002</v>
      </c>
      <c r="F48" s="96"/>
      <c r="G48" s="67">
        <v>1500</v>
      </c>
      <c r="H48" s="67">
        <f t="shared" si="0"/>
        <v>1500</v>
      </c>
      <c r="I48" s="67">
        <f t="shared" si="1"/>
        <v>0</v>
      </c>
      <c r="J48" s="67">
        <f t="shared" si="2"/>
        <v>343425</v>
      </c>
      <c r="K48" s="67">
        <f t="shared" si="3"/>
        <v>343425</v>
      </c>
      <c r="L48" s="65"/>
    </row>
    <row r="49" spans="2:12" ht="31" x14ac:dyDescent="0.35">
      <c r="B49" s="75" t="s">
        <v>278</v>
      </c>
      <c r="C49" s="63" t="s">
        <v>206</v>
      </c>
      <c r="D49" s="92" t="s">
        <v>196</v>
      </c>
      <c r="E49" s="69">
        <f>E48*1.1</f>
        <v>251.84500000000003</v>
      </c>
      <c r="F49" s="96">
        <v>980</v>
      </c>
      <c r="G49" s="67"/>
      <c r="H49" s="67">
        <f t="shared" si="0"/>
        <v>980</v>
      </c>
      <c r="I49" s="67">
        <f t="shared" si="1"/>
        <v>246808.10000000003</v>
      </c>
      <c r="J49" s="67">
        <f t="shared" si="2"/>
        <v>0</v>
      </c>
      <c r="K49" s="67">
        <f t="shared" si="3"/>
        <v>246808.10000000003</v>
      </c>
      <c r="L49" s="65"/>
    </row>
    <row r="50" spans="2:12" ht="31" x14ac:dyDescent="0.35">
      <c r="B50" s="75" t="s">
        <v>279</v>
      </c>
      <c r="C50" s="63" t="s">
        <v>197</v>
      </c>
      <c r="D50" s="92" t="s">
        <v>32</v>
      </c>
      <c r="E50" s="69">
        <f>E48/2</f>
        <v>114.47500000000001</v>
      </c>
      <c r="F50" s="96">
        <v>2400</v>
      </c>
      <c r="G50" s="67"/>
      <c r="H50" s="67">
        <f t="shared" si="0"/>
        <v>2400</v>
      </c>
      <c r="I50" s="67">
        <f t="shared" si="1"/>
        <v>274740</v>
      </c>
      <c r="J50" s="67">
        <f t="shared" si="2"/>
        <v>0</v>
      </c>
      <c r="K50" s="67">
        <f t="shared" si="3"/>
        <v>274740</v>
      </c>
      <c r="L50" s="65"/>
    </row>
    <row r="51" spans="2:12" x14ac:dyDescent="0.35">
      <c r="B51" s="75" t="s">
        <v>280</v>
      </c>
      <c r="C51" s="120" t="s">
        <v>397</v>
      </c>
      <c r="D51" s="92" t="s">
        <v>196</v>
      </c>
      <c r="E51" s="69">
        <f>5.4+2.6+2.9+10.15</f>
        <v>21.05</v>
      </c>
      <c r="F51" s="101"/>
      <c r="G51" s="67">
        <v>600</v>
      </c>
      <c r="H51" s="67">
        <f t="shared" si="0"/>
        <v>600</v>
      </c>
      <c r="I51" s="67">
        <f t="shared" si="1"/>
        <v>0</v>
      </c>
      <c r="J51" s="67">
        <f t="shared" si="2"/>
        <v>12630</v>
      </c>
      <c r="K51" s="67">
        <f t="shared" si="3"/>
        <v>12630</v>
      </c>
      <c r="L51" s="65"/>
    </row>
    <row r="52" spans="2:12" x14ac:dyDescent="0.35">
      <c r="B52" s="75" t="s">
        <v>281</v>
      </c>
      <c r="C52" s="63" t="s">
        <v>398</v>
      </c>
      <c r="D52" s="92" t="s">
        <v>196</v>
      </c>
      <c r="E52" s="69">
        <f>E51*1.1</f>
        <v>23.155000000000001</v>
      </c>
      <c r="F52" s="96">
        <v>634</v>
      </c>
      <c r="G52" s="67"/>
      <c r="H52" s="67">
        <f t="shared" si="0"/>
        <v>634</v>
      </c>
      <c r="I52" s="67">
        <f t="shared" si="1"/>
        <v>14680.27</v>
      </c>
      <c r="J52" s="67">
        <f t="shared" si="2"/>
        <v>0</v>
      </c>
      <c r="K52" s="67">
        <f t="shared" si="3"/>
        <v>14680.27</v>
      </c>
      <c r="L52" s="65"/>
    </row>
    <row r="53" spans="2:12" x14ac:dyDescent="0.35">
      <c r="B53" s="75" t="s">
        <v>187</v>
      </c>
      <c r="C53" s="73" t="s">
        <v>207</v>
      </c>
      <c r="D53" s="71"/>
      <c r="E53" s="69"/>
      <c r="F53" s="69"/>
      <c r="G53" s="67"/>
      <c r="H53" s="67">
        <f t="shared" si="0"/>
        <v>0</v>
      </c>
      <c r="I53" s="67">
        <f t="shared" si="1"/>
        <v>0</v>
      </c>
      <c r="J53" s="67">
        <f t="shared" si="2"/>
        <v>0</v>
      </c>
      <c r="K53" s="67">
        <f t="shared" si="3"/>
        <v>0</v>
      </c>
      <c r="L53" s="65"/>
    </row>
    <row r="54" spans="2:12" x14ac:dyDescent="0.35">
      <c r="B54" s="75" t="s">
        <v>174</v>
      </c>
      <c r="C54" s="64" t="s">
        <v>401</v>
      </c>
      <c r="D54" s="71" t="s">
        <v>25</v>
      </c>
      <c r="E54" s="69">
        <v>130</v>
      </c>
      <c r="F54" s="69"/>
      <c r="G54" s="67">
        <v>100</v>
      </c>
      <c r="H54" s="67">
        <f t="shared" si="0"/>
        <v>100</v>
      </c>
      <c r="I54" s="67">
        <f t="shared" si="1"/>
        <v>0</v>
      </c>
      <c r="J54" s="67">
        <f t="shared" si="2"/>
        <v>13000</v>
      </c>
      <c r="K54" s="67">
        <f t="shared" si="3"/>
        <v>13000</v>
      </c>
      <c r="L54" s="65"/>
    </row>
    <row r="55" spans="2:12" x14ac:dyDescent="0.35">
      <c r="B55" s="75" t="s">
        <v>285</v>
      </c>
      <c r="C55" s="102" t="s">
        <v>402</v>
      </c>
      <c r="D55" s="71" t="s">
        <v>31</v>
      </c>
      <c r="E55" s="69">
        <f>E54*0.2</f>
        <v>26</v>
      </c>
      <c r="F55" s="69">
        <v>305</v>
      </c>
      <c r="G55" s="67"/>
      <c r="H55" s="67">
        <f t="shared" si="0"/>
        <v>305</v>
      </c>
      <c r="I55" s="67">
        <f t="shared" si="1"/>
        <v>7930</v>
      </c>
      <c r="J55" s="67">
        <f t="shared" si="2"/>
        <v>0</v>
      </c>
      <c r="K55" s="67">
        <f t="shared" si="3"/>
        <v>7930</v>
      </c>
      <c r="L55" s="65"/>
    </row>
    <row r="56" spans="2:12" x14ac:dyDescent="0.35">
      <c r="B56" s="75" t="s">
        <v>243</v>
      </c>
      <c r="C56" s="64" t="s">
        <v>189</v>
      </c>
      <c r="D56" s="71" t="s">
        <v>25</v>
      </c>
      <c r="E56" s="69">
        <v>130</v>
      </c>
      <c r="F56" s="69"/>
      <c r="G56" s="67">
        <v>430</v>
      </c>
      <c r="H56" s="67">
        <f t="shared" si="0"/>
        <v>430</v>
      </c>
      <c r="I56" s="67">
        <f t="shared" si="1"/>
        <v>0</v>
      </c>
      <c r="J56" s="67">
        <f t="shared" si="2"/>
        <v>55900</v>
      </c>
      <c r="K56" s="67">
        <f t="shared" si="3"/>
        <v>55900</v>
      </c>
      <c r="L56" s="65"/>
    </row>
    <row r="57" spans="2:12" x14ac:dyDescent="0.35">
      <c r="B57" s="75" t="s">
        <v>282</v>
      </c>
      <c r="C57" s="68" t="s">
        <v>211</v>
      </c>
      <c r="D57" s="71" t="s">
        <v>25</v>
      </c>
      <c r="E57" s="69">
        <f>E56*1.1</f>
        <v>143</v>
      </c>
      <c r="F57" s="69">
        <v>278</v>
      </c>
      <c r="G57" s="67"/>
      <c r="H57" s="67">
        <f t="shared" si="0"/>
        <v>278</v>
      </c>
      <c r="I57" s="67">
        <f t="shared" si="1"/>
        <v>39754</v>
      </c>
      <c r="J57" s="67">
        <f t="shared" si="2"/>
        <v>0</v>
      </c>
      <c r="K57" s="67">
        <f t="shared" si="3"/>
        <v>39754</v>
      </c>
      <c r="L57" s="65"/>
    </row>
    <row r="58" spans="2:12" ht="31" x14ac:dyDescent="0.35">
      <c r="B58" s="75" t="s">
        <v>286</v>
      </c>
      <c r="C58" s="64" t="s">
        <v>208</v>
      </c>
      <c r="D58" s="71" t="s">
        <v>25</v>
      </c>
      <c r="E58" s="69">
        <v>130</v>
      </c>
      <c r="F58" s="69"/>
      <c r="G58" s="67">
        <v>850</v>
      </c>
      <c r="H58" s="67">
        <f t="shared" si="0"/>
        <v>850</v>
      </c>
      <c r="I58" s="67">
        <f t="shared" si="1"/>
        <v>0</v>
      </c>
      <c r="J58" s="67">
        <f t="shared" si="2"/>
        <v>110500</v>
      </c>
      <c r="K58" s="67">
        <f t="shared" si="3"/>
        <v>110500</v>
      </c>
      <c r="L58" s="65"/>
    </row>
    <row r="59" spans="2:12" x14ac:dyDescent="0.35">
      <c r="B59" s="75" t="s">
        <v>284</v>
      </c>
      <c r="C59" s="102" t="s">
        <v>200</v>
      </c>
      <c r="D59" s="71" t="s">
        <v>26</v>
      </c>
      <c r="E59" s="69">
        <f>E58*0.339*1.3</f>
        <v>57.291000000000004</v>
      </c>
      <c r="F59" s="69">
        <v>7200</v>
      </c>
      <c r="G59" s="67"/>
      <c r="H59" s="67">
        <f t="shared" si="0"/>
        <v>7200</v>
      </c>
      <c r="I59" s="67">
        <f t="shared" si="1"/>
        <v>412495.2</v>
      </c>
      <c r="J59" s="67">
        <f t="shared" si="2"/>
        <v>0</v>
      </c>
      <c r="K59" s="67">
        <f t="shared" si="3"/>
        <v>412495.2</v>
      </c>
      <c r="L59" s="65"/>
    </row>
    <row r="60" spans="2:12" x14ac:dyDescent="0.35">
      <c r="B60" s="75" t="s">
        <v>287</v>
      </c>
      <c r="C60" s="64" t="s">
        <v>393</v>
      </c>
      <c r="D60" s="71" t="s">
        <v>25</v>
      </c>
      <c r="E60" s="69">
        <v>130</v>
      </c>
      <c r="F60" s="67"/>
      <c r="G60" s="67">
        <v>40</v>
      </c>
      <c r="H60" s="67">
        <f t="shared" si="0"/>
        <v>40</v>
      </c>
      <c r="I60" s="67">
        <f t="shared" si="1"/>
        <v>0</v>
      </c>
      <c r="J60" s="67">
        <f t="shared" si="2"/>
        <v>5200</v>
      </c>
      <c r="K60" s="67">
        <f t="shared" si="3"/>
        <v>5200</v>
      </c>
      <c r="L60" s="65"/>
    </row>
    <row r="61" spans="2:12" x14ac:dyDescent="0.35">
      <c r="B61" s="75" t="s">
        <v>283</v>
      </c>
      <c r="C61" s="102" t="s">
        <v>190</v>
      </c>
      <c r="D61" s="71" t="s">
        <v>25</v>
      </c>
      <c r="E61" s="69">
        <f>E60*1.1</f>
        <v>143</v>
      </c>
      <c r="F61" s="67">
        <v>15.97</v>
      </c>
      <c r="G61" s="67"/>
      <c r="H61" s="67">
        <f t="shared" si="0"/>
        <v>15.97</v>
      </c>
      <c r="I61" s="67">
        <f t="shared" si="1"/>
        <v>2283.71</v>
      </c>
      <c r="J61" s="67">
        <f t="shared" si="2"/>
        <v>0</v>
      </c>
      <c r="K61" s="67">
        <f t="shared" si="3"/>
        <v>2283.71</v>
      </c>
      <c r="L61" s="65"/>
    </row>
    <row r="62" spans="2:12" x14ac:dyDescent="0.35">
      <c r="B62" s="75" t="s">
        <v>175</v>
      </c>
      <c r="C62" s="73" t="s">
        <v>210</v>
      </c>
      <c r="D62" s="71"/>
      <c r="E62" s="69"/>
      <c r="F62" s="69"/>
      <c r="G62" s="67"/>
      <c r="H62" s="67">
        <f t="shared" si="0"/>
        <v>0</v>
      </c>
      <c r="I62" s="67">
        <f t="shared" si="1"/>
        <v>0</v>
      </c>
      <c r="J62" s="67">
        <f t="shared" si="2"/>
        <v>0</v>
      </c>
      <c r="K62" s="67">
        <f t="shared" si="3"/>
        <v>0</v>
      </c>
      <c r="L62" s="65"/>
    </row>
    <row r="63" spans="2:12" x14ac:dyDescent="0.35">
      <c r="B63" s="75" t="s">
        <v>176</v>
      </c>
      <c r="C63" s="64" t="s">
        <v>401</v>
      </c>
      <c r="D63" s="71" t="s">
        <v>25</v>
      </c>
      <c r="E63" s="69">
        <v>84</v>
      </c>
      <c r="F63" s="69"/>
      <c r="G63" s="67">
        <v>100</v>
      </c>
      <c r="H63" s="67">
        <f t="shared" si="0"/>
        <v>100</v>
      </c>
      <c r="I63" s="67">
        <f t="shared" si="1"/>
        <v>0</v>
      </c>
      <c r="J63" s="67">
        <f t="shared" si="2"/>
        <v>8400</v>
      </c>
      <c r="K63" s="67">
        <f t="shared" si="3"/>
        <v>8400</v>
      </c>
      <c r="L63" s="65"/>
    </row>
    <row r="64" spans="2:12" x14ac:dyDescent="0.35">
      <c r="B64" s="75" t="s">
        <v>288</v>
      </c>
      <c r="C64" s="102" t="s">
        <v>402</v>
      </c>
      <c r="D64" s="71" t="s">
        <v>31</v>
      </c>
      <c r="E64" s="69">
        <f>E63*0.2</f>
        <v>16.8</v>
      </c>
      <c r="F64" s="69">
        <v>305</v>
      </c>
      <c r="G64" s="67"/>
      <c r="H64" s="67">
        <f t="shared" si="0"/>
        <v>305</v>
      </c>
      <c r="I64" s="67">
        <f t="shared" si="1"/>
        <v>5124</v>
      </c>
      <c r="J64" s="67">
        <f t="shared" si="2"/>
        <v>0</v>
      </c>
      <c r="K64" s="67">
        <f t="shared" si="3"/>
        <v>5124</v>
      </c>
      <c r="L64" s="65"/>
    </row>
    <row r="65" spans="2:12" x14ac:dyDescent="0.35">
      <c r="B65" s="75" t="s">
        <v>289</v>
      </c>
      <c r="C65" s="64" t="s">
        <v>212</v>
      </c>
      <c r="D65" s="71" t="s">
        <v>25</v>
      </c>
      <c r="E65" s="69">
        <v>84</v>
      </c>
      <c r="F65" s="69"/>
      <c r="G65" s="67">
        <v>430</v>
      </c>
      <c r="H65" s="67">
        <f t="shared" si="0"/>
        <v>430</v>
      </c>
      <c r="I65" s="67">
        <f t="shared" si="1"/>
        <v>0</v>
      </c>
      <c r="J65" s="67">
        <f t="shared" si="2"/>
        <v>36120</v>
      </c>
      <c r="K65" s="67">
        <f t="shared" si="3"/>
        <v>36120</v>
      </c>
      <c r="L65" s="65"/>
    </row>
    <row r="66" spans="2:12" x14ac:dyDescent="0.35">
      <c r="B66" s="75" t="s">
        <v>290</v>
      </c>
      <c r="C66" s="68" t="s">
        <v>213</v>
      </c>
      <c r="D66" s="71" t="s">
        <v>25</v>
      </c>
      <c r="E66" s="69">
        <f>E65*1.1</f>
        <v>92.4</v>
      </c>
      <c r="F66" s="69">
        <v>244.1</v>
      </c>
      <c r="G66" s="67"/>
      <c r="H66" s="67">
        <f t="shared" si="0"/>
        <v>244.1</v>
      </c>
      <c r="I66" s="67">
        <f t="shared" si="1"/>
        <v>22554.84</v>
      </c>
      <c r="J66" s="67">
        <f t="shared" si="2"/>
        <v>0</v>
      </c>
      <c r="K66" s="67">
        <f t="shared" si="3"/>
        <v>22554.84</v>
      </c>
      <c r="L66" s="65"/>
    </row>
    <row r="67" spans="2:12" ht="31" x14ac:dyDescent="0.35">
      <c r="B67" s="75" t="s">
        <v>291</v>
      </c>
      <c r="C67" s="64" t="s">
        <v>399</v>
      </c>
      <c r="D67" s="71" t="s">
        <v>25</v>
      </c>
      <c r="E67" s="69">
        <v>84</v>
      </c>
      <c r="F67" s="69"/>
      <c r="G67" s="67">
        <v>850</v>
      </c>
      <c r="H67" s="67">
        <f t="shared" si="0"/>
        <v>850</v>
      </c>
      <c r="I67" s="67">
        <f t="shared" si="1"/>
        <v>0</v>
      </c>
      <c r="J67" s="67">
        <f t="shared" si="2"/>
        <v>71400</v>
      </c>
      <c r="K67" s="67">
        <f t="shared" si="3"/>
        <v>71400</v>
      </c>
      <c r="L67" s="65"/>
    </row>
    <row r="68" spans="2:12" x14ac:dyDescent="0.35">
      <c r="B68" s="75" t="s">
        <v>292</v>
      </c>
      <c r="C68" s="102" t="s">
        <v>200</v>
      </c>
      <c r="D68" s="71" t="s">
        <v>26</v>
      </c>
      <c r="E68" s="69">
        <f>E67*0.46*1.3</f>
        <v>50.231999999999999</v>
      </c>
      <c r="F68" s="69">
        <v>7200</v>
      </c>
      <c r="G68" s="67"/>
      <c r="H68" s="67">
        <f t="shared" si="0"/>
        <v>7200</v>
      </c>
      <c r="I68" s="67">
        <f t="shared" si="1"/>
        <v>361670.40000000002</v>
      </c>
      <c r="J68" s="67">
        <f t="shared" si="2"/>
        <v>0</v>
      </c>
      <c r="K68" s="67">
        <f t="shared" si="3"/>
        <v>361670.40000000002</v>
      </c>
      <c r="L68" s="65"/>
    </row>
    <row r="69" spans="2:12" x14ac:dyDescent="0.35">
      <c r="B69" s="75" t="s">
        <v>293</v>
      </c>
      <c r="C69" s="64" t="s">
        <v>393</v>
      </c>
      <c r="D69" s="71" t="s">
        <v>25</v>
      </c>
      <c r="E69" s="69">
        <v>84</v>
      </c>
      <c r="F69" s="67"/>
      <c r="G69" s="67">
        <v>40</v>
      </c>
      <c r="H69" s="67">
        <f t="shared" si="0"/>
        <v>40</v>
      </c>
      <c r="I69" s="67">
        <f t="shared" si="1"/>
        <v>0</v>
      </c>
      <c r="J69" s="67">
        <f t="shared" si="2"/>
        <v>3360</v>
      </c>
      <c r="K69" s="67">
        <f t="shared" si="3"/>
        <v>3360</v>
      </c>
      <c r="L69" s="65"/>
    </row>
    <row r="70" spans="2:12" x14ac:dyDescent="0.35">
      <c r="B70" s="75" t="s">
        <v>294</v>
      </c>
      <c r="C70" s="102" t="s">
        <v>190</v>
      </c>
      <c r="D70" s="71" t="s">
        <v>25</v>
      </c>
      <c r="E70" s="69">
        <f>E69*1.1</f>
        <v>92.4</v>
      </c>
      <c r="F70" s="67">
        <v>15.97</v>
      </c>
      <c r="G70" s="67"/>
      <c r="H70" s="67">
        <f t="shared" si="0"/>
        <v>15.97</v>
      </c>
      <c r="I70" s="67">
        <f t="shared" si="1"/>
        <v>1475.6280000000002</v>
      </c>
      <c r="J70" s="67">
        <f t="shared" si="2"/>
        <v>0</v>
      </c>
      <c r="K70" s="67">
        <f t="shared" si="3"/>
        <v>1475.6280000000002</v>
      </c>
      <c r="L70" s="65"/>
    </row>
    <row r="71" spans="2:12" ht="31" x14ac:dyDescent="0.35">
      <c r="B71" s="75" t="s">
        <v>295</v>
      </c>
      <c r="C71" s="72" t="s">
        <v>414</v>
      </c>
      <c r="D71" s="71" t="s">
        <v>25</v>
      </c>
      <c r="E71" s="69">
        <v>84</v>
      </c>
      <c r="F71" s="69"/>
      <c r="G71" s="67">
        <v>600</v>
      </c>
      <c r="H71" s="67">
        <f t="shared" si="0"/>
        <v>600</v>
      </c>
      <c r="I71" s="67">
        <f t="shared" si="1"/>
        <v>0</v>
      </c>
      <c r="J71" s="67">
        <f t="shared" si="2"/>
        <v>50400</v>
      </c>
      <c r="K71" s="67">
        <f t="shared" si="3"/>
        <v>50400</v>
      </c>
      <c r="L71" s="65"/>
    </row>
    <row r="72" spans="2:12" x14ac:dyDescent="0.35">
      <c r="B72" s="75" t="s">
        <v>296</v>
      </c>
      <c r="C72" s="93" t="s">
        <v>408</v>
      </c>
      <c r="D72" s="71" t="s">
        <v>26</v>
      </c>
      <c r="E72" s="69">
        <f>E71*0.08*1.02</f>
        <v>6.8544</v>
      </c>
      <c r="F72" s="78">
        <v>7950</v>
      </c>
      <c r="G72" s="67"/>
      <c r="H72" s="67">
        <f t="shared" si="0"/>
        <v>7950</v>
      </c>
      <c r="I72" s="67">
        <f t="shared" si="1"/>
        <v>54492.480000000003</v>
      </c>
      <c r="J72" s="67">
        <f t="shared" si="2"/>
        <v>0</v>
      </c>
      <c r="K72" s="67">
        <f t="shared" si="3"/>
        <v>54492.480000000003</v>
      </c>
      <c r="L72" s="65"/>
    </row>
    <row r="73" spans="2:12" x14ac:dyDescent="0.35">
      <c r="B73" s="75" t="s">
        <v>297</v>
      </c>
      <c r="C73" s="102" t="s">
        <v>192</v>
      </c>
      <c r="D73" s="92" t="s">
        <v>25</v>
      </c>
      <c r="E73" s="69">
        <f>E63*1.1</f>
        <v>92.4</v>
      </c>
      <c r="F73" s="69">
        <v>181.29</v>
      </c>
      <c r="G73" s="67"/>
      <c r="H73" s="67">
        <f t="shared" si="0"/>
        <v>181.29</v>
      </c>
      <c r="I73" s="67">
        <f t="shared" si="1"/>
        <v>16751.196</v>
      </c>
      <c r="J73" s="67">
        <f t="shared" si="2"/>
        <v>0</v>
      </c>
      <c r="K73" s="67">
        <f t="shared" si="3"/>
        <v>16751.196</v>
      </c>
      <c r="L73" s="65"/>
    </row>
    <row r="74" spans="2:12" x14ac:dyDescent="0.35">
      <c r="B74" s="75" t="s">
        <v>170</v>
      </c>
      <c r="C74" s="73" t="s">
        <v>214</v>
      </c>
      <c r="D74" s="71"/>
      <c r="E74" s="69"/>
      <c r="F74" s="69"/>
      <c r="G74" s="67"/>
      <c r="H74" s="67">
        <f t="shared" si="0"/>
        <v>0</v>
      </c>
      <c r="I74" s="67">
        <f t="shared" si="1"/>
        <v>0</v>
      </c>
      <c r="J74" s="67">
        <f t="shared" si="2"/>
        <v>0</v>
      </c>
      <c r="K74" s="67">
        <f t="shared" si="3"/>
        <v>0</v>
      </c>
      <c r="L74" s="65"/>
    </row>
    <row r="75" spans="2:12" x14ac:dyDescent="0.35">
      <c r="B75" s="75" t="s">
        <v>177</v>
      </c>
      <c r="C75" s="64" t="s">
        <v>401</v>
      </c>
      <c r="D75" s="71" t="s">
        <v>25</v>
      </c>
      <c r="E75" s="69">
        <v>171.5</v>
      </c>
      <c r="F75" s="69"/>
      <c r="G75" s="67">
        <v>100</v>
      </c>
      <c r="H75" s="67">
        <f t="shared" ref="H75:H141" si="4">F75+G75</f>
        <v>100</v>
      </c>
      <c r="I75" s="67">
        <f t="shared" ref="I75:I141" si="5">F75*E75</f>
        <v>0</v>
      </c>
      <c r="J75" s="67">
        <f t="shared" ref="J75:J141" si="6">G75*E75</f>
        <v>17150</v>
      </c>
      <c r="K75" s="67">
        <f t="shared" ref="K75:K141" si="7">I75+J75</f>
        <v>17150</v>
      </c>
      <c r="L75" s="65"/>
    </row>
    <row r="76" spans="2:12" x14ac:dyDescent="0.35">
      <c r="B76" s="75" t="s">
        <v>299</v>
      </c>
      <c r="C76" s="102" t="s">
        <v>402</v>
      </c>
      <c r="D76" s="71" t="s">
        <v>31</v>
      </c>
      <c r="E76" s="69">
        <f>E75*0.2</f>
        <v>34.300000000000004</v>
      </c>
      <c r="F76" s="69">
        <v>305</v>
      </c>
      <c r="G76" s="67"/>
      <c r="H76" s="67">
        <f t="shared" si="4"/>
        <v>305</v>
      </c>
      <c r="I76" s="67">
        <f t="shared" si="5"/>
        <v>10461.500000000002</v>
      </c>
      <c r="J76" s="67">
        <f t="shared" si="6"/>
        <v>0</v>
      </c>
      <c r="K76" s="67">
        <f t="shared" si="7"/>
        <v>10461.500000000002</v>
      </c>
      <c r="L76" s="65"/>
    </row>
    <row r="77" spans="2:12" x14ac:dyDescent="0.35">
      <c r="B77" s="75" t="s">
        <v>300</v>
      </c>
      <c r="C77" s="64" t="s">
        <v>189</v>
      </c>
      <c r="D77" s="71" t="s">
        <v>25</v>
      </c>
      <c r="E77" s="69">
        <v>171.5</v>
      </c>
      <c r="F77" s="69"/>
      <c r="G77" s="67">
        <v>430</v>
      </c>
      <c r="H77" s="67">
        <f t="shared" si="4"/>
        <v>430</v>
      </c>
      <c r="I77" s="67">
        <f t="shared" si="5"/>
        <v>0</v>
      </c>
      <c r="J77" s="67">
        <f t="shared" si="6"/>
        <v>73745</v>
      </c>
      <c r="K77" s="67">
        <f t="shared" si="7"/>
        <v>73745</v>
      </c>
      <c r="L77" s="65"/>
    </row>
    <row r="78" spans="2:12" x14ac:dyDescent="0.35">
      <c r="B78" s="75" t="s">
        <v>301</v>
      </c>
      <c r="C78" s="68" t="s">
        <v>211</v>
      </c>
      <c r="D78" s="71" t="s">
        <v>25</v>
      </c>
      <c r="E78" s="69">
        <f>E77*1.1</f>
        <v>188.65</v>
      </c>
      <c r="F78" s="69">
        <v>278</v>
      </c>
      <c r="G78" s="67"/>
      <c r="H78" s="67">
        <f t="shared" si="4"/>
        <v>278</v>
      </c>
      <c r="I78" s="67">
        <f t="shared" si="5"/>
        <v>52444.700000000004</v>
      </c>
      <c r="J78" s="67">
        <f t="shared" si="6"/>
        <v>0</v>
      </c>
      <c r="K78" s="67">
        <f t="shared" si="7"/>
        <v>52444.700000000004</v>
      </c>
      <c r="L78" s="65"/>
    </row>
    <row r="79" spans="2:12" ht="31" x14ac:dyDescent="0.35">
      <c r="B79" s="75" t="s">
        <v>302</v>
      </c>
      <c r="C79" s="64" t="s">
        <v>215</v>
      </c>
      <c r="D79" s="71" t="s">
        <v>25</v>
      </c>
      <c r="E79" s="69">
        <v>171.5</v>
      </c>
      <c r="F79" s="69"/>
      <c r="G79" s="67">
        <v>850</v>
      </c>
      <c r="H79" s="67">
        <f t="shared" si="4"/>
        <v>850</v>
      </c>
      <c r="I79" s="67">
        <f t="shared" si="5"/>
        <v>0</v>
      </c>
      <c r="J79" s="67">
        <f t="shared" si="6"/>
        <v>145775</v>
      </c>
      <c r="K79" s="67">
        <f t="shared" si="7"/>
        <v>145775</v>
      </c>
      <c r="L79" s="65"/>
    </row>
    <row r="80" spans="2:12" x14ac:dyDescent="0.35">
      <c r="B80" s="75" t="s">
        <v>303</v>
      </c>
      <c r="C80" s="102" t="s">
        <v>200</v>
      </c>
      <c r="D80" s="71" t="s">
        <v>26</v>
      </c>
      <c r="E80" s="69">
        <f>E79*0.295*1.3</f>
        <v>65.77024999999999</v>
      </c>
      <c r="F80" s="69">
        <v>7200</v>
      </c>
      <c r="G80" s="67"/>
      <c r="H80" s="67">
        <f t="shared" si="4"/>
        <v>7200</v>
      </c>
      <c r="I80" s="67">
        <f t="shared" si="5"/>
        <v>473545.79999999993</v>
      </c>
      <c r="J80" s="67">
        <f t="shared" si="6"/>
        <v>0</v>
      </c>
      <c r="K80" s="67">
        <f t="shared" si="7"/>
        <v>473545.79999999993</v>
      </c>
      <c r="L80" s="65"/>
    </row>
    <row r="81" spans="2:12" x14ac:dyDescent="0.35">
      <c r="B81" s="75" t="s">
        <v>304</v>
      </c>
      <c r="C81" s="64" t="s">
        <v>393</v>
      </c>
      <c r="D81" s="71" t="s">
        <v>25</v>
      </c>
      <c r="E81" s="69">
        <v>171.5</v>
      </c>
      <c r="F81" s="67"/>
      <c r="G81" s="67">
        <v>40</v>
      </c>
      <c r="H81" s="67">
        <f t="shared" si="4"/>
        <v>40</v>
      </c>
      <c r="I81" s="67">
        <f t="shared" si="5"/>
        <v>0</v>
      </c>
      <c r="J81" s="67">
        <f t="shared" si="6"/>
        <v>6860</v>
      </c>
      <c r="K81" s="67">
        <f t="shared" si="7"/>
        <v>6860</v>
      </c>
      <c r="L81" s="65"/>
    </row>
    <row r="82" spans="2:12" x14ac:dyDescent="0.35">
      <c r="B82" s="75" t="s">
        <v>305</v>
      </c>
      <c r="C82" s="102" t="s">
        <v>190</v>
      </c>
      <c r="D82" s="71" t="s">
        <v>25</v>
      </c>
      <c r="E82" s="69">
        <f>E81*1.1</f>
        <v>188.65</v>
      </c>
      <c r="F82" s="67">
        <v>15.97</v>
      </c>
      <c r="G82" s="67"/>
      <c r="H82" s="67">
        <f t="shared" si="4"/>
        <v>15.97</v>
      </c>
      <c r="I82" s="67">
        <f t="shared" si="5"/>
        <v>3012.7405000000003</v>
      </c>
      <c r="J82" s="67">
        <f t="shared" si="6"/>
        <v>0</v>
      </c>
      <c r="K82" s="67">
        <f t="shared" si="7"/>
        <v>3012.7405000000003</v>
      </c>
      <c r="L82" s="65"/>
    </row>
    <row r="83" spans="2:12" ht="31" x14ac:dyDescent="0.35">
      <c r="B83" s="75" t="s">
        <v>306</v>
      </c>
      <c r="C83" s="72" t="s">
        <v>415</v>
      </c>
      <c r="D83" s="71" t="s">
        <v>25</v>
      </c>
      <c r="E83" s="69">
        <v>171.5</v>
      </c>
      <c r="F83" s="69"/>
      <c r="G83" s="67">
        <v>600</v>
      </c>
      <c r="H83" s="67">
        <f t="shared" si="4"/>
        <v>600</v>
      </c>
      <c r="I83" s="67">
        <f t="shared" si="5"/>
        <v>0</v>
      </c>
      <c r="J83" s="67">
        <f t="shared" si="6"/>
        <v>102900</v>
      </c>
      <c r="K83" s="67">
        <f t="shared" si="7"/>
        <v>102900</v>
      </c>
      <c r="L83" s="65"/>
    </row>
    <row r="84" spans="2:12" x14ac:dyDescent="0.35">
      <c r="B84" s="75" t="s">
        <v>307</v>
      </c>
      <c r="C84" s="93" t="s">
        <v>411</v>
      </c>
      <c r="D84" s="71" t="s">
        <v>26</v>
      </c>
      <c r="E84" s="69">
        <f>E83*0.07*1.02</f>
        <v>12.245100000000001</v>
      </c>
      <c r="F84" s="78">
        <v>7950</v>
      </c>
      <c r="G84" s="67"/>
      <c r="H84" s="67">
        <f t="shared" si="4"/>
        <v>7950</v>
      </c>
      <c r="I84" s="67">
        <f t="shared" si="5"/>
        <v>97348.545000000013</v>
      </c>
      <c r="J84" s="67">
        <f t="shared" si="6"/>
        <v>0</v>
      </c>
      <c r="K84" s="67">
        <f t="shared" si="7"/>
        <v>97348.545000000013</v>
      </c>
      <c r="L84" s="65"/>
    </row>
    <row r="85" spans="2:12" x14ac:dyDescent="0.35">
      <c r="B85" s="75" t="s">
        <v>308</v>
      </c>
      <c r="C85" s="102" t="s">
        <v>192</v>
      </c>
      <c r="D85" s="92" t="s">
        <v>25</v>
      </c>
      <c r="E85" s="69">
        <f>E75*1.1</f>
        <v>188.65</v>
      </c>
      <c r="F85" s="69">
        <v>181.29</v>
      </c>
      <c r="G85" s="67"/>
      <c r="H85" s="67">
        <f t="shared" si="4"/>
        <v>181.29</v>
      </c>
      <c r="I85" s="67">
        <f t="shared" si="5"/>
        <v>34200.358500000002</v>
      </c>
      <c r="J85" s="67">
        <f t="shared" si="6"/>
        <v>0</v>
      </c>
      <c r="K85" s="67">
        <f t="shared" si="7"/>
        <v>34200.358500000002</v>
      </c>
      <c r="L85" s="65"/>
    </row>
    <row r="86" spans="2:12" ht="31" x14ac:dyDescent="0.35">
      <c r="B86" s="75" t="s">
        <v>309</v>
      </c>
      <c r="C86" s="64" t="s">
        <v>216</v>
      </c>
      <c r="D86" s="71" t="s">
        <v>25</v>
      </c>
      <c r="E86" s="69">
        <v>171.5</v>
      </c>
      <c r="F86" s="69">
        <v>540</v>
      </c>
      <c r="G86" s="67">
        <v>440</v>
      </c>
      <c r="H86" s="67">
        <f t="shared" si="4"/>
        <v>980</v>
      </c>
      <c r="I86" s="67">
        <f t="shared" si="5"/>
        <v>92610</v>
      </c>
      <c r="J86" s="67">
        <f t="shared" si="6"/>
        <v>75460</v>
      </c>
      <c r="K86" s="67">
        <f t="shared" si="7"/>
        <v>168070</v>
      </c>
      <c r="L86" s="65"/>
    </row>
    <row r="87" spans="2:12" x14ac:dyDescent="0.35">
      <c r="B87" s="75" t="s">
        <v>172</v>
      </c>
      <c r="C87" s="73" t="s">
        <v>217</v>
      </c>
      <c r="D87" s="71"/>
      <c r="E87" s="69"/>
      <c r="F87" s="69"/>
      <c r="G87" s="67"/>
      <c r="H87" s="67">
        <f t="shared" si="4"/>
        <v>0</v>
      </c>
      <c r="I87" s="67">
        <f t="shared" si="5"/>
        <v>0</v>
      </c>
      <c r="J87" s="67">
        <f t="shared" si="6"/>
        <v>0</v>
      </c>
      <c r="K87" s="67">
        <f t="shared" si="7"/>
        <v>0</v>
      </c>
      <c r="L87" s="65"/>
    </row>
    <row r="88" spans="2:12" x14ac:dyDescent="0.35">
      <c r="B88" s="75" t="s">
        <v>178</v>
      </c>
      <c r="C88" s="64" t="s">
        <v>401</v>
      </c>
      <c r="D88" s="71" t="s">
        <v>25</v>
      </c>
      <c r="E88" s="69">
        <v>116.7</v>
      </c>
      <c r="F88" s="69"/>
      <c r="G88" s="67">
        <v>100</v>
      </c>
      <c r="H88" s="67">
        <f t="shared" si="4"/>
        <v>100</v>
      </c>
      <c r="I88" s="67">
        <f t="shared" si="5"/>
        <v>0</v>
      </c>
      <c r="J88" s="67">
        <f t="shared" si="6"/>
        <v>11670</v>
      </c>
      <c r="K88" s="67">
        <f t="shared" si="7"/>
        <v>11670</v>
      </c>
      <c r="L88" s="65"/>
    </row>
    <row r="89" spans="2:12" x14ac:dyDescent="0.35">
      <c r="B89" s="75" t="s">
        <v>179</v>
      </c>
      <c r="C89" s="102" t="s">
        <v>402</v>
      </c>
      <c r="D89" s="71" t="s">
        <v>209</v>
      </c>
      <c r="E89" s="69">
        <f>E88*0.2</f>
        <v>23.340000000000003</v>
      </c>
      <c r="F89" s="69">
        <v>305</v>
      </c>
      <c r="G89" s="67"/>
      <c r="H89" s="67">
        <f t="shared" si="4"/>
        <v>305</v>
      </c>
      <c r="I89" s="67">
        <f t="shared" si="5"/>
        <v>7118.7000000000007</v>
      </c>
      <c r="J89" s="67">
        <f t="shared" si="6"/>
        <v>0</v>
      </c>
      <c r="K89" s="67">
        <f t="shared" si="7"/>
        <v>7118.7000000000007</v>
      </c>
      <c r="L89" s="65"/>
    </row>
    <row r="90" spans="2:12" x14ac:dyDescent="0.35">
      <c r="B90" s="75" t="s">
        <v>310</v>
      </c>
      <c r="C90" s="64" t="s">
        <v>212</v>
      </c>
      <c r="D90" s="71" t="s">
        <v>25</v>
      </c>
      <c r="E90" s="69">
        <v>116.7</v>
      </c>
      <c r="F90" s="69"/>
      <c r="G90" s="67">
        <v>430</v>
      </c>
      <c r="H90" s="67">
        <f t="shared" si="4"/>
        <v>430</v>
      </c>
      <c r="I90" s="67">
        <f t="shared" si="5"/>
        <v>0</v>
      </c>
      <c r="J90" s="67">
        <f t="shared" si="6"/>
        <v>50181</v>
      </c>
      <c r="K90" s="67">
        <f t="shared" si="7"/>
        <v>50181</v>
      </c>
      <c r="L90" s="65"/>
    </row>
    <row r="91" spans="2:12" x14ac:dyDescent="0.35">
      <c r="B91" s="75" t="s">
        <v>311</v>
      </c>
      <c r="C91" s="102" t="s">
        <v>213</v>
      </c>
      <c r="D91" s="71" t="s">
        <v>25</v>
      </c>
      <c r="E91" s="69">
        <f>E90*1.1</f>
        <v>128.37</v>
      </c>
      <c r="F91" s="69">
        <v>244.1</v>
      </c>
      <c r="G91" s="67"/>
      <c r="H91" s="67">
        <f t="shared" si="4"/>
        <v>244.1</v>
      </c>
      <c r="I91" s="67">
        <f t="shared" si="5"/>
        <v>31335.117000000002</v>
      </c>
      <c r="J91" s="67">
        <f t="shared" si="6"/>
        <v>0</v>
      </c>
      <c r="K91" s="67">
        <f t="shared" si="7"/>
        <v>31335.117000000002</v>
      </c>
      <c r="L91" s="65"/>
    </row>
    <row r="92" spans="2:12" ht="31" x14ac:dyDescent="0.35">
      <c r="B92" s="75" t="s">
        <v>312</v>
      </c>
      <c r="C92" s="64" t="s">
        <v>218</v>
      </c>
      <c r="D92" s="71" t="s">
        <v>25</v>
      </c>
      <c r="E92" s="69">
        <v>116.7</v>
      </c>
      <c r="F92" s="69"/>
      <c r="G92" s="67">
        <v>850</v>
      </c>
      <c r="H92" s="67">
        <f t="shared" si="4"/>
        <v>850</v>
      </c>
      <c r="I92" s="67">
        <f t="shared" si="5"/>
        <v>0</v>
      </c>
      <c r="J92" s="67">
        <f t="shared" si="6"/>
        <v>99195</v>
      </c>
      <c r="K92" s="67">
        <f t="shared" si="7"/>
        <v>99195</v>
      </c>
      <c r="L92" s="65"/>
    </row>
    <row r="93" spans="2:12" x14ac:dyDescent="0.35">
      <c r="B93" s="75" t="s">
        <v>242</v>
      </c>
      <c r="C93" s="102" t="s">
        <v>200</v>
      </c>
      <c r="D93" s="71" t="s">
        <v>26</v>
      </c>
      <c r="E93" s="69">
        <f>E92*0.29*1.3</f>
        <v>43.995899999999999</v>
      </c>
      <c r="F93" s="69">
        <v>7200</v>
      </c>
      <c r="G93" s="67"/>
      <c r="H93" s="67">
        <f t="shared" si="4"/>
        <v>7200</v>
      </c>
      <c r="I93" s="67">
        <f t="shared" si="5"/>
        <v>316770.48</v>
      </c>
      <c r="J93" s="67">
        <f t="shared" si="6"/>
        <v>0</v>
      </c>
      <c r="K93" s="67">
        <f t="shared" si="7"/>
        <v>316770.48</v>
      </c>
      <c r="L93" s="65"/>
    </row>
    <row r="94" spans="2:12" x14ac:dyDescent="0.35">
      <c r="B94" s="75" t="s">
        <v>313</v>
      </c>
      <c r="C94" s="64" t="s">
        <v>393</v>
      </c>
      <c r="D94" s="71" t="s">
        <v>25</v>
      </c>
      <c r="E94" s="69">
        <v>116.7</v>
      </c>
      <c r="F94" s="67"/>
      <c r="G94" s="67">
        <v>40</v>
      </c>
      <c r="H94" s="67">
        <f t="shared" si="4"/>
        <v>40</v>
      </c>
      <c r="I94" s="67">
        <f t="shared" si="5"/>
        <v>0</v>
      </c>
      <c r="J94" s="67">
        <f t="shared" si="6"/>
        <v>4668</v>
      </c>
      <c r="K94" s="67">
        <f t="shared" si="7"/>
        <v>4668</v>
      </c>
      <c r="L94" s="65"/>
    </row>
    <row r="95" spans="2:12" x14ac:dyDescent="0.35">
      <c r="B95" s="75" t="s">
        <v>314</v>
      </c>
      <c r="C95" s="102" t="s">
        <v>190</v>
      </c>
      <c r="D95" s="71" t="s">
        <v>25</v>
      </c>
      <c r="E95" s="69">
        <f>E94*1.1</f>
        <v>128.37</v>
      </c>
      <c r="F95" s="67">
        <v>15.97</v>
      </c>
      <c r="G95" s="67"/>
      <c r="H95" s="67">
        <f t="shared" si="4"/>
        <v>15.97</v>
      </c>
      <c r="I95" s="67">
        <f t="shared" si="5"/>
        <v>2050.0689000000002</v>
      </c>
      <c r="J95" s="67">
        <f t="shared" si="6"/>
        <v>0</v>
      </c>
      <c r="K95" s="67">
        <f t="shared" si="7"/>
        <v>2050.0689000000002</v>
      </c>
      <c r="L95" s="65"/>
    </row>
    <row r="96" spans="2:12" ht="31" x14ac:dyDescent="0.35">
      <c r="B96" s="75" t="s">
        <v>315</v>
      </c>
      <c r="C96" s="72" t="s">
        <v>407</v>
      </c>
      <c r="D96" s="71" t="s">
        <v>25</v>
      </c>
      <c r="E96" s="69">
        <v>116.7</v>
      </c>
      <c r="F96" s="69"/>
      <c r="G96" s="67">
        <v>600</v>
      </c>
      <c r="H96" s="67">
        <f t="shared" si="4"/>
        <v>600</v>
      </c>
      <c r="I96" s="67">
        <f t="shared" si="5"/>
        <v>0</v>
      </c>
      <c r="J96" s="67">
        <f t="shared" si="6"/>
        <v>70020</v>
      </c>
      <c r="K96" s="67">
        <f t="shared" si="7"/>
        <v>70020</v>
      </c>
      <c r="L96" s="65"/>
    </row>
    <row r="97" spans="2:12" x14ac:dyDescent="0.35">
      <c r="B97" s="75" t="s">
        <v>316</v>
      </c>
      <c r="C97" s="93" t="s">
        <v>411</v>
      </c>
      <c r="D97" s="71" t="s">
        <v>26</v>
      </c>
      <c r="E97" s="69">
        <f>E96*0.05*1.02</f>
        <v>5.9517000000000007</v>
      </c>
      <c r="F97" s="78">
        <v>7950</v>
      </c>
      <c r="G97" s="67"/>
      <c r="H97" s="67">
        <f t="shared" si="4"/>
        <v>7950</v>
      </c>
      <c r="I97" s="67">
        <f t="shared" si="5"/>
        <v>47316.015000000007</v>
      </c>
      <c r="J97" s="67">
        <f t="shared" si="6"/>
        <v>0</v>
      </c>
      <c r="K97" s="67">
        <f t="shared" si="7"/>
        <v>47316.015000000007</v>
      </c>
      <c r="L97" s="65"/>
    </row>
    <row r="98" spans="2:12" x14ac:dyDescent="0.35">
      <c r="B98" s="75" t="s">
        <v>317</v>
      </c>
      <c r="C98" s="102" t="s">
        <v>192</v>
      </c>
      <c r="D98" s="92" t="s">
        <v>25</v>
      </c>
      <c r="E98" s="69">
        <f>E96*1.1</f>
        <v>128.37</v>
      </c>
      <c r="F98" s="69">
        <v>181.29</v>
      </c>
      <c r="G98" s="67"/>
      <c r="H98" s="67">
        <f t="shared" si="4"/>
        <v>181.29</v>
      </c>
      <c r="I98" s="67">
        <f t="shared" si="5"/>
        <v>23272.1973</v>
      </c>
      <c r="J98" s="67">
        <f t="shared" si="6"/>
        <v>0</v>
      </c>
      <c r="K98" s="67">
        <f t="shared" si="7"/>
        <v>23272.1973</v>
      </c>
      <c r="L98" s="65"/>
    </row>
    <row r="99" spans="2:12" ht="31" x14ac:dyDescent="0.35">
      <c r="B99" s="75" t="s">
        <v>318</v>
      </c>
      <c r="C99" s="72" t="s">
        <v>412</v>
      </c>
      <c r="D99" s="76" t="s">
        <v>25</v>
      </c>
      <c r="E99" s="77">
        <v>117</v>
      </c>
      <c r="F99" s="69"/>
      <c r="G99" s="67">
        <v>100</v>
      </c>
      <c r="H99" s="67">
        <f t="shared" ref="H99:H100" si="8">F99+G99</f>
        <v>100</v>
      </c>
      <c r="I99" s="67">
        <f t="shared" ref="I99:I100" si="9">F99*E99</f>
        <v>0</v>
      </c>
      <c r="J99" s="67">
        <f t="shared" ref="J99:J100" si="10">G99*E99</f>
        <v>11700</v>
      </c>
      <c r="K99" s="67">
        <f t="shared" ref="K99:K100" si="11">I99+J99</f>
        <v>11700</v>
      </c>
      <c r="L99" s="65"/>
    </row>
    <row r="100" spans="2:12" x14ac:dyDescent="0.35">
      <c r="B100" s="75" t="s">
        <v>319</v>
      </c>
      <c r="C100" s="70" t="s">
        <v>188</v>
      </c>
      <c r="D100" s="76" t="s">
        <v>209</v>
      </c>
      <c r="E100" s="77">
        <f>E99*0.2</f>
        <v>23.400000000000002</v>
      </c>
      <c r="F100" s="69">
        <v>305</v>
      </c>
      <c r="G100" s="67"/>
      <c r="H100" s="67">
        <f t="shared" si="8"/>
        <v>305</v>
      </c>
      <c r="I100" s="67">
        <f t="shared" si="9"/>
        <v>7137.0000000000009</v>
      </c>
      <c r="J100" s="67">
        <f t="shared" si="10"/>
        <v>0</v>
      </c>
      <c r="K100" s="67">
        <f t="shared" si="11"/>
        <v>7137.0000000000009</v>
      </c>
      <c r="L100" s="65"/>
    </row>
    <row r="101" spans="2:12" ht="46.5" x14ac:dyDescent="0.35">
      <c r="B101" s="75" t="s">
        <v>320</v>
      </c>
      <c r="C101" s="72" t="s">
        <v>201</v>
      </c>
      <c r="D101" s="103" t="s">
        <v>25</v>
      </c>
      <c r="E101" s="77">
        <v>116.7</v>
      </c>
      <c r="F101" s="69"/>
      <c r="G101" s="99">
        <v>1050</v>
      </c>
      <c r="H101" s="67">
        <f t="shared" si="4"/>
        <v>1050</v>
      </c>
      <c r="I101" s="67">
        <f t="shared" si="5"/>
        <v>0</v>
      </c>
      <c r="J101" s="67">
        <f t="shared" si="6"/>
        <v>122535</v>
      </c>
      <c r="K101" s="67">
        <f t="shared" si="7"/>
        <v>122535</v>
      </c>
      <c r="L101" s="65"/>
    </row>
    <row r="102" spans="2:12" ht="31" x14ac:dyDescent="0.35">
      <c r="B102" s="75" t="s">
        <v>321</v>
      </c>
      <c r="C102" s="70" t="s">
        <v>193</v>
      </c>
      <c r="D102" s="103" t="s">
        <v>25</v>
      </c>
      <c r="E102" s="77">
        <f>E101*1.1</f>
        <v>128.37</v>
      </c>
      <c r="F102" s="69">
        <v>349.96</v>
      </c>
      <c r="G102" s="67"/>
      <c r="H102" s="67">
        <f t="shared" si="4"/>
        <v>349.96</v>
      </c>
      <c r="I102" s="67">
        <f t="shared" si="5"/>
        <v>44924.3652</v>
      </c>
      <c r="J102" s="67">
        <f t="shared" si="6"/>
        <v>0</v>
      </c>
      <c r="K102" s="67">
        <f t="shared" si="7"/>
        <v>44924.3652</v>
      </c>
      <c r="L102" s="65"/>
    </row>
    <row r="103" spans="2:12" x14ac:dyDescent="0.35">
      <c r="B103" s="75" t="s">
        <v>322</v>
      </c>
      <c r="C103" s="70" t="s">
        <v>194</v>
      </c>
      <c r="D103" s="94" t="s">
        <v>25</v>
      </c>
      <c r="E103" s="77">
        <f>E101*1.1</f>
        <v>128.37</v>
      </c>
      <c r="F103" s="69">
        <v>371.91</v>
      </c>
      <c r="G103" s="67"/>
      <c r="H103" s="67">
        <f t="shared" si="4"/>
        <v>371.91</v>
      </c>
      <c r="I103" s="67">
        <f t="shared" si="5"/>
        <v>47742.086700000007</v>
      </c>
      <c r="J103" s="67">
        <f t="shared" si="6"/>
        <v>0</v>
      </c>
      <c r="K103" s="67">
        <f t="shared" si="7"/>
        <v>47742.086700000007</v>
      </c>
      <c r="L103" s="65"/>
    </row>
    <row r="104" spans="2:12" x14ac:dyDescent="0.35">
      <c r="B104" s="75" t="s">
        <v>323</v>
      </c>
      <c r="C104" s="64" t="s">
        <v>220</v>
      </c>
      <c r="D104" s="71" t="s">
        <v>25</v>
      </c>
      <c r="E104" s="69">
        <v>116.7</v>
      </c>
      <c r="F104" s="69"/>
      <c r="G104" s="99">
        <v>275</v>
      </c>
      <c r="H104" s="67">
        <f t="shared" si="4"/>
        <v>275</v>
      </c>
      <c r="I104" s="67">
        <f t="shared" si="5"/>
        <v>0</v>
      </c>
      <c r="J104" s="67">
        <f t="shared" si="6"/>
        <v>32092.5</v>
      </c>
      <c r="K104" s="67">
        <f t="shared" si="7"/>
        <v>32092.5</v>
      </c>
      <c r="L104" s="65"/>
    </row>
    <row r="105" spans="2:12" x14ac:dyDescent="0.35">
      <c r="B105" s="75" t="s">
        <v>324</v>
      </c>
      <c r="C105" s="70" t="s">
        <v>417</v>
      </c>
      <c r="D105" s="71" t="s">
        <v>25</v>
      </c>
      <c r="E105" s="77">
        <f>E104*1.1</f>
        <v>128.37</v>
      </c>
      <c r="F105" s="78">
        <v>1552.7</v>
      </c>
      <c r="G105" s="67"/>
      <c r="H105" s="67">
        <f t="shared" si="4"/>
        <v>1552.7</v>
      </c>
      <c r="I105" s="67">
        <f t="shared" si="5"/>
        <v>199320.09900000002</v>
      </c>
      <c r="J105" s="67">
        <f t="shared" si="6"/>
        <v>0</v>
      </c>
      <c r="K105" s="67">
        <f t="shared" si="7"/>
        <v>199320.09900000002</v>
      </c>
      <c r="L105" s="65"/>
    </row>
    <row r="106" spans="2:12" ht="31" x14ac:dyDescent="0.35">
      <c r="B106" s="75" t="s">
        <v>325</v>
      </c>
      <c r="C106" s="64" t="s">
        <v>222</v>
      </c>
      <c r="D106" s="71" t="s">
        <v>25</v>
      </c>
      <c r="E106" s="69">
        <v>116.7</v>
      </c>
      <c r="F106" s="69"/>
      <c r="G106" s="67">
        <v>850</v>
      </c>
      <c r="H106" s="67">
        <f t="shared" si="4"/>
        <v>850</v>
      </c>
      <c r="I106" s="67">
        <f t="shared" si="5"/>
        <v>0</v>
      </c>
      <c r="J106" s="67">
        <f t="shared" si="6"/>
        <v>99195</v>
      </c>
      <c r="K106" s="67">
        <f t="shared" si="7"/>
        <v>99195</v>
      </c>
      <c r="L106" s="65"/>
    </row>
    <row r="107" spans="2:12" x14ac:dyDescent="0.35">
      <c r="B107" s="75" t="s">
        <v>326</v>
      </c>
      <c r="C107" s="102" t="s">
        <v>221</v>
      </c>
      <c r="D107" s="71" t="s">
        <v>26</v>
      </c>
      <c r="E107" s="69">
        <f>E106*0.2*1.1</f>
        <v>25.674000000000007</v>
      </c>
      <c r="F107" s="69">
        <v>1750</v>
      </c>
      <c r="G107" s="67"/>
      <c r="H107" s="67">
        <f t="shared" si="4"/>
        <v>1750</v>
      </c>
      <c r="I107" s="67">
        <f t="shared" si="5"/>
        <v>44929.500000000015</v>
      </c>
      <c r="J107" s="67">
        <f t="shared" si="6"/>
        <v>0</v>
      </c>
      <c r="K107" s="67">
        <f t="shared" si="7"/>
        <v>44929.500000000015</v>
      </c>
      <c r="L107" s="65"/>
    </row>
    <row r="108" spans="2:12" x14ac:dyDescent="0.35">
      <c r="B108" s="75" t="s">
        <v>171</v>
      </c>
      <c r="C108" s="73" t="s">
        <v>223</v>
      </c>
      <c r="D108" s="71"/>
      <c r="E108" s="69"/>
      <c r="F108" s="69"/>
      <c r="G108" s="67"/>
      <c r="H108" s="67">
        <f t="shared" si="4"/>
        <v>0</v>
      </c>
      <c r="I108" s="67">
        <f t="shared" si="5"/>
        <v>0</v>
      </c>
      <c r="J108" s="67">
        <f t="shared" si="6"/>
        <v>0</v>
      </c>
      <c r="K108" s="67">
        <f t="shared" si="7"/>
        <v>0</v>
      </c>
      <c r="L108" s="65"/>
    </row>
    <row r="109" spans="2:12" x14ac:dyDescent="0.35">
      <c r="B109" s="75" t="s">
        <v>180</v>
      </c>
      <c r="C109" s="64" t="s">
        <v>401</v>
      </c>
      <c r="D109" s="71" t="s">
        <v>25</v>
      </c>
      <c r="E109" s="69">
        <v>291.89999999999998</v>
      </c>
      <c r="F109" s="69"/>
      <c r="G109" s="67">
        <v>100</v>
      </c>
      <c r="H109" s="67">
        <f t="shared" si="4"/>
        <v>100</v>
      </c>
      <c r="I109" s="67">
        <f t="shared" si="5"/>
        <v>0</v>
      </c>
      <c r="J109" s="67">
        <f t="shared" si="6"/>
        <v>29189.999999999996</v>
      </c>
      <c r="K109" s="67">
        <f t="shared" si="7"/>
        <v>29189.999999999996</v>
      </c>
      <c r="L109" s="65"/>
    </row>
    <row r="110" spans="2:12" x14ac:dyDescent="0.35">
      <c r="B110" s="75" t="s">
        <v>247</v>
      </c>
      <c r="C110" s="102" t="s">
        <v>402</v>
      </c>
      <c r="D110" s="71" t="s">
        <v>209</v>
      </c>
      <c r="E110" s="69">
        <f>E109*0.2</f>
        <v>58.379999999999995</v>
      </c>
      <c r="F110" s="69">
        <v>305</v>
      </c>
      <c r="G110" s="67"/>
      <c r="H110" s="67">
        <f t="shared" si="4"/>
        <v>305</v>
      </c>
      <c r="I110" s="67">
        <f t="shared" si="5"/>
        <v>17805.899999999998</v>
      </c>
      <c r="J110" s="67">
        <f t="shared" si="6"/>
        <v>0</v>
      </c>
      <c r="K110" s="67">
        <f t="shared" si="7"/>
        <v>17805.899999999998</v>
      </c>
      <c r="L110" s="65"/>
    </row>
    <row r="111" spans="2:12" x14ac:dyDescent="0.35">
      <c r="B111" s="75" t="s">
        <v>327</v>
      </c>
      <c r="C111" s="64" t="s">
        <v>212</v>
      </c>
      <c r="D111" s="71" t="s">
        <v>25</v>
      </c>
      <c r="E111" s="69">
        <v>291.89999999999998</v>
      </c>
      <c r="F111" s="69"/>
      <c r="G111" s="67">
        <v>430</v>
      </c>
      <c r="H111" s="67">
        <f t="shared" si="4"/>
        <v>430</v>
      </c>
      <c r="I111" s="67">
        <f t="shared" si="5"/>
        <v>0</v>
      </c>
      <c r="J111" s="67">
        <f t="shared" si="6"/>
        <v>125516.99999999999</v>
      </c>
      <c r="K111" s="67">
        <f t="shared" si="7"/>
        <v>125516.99999999999</v>
      </c>
      <c r="L111" s="65"/>
    </row>
    <row r="112" spans="2:12" x14ac:dyDescent="0.35">
      <c r="B112" s="75" t="s">
        <v>328</v>
      </c>
      <c r="C112" s="102" t="s">
        <v>213</v>
      </c>
      <c r="D112" s="71" t="s">
        <v>25</v>
      </c>
      <c r="E112" s="69">
        <f>E111*1.1</f>
        <v>321.08999999999997</v>
      </c>
      <c r="F112" s="69">
        <v>244.1</v>
      </c>
      <c r="G112" s="67"/>
      <c r="H112" s="67">
        <f t="shared" si="4"/>
        <v>244.1</v>
      </c>
      <c r="I112" s="67">
        <f t="shared" si="5"/>
        <v>78378.068999999989</v>
      </c>
      <c r="J112" s="67">
        <f t="shared" si="6"/>
        <v>0</v>
      </c>
      <c r="K112" s="67">
        <f t="shared" si="7"/>
        <v>78378.068999999989</v>
      </c>
      <c r="L112" s="65"/>
    </row>
    <row r="113" spans="2:12" ht="31" x14ac:dyDescent="0.35">
      <c r="B113" s="75" t="s">
        <v>298</v>
      </c>
      <c r="C113" s="64" t="s">
        <v>224</v>
      </c>
      <c r="D113" s="71" t="s">
        <v>25</v>
      </c>
      <c r="E113" s="69">
        <v>291.89999999999998</v>
      </c>
      <c r="F113" s="69"/>
      <c r="G113" s="67">
        <v>850</v>
      </c>
      <c r="H113" s="67">
        <f t="shared" si="4"/>
        <v>850</v>
      </c>
      <c r="I113" s="67">
        <f t="shared" si="5"/>
        <v>0</v>
      </c>
      <c r="J113" s="67">
        <f t="shared" si="6"/>
        <v>248114.99999999997</v>
      </c>
      <c r="K113" s="67">
        <f t="shared" si="7"/>
        <v>248114.99999999997</v>
      </c>
      <c r="L113" s="65"/>
    </row>
    <row r="114" spans="2:12" x14ac:dyDescent="0.35">
      <c r="B114" s="75" t="s">
        <v>329</v>
      </c>
      <c r="C114" s="102" t="s">
        <v>200</v>
      </c>
      <c r="D114" s="71" t="s">
        <v>26</v>
      </c>
      <c r="E114" s="69">
        <f>E109*0.25*1.3</f>
        <v>94.867499999999993</v>
      </c>
      <c r="F114" s="69">
        <v>7200</v>
      </c>
      <c r="G114" s="67"/>
      <c r="H114" s="67">
        <f t="shared" si="4"/>
        <v>7200</v>
      </c>
      <c r="I114" s="67">
        <f t="shared" si="5"/>
        <v>683046</v>
      </c>
      <c r="J114" s="67">
        <f t="shared" si="6"/>
        <v>0</v>
      </c>
      <c r="K114" s="67">
        <f t="shared" si="7"/>
        <v>683046</v>
      </c>
      <c r="L114" s="65"/>
    </row>
    <row r="115" spans="2:12" x14ac:dyDescent="0.35">
      <c r="B115" s="75" t="s">
        <v>244</v>
      </c>
      <c r="C115" s="64" t="s">
        <v>393</v>
      </c>
      <c r="D115" s="71" t="s">
        <v>25</v>
      </c>
      <c r="E115" s="69">
        <v>291.89999999999998</v>
      </c>
      <c r="F115" s="67"/>
      <c r="G115" s="67">
        <v>40</v>
      </c>
      <c r="H115" s="67">
        <f t="shared" si="4"/>
        <v>40</v>
      </c>
      <c r="I115" s="67">
        <f t="shared" si="5"/>
        <v>0</v>
      </c>
      <c r="J115" s="67">
        <f t="shared" si="6"/>
        <v>11676</v>
      </c>
      <c r="K115" s="67">
        <f t="shared" si="7"/>
        <v>11676</v>
      </c>
      <c r="L115" s="65"/>
    </row>
    <row r="116" spans="2:12" x14ac:dyDescent="0.35">
      <c r="B116" s="75" t="s">
        <v>330</v>
      </c>
      <c r="C116" s="102" t="s">
        <v>190</v>
      </c>
      <c r="D116" s="71" t="s">
        <v>25</v>
      </c>
      <c r="E116" s="69">
        <f>E115*1.1</f>
        <v>321.08999999999997</v>
      </c>
      <c r="F116" s="67">
        <v>15.97</v>
      </c>
      <c r="G116" s="67"/>
      <c r="H116" s="67">
        <f t="shared" si="4"/>
        <v>15.97</v>
      </c>
      <c r="I116" s="67">
        <f t="shared" si="5"/>
        <v>5127.8072999999995</v>
      </c>
      <c r="J116" s="67">
        <f t="shared" si="6"/>
        <v>0</v>
      </c>
      <c r="K116" s="67">
        <f t="shared" si="7"/>
        <v>5127.8072999999995</v>
      </c>
      <c r="L116" s="65"/>
    </row>
    <row r="117" spans="2:12" ht="31" x14ac:dyDescent="0.35">
      <c r="B117" s="75" t="s">
        <v>331</v>
      </c>
      <c r="C117" s="72" t="s">
        <v>407</v>
      </c>
      <c r="D117" s="71" t="s">
        <v>25</v>
      </c>
      <c r="E117" s="69">
        <v>291.89999999999998</v>
      </c>
      <c r="F117" s="69"/>
      <c r="G117" s="67">
        <v>600</v>
      </c>
      <c r="H117" s="67">
        <f t="shared" si="4"/>
        <v>600</v>
      </c>
      <c r="I117" s="67">
        <f t="shared" si="5"/>
        <v>0</v>
      </c>
      <c r="J117" s="67">
        <f t="shared" si="6"/>
        <v>175140</v>
      </c>
      <c r="K117" s="67">
        <f t="shared" si="7"/>
        <v>175140</v>
      </c>
      <c r="L117" s="65"/>
    </row>
    <row r="118" spans="2:12" x14ac:dyDescent="0.35">
      <c r="B118" s="75" t="s">
        <v>332</v>
      </c>
      <c r="C118" s="93" t="s">
        <v>408</v>
      </c>
      <c r="D118" s="71" t="s">
        <v>26</v>
      </c>
      <c r="E118" s="69">
        <f>E117*0.05*1.02</f>
        <v>14.886899999999999</v>
      </c>
      <c r="F118" s="78">
        <v>7950</v>
      </c>
      <c r="G118" s="67"/>
      <c r="H118" s="67">
        <f t="shared" si="4"/>
        <v>7950</v>
      </c>
      <c r="I118" s="67">
        <f t="shared" si="5"/>
        <v>118350.855</v>
      </c>
      <c r="J118" s="67">
        <f t="shared" si="6"/>
        <v>0</v>
      </c>
      <c r="K118" s="67">
        <f t="shared" si="7"/>
        <v>118350.855</v>
      </c>
      <c r="L118" s="65"/>
    </row>
    <row r="119" spans="2:12" x14ac:dyDescent="0.35">
      <c r="B119" s="75" t="s">
        <v>333</v>
      </c>
      <c r="C119" s="102" t="s">
        <v>192</v>
      </c>
      <c r="D119" s="92" t="s">
        <v>25</v>
      </c>
      <c r="E119" s="69">
        <f>E109*1.1</f>
        <v>321.08999999999997</v>
      </c>
      <c r="F119" s="69">
        <v>181.29</v>
      </c>
      <c r="G119" s="67"/>
      <c r="H119" s="67">
        <f t="shared" si="4"/>
        <v>181.29</v>
      </c>
      <c r="I119" s="67">
        <f t="shared" si="5"/>
        <v>58210.406099999993</v>
      </c>
      <c r="J119" s="67">
        <f t="shared" si="6"/>
        <v>0</v>
      </c>
      <c r="K119" s="67">
        <f t="shared" si="7"/>
        <v>58210.406099999993</v>
      </c>
      <c r="L119" s="65"/>
    </row>
    <row r="120" spans="2:12" ht="31" x14ac:dyDescent="0.35">
      <c r="B120" s="75" t="s">
        <v>334</v>
      </c>
      <c r="C120" s="72" t="s">
        <v>412</v>
      </c>
      <c r="D120" s="76" t="s">
        <v>25</v>
      </c>
      <c r="E120" s="77">
        <v>292</v>
      </c>
      <c r="F120" s="69"/>
      <c r="G120" s="67">
        <v>100</v>
      </c>
      <c r="H120" s="67">
        <f t="shared" ref="H120:H121" si="12">F120+G120</f>
        <v>100</v>
      </c>
      <c r="I120" s="67">
        <f t="shared" ref="I120:I121" si="13">F120*E120</f>
        <v>0</v>
      </c>
      <c r="J120" s="67">
        <f t="shared" ref="J120:J121" si="14">G120*E120</f>
        <v>29200</v>
      </c>
      <c r="K120" s="67">
        <f t="shared" ref="K120:K121" si="15">I120+J120</f>
        <v>29200</v>
      </c>
      <c r="L120" s="65"/>
    </row>
    <row r="121" spans="2:12" x14ac:dyDescent="0.35">
      <c r="B121" s="75" t="s">
        <v>335</v>
      </c>
      <c r="C121" s="70" t="s">
        <v>188</v>
      </c>
      <c r="D121" s="76" t="s">
        <v>209</v>
      </c>
      <c r="E121" s="77">
        <f>E120*0.2</f>
        <v>58.400000000000006</v>
      </c>
      <c r="F121" s="69">
        <v>305</v>
      </c>
      <c r="G121" s="67"/>
      <c r="H121" s="67">
        <f t="shared" si="12"/>
        <v>305</v>
      </c>
      <c r="I121" s="67">
        <f t="shared" si="13"/>
        <v>17812</v>
      </c>
      <c r="J121" s="67">
        <f t="shared" si="14"/>
        <v>0</v>
      </c>
      <c r="K121" s="67">
        <f t="shared" si="15"/>
        <v>17812</v>
      </c>
      <c r="L121" s="65"/>
    </row>
    <row r="122" spans="2:12" ht="46.5" x14ac:dyDescent="0.35">
      <c r="B122" s="75" t="s">
        <v>336</v>
      </c>
      <c r="C122" s="79" t="s">
        <v>201</v>
      </c>
      <c r="D122" s="71" t="s">
        <v>25</v>
      </c>
      <c r="E122" s="69">
        <v>291.89999999999998</v>
      </c>
      <c r="F122" s="69"/>
      <c r="G122" s="99">
        <v>1050</v>
      </c>
      <c r="H122" s="67">
        <f t="shared" si="4"/>
        <v>1050</v>
      </c>
      <c r="I122" s="67">
        <f t="shared" si="5"/>
        <v>0</v>
      </c>
      <c r="J122" s="67">
        <f t="shared" si="6"/>
        <v>306495</v>
      </c>
      <c r="K122" s="67">
        <f t="shared" si="7"/>
        <v>306495</v>
      </c>
      <c r="L122" s="65"/>
    </row>
    <row r="123" spans="2:12" ht="31" x14ac:dyDescent="0.35">
      <c r="B123" s="75" t="s">
        <v>337</v>
      </c>
      <c r="C123" s="70" t="s">
        <v>193</v>
      </c>
      <c r="D123" s="76" t="s">
        <v>25</v>
      </c>
      <c r="E123" s="69">
        <f>E109*1.1</f>
        <v>321.08999999999997</v>
      </c>
      <c r="F123" s="69">
        <v>349.96</v>
      </c>
      <c r="G123" s="67"/>
      <c r="H123" s="67">
        <f t="shared" si="4"/>
        <v>349.96</v>
      </c>
      <c r="I123" s="67">
        <f t="shared" si="5"/>
        <v>112368.65639999998</v>
      </c>
      <c r="J123" s="67">
        <f t="shared" si="6"/>
        <v>0</v>
      </c>
      <c r="K123" s="67">
        <f t="shared" si="7"/>
        <v>112368.65639999998</v>
      </c>
      <c r="L123" s="65"/>
    </row>
    <row r="124" spans="2:12" x14ac:dyDescent="0.35">
      <c r="B124" s="75" t="s">
        <v>338</v>
      </c>
      <c r="C124" s="70" t="s">
        <v>194</v>
      </c>
      <c r="D124" s="94" t="s">
        <v>25</v>
      </c>
      <c r="E124" s="69">
        <f>E122*1.1</f>
        <v>321.08999999999997</v>
      </c>
      <c r="F124" s="69">
        <v>371.91</v>
      </c>
      <c r="G124" s="67"/>
      <c r="H124" s="67">
        <f t="shared" si="4"/>
        <v>371.91</v>
      </c>
      <c r="I124" s="67">
        <f t="shared" si="5"/>
        <v>119416.5819</v>
      </c>
      <c r="J124" s="67">
        <f t="shared" si="6"/>
        <v>0</v>
      </c>
      <c r="K124" s="67">
        <f t="shared" si="7"/>
        <v>119416.5819</v>
      </c>
      <c r="L124" s="65"/>
    </row>
    <row r="125" spans="2:12" x14ac:dyDescent="0.35">
      <c r="B125" s="75" t="s">
        <v>339</v>
      </c>
      <c r="C125" s="64" t="s">
        <v>220</v>
      </c>
      <c r="D125" s="71" t="s">
        <v>25</v>
      </c>
      <c r="E125" s="77">
        <v>321</v>
      </c>
      <c r="F125" s="78"/>
      <c r="G125" s="99">
        <v>275</v>
      </c>
      <c r="H125" s="67">
        <f t="shared" si="4"/>
        <v>275</v>
      </c>
      <c r="I125" s="67">
        <f t="shared" si="5"/>
        <v>0</v>
      </c>
      <c r="J125" s="67">
        <f t="shared" si="6"/>
        <v>88275</v>
      </c>
      <c r="K125" s="67">
        <f t="shared" si="7"/>
        <v>88275</v>
      </c>
      <c r="L125" s="65"/>
    </row>
    <row r="126" spans="2:12" x14ac:dyDescent="0.35">
      <c r="B126" s="75" t="s">
        <v>340</v>
      </c>
      <c r="C126" s="70" t="s">
        <v>417</v>
      </c>
      <c r="D126" s="71" t="s">
        <v>25</v>
      </c>
      <c r="E126" s="77">
        <f>E125*1.1</f>
        <v>353.1</v>
      </c>
      <c r="F126" s="78">
        <v>1552.7</v>
      </c>
      <c r="G126" s="67"/>
      <c r="H126" s="67">
        <f t="shared" si="4"/>
        <v>1552.7</v>
      </c>
      <c r="I126" s="67">
        <f t="shared" si="5"/>
        <v>548258.37</v>
      </c>
      <c r="J126" s="67">
        <f t="shared" si="6"/>
        <v>0</v>
      </c>
      <c r="K126" s="67">
        <f t="shared" si="7"/>
        <v>548258.37</v>
      </c>
      <c r="L126" s="65"/>
    </row>
    <row r="127" spans="2:12" ht="31" x14ac:dyDescent="0.35">
      <c r="B127" s="75" t="s">
        <v>341</v>
      </c>
      <c r="C127" s="64" t="s">
        <v>225</v>
      </c>
      <c r="D127" s="71" t="s">
        <v>25</v>
      </c>
      <c r="E127" s="77">
        <f>E125</f>
        <v>321</v>
      </c>
      <c r="F127" s="69"/>
      <c r="G127" s="67">
        <v>850</v>
      </c>
      <c r="H127" s="67">
        <f t="shared" si="4"/>
        <v>850</v>
      </c>
      <c r="I127" s="67">
        <f t="shared" si="5"/>
        <v>0</v>
      </c>
      <c r="J127" s="67">
        <f t="shared" si="6"/>
        <v>272850</v>
      </c>
      <c r="K127" s="67">
        <f t="shared" si="7"/>
        <v>272850</v>
      </c>
      <c r="L127" s="65"/>
    </row>
    <row r="128" spans="2:12" x14ac:dyDescent="0.35">
      <c r="B128" s="75" t="s">
        <v>342</v>
      </c>
      <c r="C128" s="102" t="s">
        <v>221</v>
      </c>
      <c r="D128" s="71" t="s">
        <v>26</v>
      </c>
      <c r="E128" s="77">
        <f>E127*0.25*1.1</f>
        <v>88.275000000000006</v>
      </c>
      <c r="F128" s="69">
        <v>1750</v>
      </c>
      <c r="G128" s="67"/>
      <c r="H128" s="67">
        <f t="shared" si="4"/>
        <v>1750</v>
      </c>
      <c r="I128" s="67">
        <f t="shared" si="5"/>
        <v>154481.25</v>
      </c>
      <c r="J128" s="67">
        <f t="shared" si="6"/>
        <v>0</v>
      </c>
      <c r="K128" s="67">
        <f t="shared" si="7"/>
        <v>154481.25</v>
      </c>
      <c r="L128" s="65"/>
    </row>
    <row r="129" spans="2:12" x14ac:dyDescent="0.35">
      <c r="B129" s="75" t="s">
        <v>181</v>
      </c>
      <c r="C129" s="73" t="s">
        <v>226</v>
      </c>
      <c r="D129" s="71"/>
      <c r="E129" s="69"/>
      <c r="F129" s="69"/>
      <c r="G129" s="67"/>
      <c r="H129" s="67">
        <f t="shared" si="4"/>
        <v>0</v>
      </c>
      <c r="I129" s="67">
        <f t="shared" si="5"/>
        <v>0</v>
      </c>
      <c r="J129" s="67">
        <f t="shared" si="6"/>
        <v>0</v>
      </c>
      <c r="K129" s="67">
        <f t="shared" si="7"/>
        <v>0</v>
      </c>
      <c r="L129" s="65"/>
    </row>
    <row r="130" spans="2:12" ht="31" x14ac:dyDescent="0.35">
      <c r="B130" s="75" t="s">
        <v>182</v>
      </c>
      <c r="C130" s="79" t="s">
        <v>227</v>
      </c>
      <c r="D130" s="97" t="s">
        <v>25</v>
      </c>
      <c r="E130" s="78">
        <v>21.9</v>
      </c>
      <c r="F130" s="78"/>
      <c r="G130" s="99">
        <v>525</v>
      </c>
      <c r="H130" s="67">
        <f t="shared" si="4"/>
        <v>525</v>
      </c>
      <c r="I130" s="67">
        <f t="shared" si="5"/>
        <v>0</v>
      </c>
      <c r="J130" s="67">
        <f t="shared" si="6"/>
        <v>11497.5</v>
      </c>
      <c r="K130" s="67">
        <f t="shared" si="7"/>
        <v>11497.5</v>
      </c>
      <c r="L130" s="65"/>
    </row>
    <row r="131" spans="2:12" x14ac:dyDescent="0.35">
      <c r="B131" s="75" t="s">
        <v>183</v>
      </c>
      <c r="C131" s="93" t="s">
        <v>228</v>
      </c>
      <c r="D131" s="97" t="s">
        <v>25</v>
      </c>
      <c r="E131" s="78">
        <f>E130*1.1</f>
        <v>24.09</v>
      </c>
      <c r="F131" s="99">
        <v>1360</v>
      </c>
      <c r="G131" s="99"/>
      <c r="H131" s="67">
        <f t="shared" si="4"/>
        <v>1360</v>
      </c>
      <c r="I131" s="67">
        <f t="shared" si="5"/>
        <v>32762.400000000001</v>
      </c>
      <c r="J131" s="67">
        <f t="shared" si="6"/>
        <v>0</v>
      </c>
      <c r="K131" s="67">
        <f t="shared" si="7"/>
        <v>32762.400000000001</v>
      </c>
      <c r="L131" s="65"/>
    </row>
    <row r="132" spans="2:12" ht="31" x14ac:dyDescent="0.35">
      <c r="B132" s="75" t="s">
        <v>343</v>
      </c>
      <c r="C132" s="72" t="s">
        <v>415</v>
      </c>
      <c r="D132" s="71" t="s">
        <v>25</v>
      </c>
      <c r="E132" s="69">
        <v>21.9</v>
      </c>
      <c r="F132" s="69"/>
      <c r="G132" s="67">
        <v>600</v>
      </c>
      <c r="H132" s="67">
        <f t="shared" si="4"/>
        <v>600</v>
      </c>
      <c r="I132" s="67">
        <f t="shared" si="5"/>
        <v>0</v>
      </c>
      <c r="J132" s="67">
        <f t="shared" si="6"/>
        <v>13140</v>
      </c>
      <c r="K132" s="67">
        <f t="shared" si="7"/>
        <v>13140</v>
      </c>
      <c r="L132" s="65"/>
    </row>
    <row r="133" spans="2:12" x14ac:dyDescent="0.35">
      <c r="B133" s="75" t="s">
        <v>344</v>
      </c>
      <c r="C133" s="93" t="s">
        <v>408</v>
      </c>
      <c r="D133" s="71" t="s">
        <v>26</v>
      </c>
      <c r="E133" s="69">
        <f>E132*0.07*1.02</f>
        <v>1.5636600000000003</v>
      </c>
      <c r="F133" s="78">
        <v>7950</v>
      </c>
      <c r="G133" s="67"/>
      <c r="H133" s="67">
        <f t="shared" si="4"/>
        <v>7950</v>
      </c>
      <c r="I133" s="67">
        <f t="shared" si="5"/>
        <v>12431.097000000002</v>
      </c>
      <c r="J133" s="67">
        <f t="shared" si="6"/>
        <v>0</v>
      </c>
      <c r="K133" s="67">
        <f t="shared" si="7"/>
        <v>12431.097000000002</v>
      </c>
      <c r="L133" s="65"/>
    </row>
    <row r="134" spans="2:12" x14ac:dyDescent="0.35">
      <c r="B134" s="75" t="s">
        <v>345</v>
      </c>
      <c r="C134" s="102" t="s">
        <v>192</v>
      </c>
      <c r="D134" s="92" t="s">
        <v>25</v>
      </c>
      <c r="E134" s="69">
        <f>E130*1.1</f>
        <v>24.09</v>
      </c>
      <c r="F134" s="69">
        <v>181.29</v>
      </c>
      <c r="G134" s="67"/>
      <c r="H134" s="67">
        <f t="shared" si="4"/>
        <v>181.29</v>
      </c>
      <c r="I134" s="67">
        <f t="shared" si="5"/>
        <v>4367.2761</v>
      </c>
      <c r="J134" s="67">
        <f t="shared" si="6"/>
        <v>0</v>
      </c>
      <c r="K134" s="67">
        <f t="shared" si="7"/>
        <v>4367.2761</v>
      </c>
      <c r="L134" s="65"/>
    </row>
    <row r="135" spans="2:12" ht="31" x14ac:dyDescent="0.35">
      <c r="B135" s="75" t="s">
        <v>346</v>
      </c>
      <c r="C135" s="72" t="s">
        <v>412</v>
      </c>
      <c r="D135" s="76" t="s">
        <v>25</v>
      </c>
      <c r="E135" s="77">
        <v>22</v>
      </c>
      <c r="F135" s="69"/>
      <c r="G135" s="67">
        <v>100</v>
      </c>
      <c r="H135" s="67">
        <f t="shared" ref="H135:H136" si="16">F135+G135</f>
        <v>100</v>
      </c>
      <c r="I135" s="67">
        <f t="shared" ref="I135:I136" si="17">F135*E135</f>
        <v>0</v>
      </c>
      <c r="J135" s="67">
        <f t="shared" ref="J135:J136" si="18">G135*E135</f>
        <v>2200</v>
      </c>
      <c r="K135" s="67">
        <f t="shared" ref="K135:K136" si="19">I135+J135</f>
        <v>2200</v>
      </c>
      <c r="L135" s="65"/>
    </row>
    <row r="136" spans="2:12" x14ac:dyDescent="0.35">
      <c r="B136" s="75" t="s">
        <v>347</v>
      </c>
      <c r="C136" s="70" t="s">
        <v>188</v>
      </c>
      <c r="D136" s="76" t="s">
        <v>209</v>
      </c>
      <c r="E136" s="77">
        <f>E135*0.2</f>
        <v>4.4000000000000004</v>
      </c>
      <c r="F136" s="69">
        <v>305</v>
      </c>
      <c r="G136" s="67"/>
      <c r="H136" s="67">
        <f t="shared" si="16"/>
        <v>305</v>
      </c>
      <c r="I136" s="67">
        <f t="shared" si="17"/>
        <v>1342</v>
      </c>
      <c r="J136" s="67">
        <f t="shared" si="18"/>
        <v>0</v>
      </c>
      <c r="K136" s="67">
        <f t="shared" si="19"/>
        <v>1342</v>
      </c>
      <c r="L136" s="65"/>
    </row>
    <row r="137" spans="2:12" ht="46.5" x14ac:dyDescent="0.35">
      <c r="B137" s="75" t="s">
        <v>418</v>
      </c>
      <c r="C137" s="79" t="s">
        <v>201</v>
      </c>
      <c r="D137" s="97" t="s">
        <v>25</v>
      </c>
      <c r="E137" s="78">
        <v>21.9</v>
      </c>
      <c r="F137" s="78"/>
      <c r="G137" s="99">
        <v>1050</v>
      </c>
      <c r="H137" s="67">
        <f t="shared" si="4"/>
        <v>1050</v>
      </c>
      <c r="I137" s="67">
        <f t="shared" si="5"/>
        <v>0</v>
      </c>
      <c r="J137" s="67">
        <f t="shared" si="6"/>
        <v>22995</v>
      </c>
      <c r="K137" s="67">
        <f t="shared" si="7"/>
        <v>22995</v>
      </c>
      <c r="L137" s="65"/>
    </row>
    <row r="138" spans="2:12" ht="31" x14ac:dyDescent="0.35">
      <c r="B138" s="75" t="s">
        <v>419</v>
      </c>
      <c r="C138" s="70" t="s">
        <v>193</v>
      </c>
      <c r="D138" s="103" t="s">
        <v>25</v>
      </c>
      <c r="E138" s="77">
        <f>E137*1.1</f>
        <v>24.09</v>
      </c>
      <c r="F138" s="69">
        <v>349.96</v>
      </c>
      <c r="G138" s="67"/>
      <c r="H138" s="67">
        <f t="shared" si="4"/>
        <v>349.96</v>
      </c>
      <c r="I138" s="67">
        <f t="shared" si="5"/>
        <v>8430.536399999999</v>
      </c>
      <c r="J138" s="67">
        <f t="shared" si="6"/>
        <v>0</v>
      </c>
      <c r="K138" s="67">
        <f t="shared" si="7"/>
        <v>8430.536399999999</v>
      </c>
      <c r="L138" s="65"/>
    </row>
    <row r="139" spans="2:12" x14ac:dyDescent="0.35">
      <c r="B139" s="75" t="s">
        <v>420</v>
      </c>
      <c r="C139" s="70" t="s">
        <v>194</v>
      </c>
      <c r="D139" s="94" t="s">
        <v>25</v>
      </c>
      <c r="E139" s="77">
        <f>E137*1.1</f>
        <v>24.09</v>
      </c>
      <c r="F139" s="69">
        <v>371.91</v>
      </c>
      <c r="G139" s="67"/>
      <c r="H139" s="67">
        <f t="shared" si="4"/>
        <v>371.91</v>
      </c>
      <c r="I139" s="67">
        <f t="shared" si="5"/>
        <v>8959.3119000000006</v>
      </c>
      <c r="J139" s="67">
        <f t="shared" si="6"/>
        <v>0</v>
      </c>
      <c r="K139" s="67">
        <f t="shared" si="7"/>
        <v>8959.3119000000006</v>
      </c>
      <c r="L139" s="65"/>
    </row>
    <row r="140" spans="2:12" x14ac:dyDescent="0.35">
      <c r="B140" s="75" t="s">
        <v>237</v>
      </c>
      <c r="C140" s="73" t="s">
        <v>229</v>
      </c>
      <c r="D140" s="71"/>
      <c r="E140" s="69"/>
      <c r="F140" s="69"/>
      <c r="G140" s="67"/>
      <c r="H140" s="67">
        <f t="shared" si="4"/>
        <v>0</v>
      </c>
      <c r="I140" s="67">
        <f t="shared" si="5"/>
        <v>0</v>
      </c>
      <c r="J140" s="67">
        <f t="shared" si="6"/>
        <v>0</v>
      </c>
      <c r="K140" s="67">
        <f t="shared" si="7"/>
        <v>0</v>
      </c>
      <c r="L140" s="65"/>
    </row>
    <row r="141" spans="2:12" x14ac:dyDescent="0.35">
      <c r="B141" s="75" t="s">
        <v>184</v>
      </c>
      <c r="C141" s="64" t="s">
        <v>401</v>
      </c>
      <c r="D141" s="71" t="s">
        <v>25</v>
      </c>
      <c r="E141" s="69">
        <v>142</v>
      </c>
      <c r="F141" s="69"/>
      <c r="G141" s="67">
        <v>100</v>
      </c>
      <c r="H141" s="67">
        <f t="shared" si="4"/>
        <v>100</v>
      </c>
      <c r="I141" s="67">
        <f t="shared" si="5"/>
        <v>0</v>
      </c>
      <c r="J141" s="67">
        <f t="shared" si="6"/>
        <v>14200</v>
      </c>
      <c r="K141" s="67">
        <f t="shared" si="7"/>
        <v>14200</v>
      </c>
      <c r="L141" s="65"/>
    </row>
    <row r="142" spans="2:12" x14ac:dyDescent="0.35">
      <c r="B142" s="75" t="s">
        <v>348</v>
      </c>
      <c r="C142" s="102" t="s">
        <v>402</v>
      </c>
      <c r="D142" s="71" t="s">
        <v>209</v>
      </c>
      <c r="E142" s="69">
        <f>E141*0.2</f>
        <v>28.400000000000002</v>
      </c>
      <c r="F142" s="69">
        <v>305</v>
      </c>
      <c r="G142" s="67"/>
      <c r="H142" s="67">
        <f t="shared" ref="H142:H192" si="20">F142+G142</f>
        <v>305</v>
      </c>
      <c r="I142" s="67">
        <f t="shared" ref="I142:I192" si="21">F142*E142</f>
        <v>8662</v>
      </c>
      <c r="J142" s="67">
        <f t="shared" ref="J142:J192" si="22">G142*E142</f>
        <v>0</v>
      </c>
      <c r="K142" s="67">
        <f t="shared" ref="K142:K192" si="23">I142+J142</f>
        <v>8662</v>
      </c>
      <c r="L142" s="65"/>
    </row>
    <row r="143" spans="2:12" x14ac:dyDescent="0.35">
      <c r="B143" s="75" t="s">
        <v>352</v>
      </c>
      <c r="C143" s="72" t="s">
        <v>189</v>
      </c>
      <c r="D143" s="71" t="s">
        <v>25</v>
      </c>
      <c r="E143" s="69">
        <v>142</v>
      </c>
      <c r="F143" s="69"/>
      <c r="G143" s="67">
        <v>430</v>
      </c>
      <c r="H143" s="67">
        <f t="shared" si="20"/>
        <v>430</v>
      </c>
      <c r="I143" s="67">
        <f t="shared" si="21"/>
        <v>0</v>
      </c>
      <c r="J143" s="67">
        <f t="shared" si="22"/>
        <v>61060</v>
      </c>
      <c r="K143" s="67">
        <f t="shared" si="23"/>
        <v>61060</v>
      </c>
      <c r="L143" s="65"/>
    </row>
    <row r="144" spans="2:12" x14ac:dyDescent="0.35">
      <c r="B144" s="75" t="s">
        <v>350</v>
      </c>
      <c r="C144" s="102" t="s">
        <v>213</v>
      </c>
      <c r="D144" s="71" t="s">
        <v>209</v>
      </c>
      <c r="E144" s="69">
        <f>E143*1.1</f>
        <v>156.20000000000002</v>
      </c>
      <c r="F144" s="69">
        <v>244.1</v>
      </c>
      <c r="G144" s="67"/>
      <c r="H144" s="67">
        <f t="shared" si="20"/>
        <v>244.1</v>
      </c>
      <c r="I144" s="67">
        <f t="shared" si="21"/>
        <v>38128.420000000006</v>
      </c>
      <c r="J144" s="67">
        <f t="shared" si="22"/>
        <v>0</v>
      </c>
      <c r="K144" s="67">
        <f t="shared" si="23"/>
        <v>38128.420000000006</v>
      </c>
      <c r="L144" s="65"/>
    </row>
    <row r="145" spans="2:12" ht="31" x14ac:dyDescent="0.35">
      <c r="B145" s="75" t="s">
        <v>351</v>
      </c>
      <c r="C145" s="72" t="s">
        <v>416</v>
      </c>
      <c r="D145" s="71" t="s">
        <v>25</v>
      </c>
      <c r="E145" s="69">
        <v>142</v>
      </c>
      <c r="F145" s="69"/>
      <c r="G145" s="67">
        <v>600</v>
      </c>
      <c r="H145" s="67">
        <f t="shared" si="20"/>
        <v>600</v>
      </c>
      <c r="I145" s="67">
        <f t="shared" si="21"/>
        <v>0</v>
      </c>
      <c r="J145" s="67">
        <f t="shared" si="22"/>
        <v>85200</v>
      </c>
      <c r="K145" s="67">
        <f t="shared" si="23"/>
        <v>85200</v>
      </c>
      <c r="L145" s="65"/>
    </row>
    <row r="146" spans="2:12" x14ac:dyDescent="0.35">
      <c r="B146" s="75" t="s">
        <v>349</v>
      </c>
      <c r="C146" s="93" t="s">
        <v>411</v>
      </c>
      <c r="D146" s="71" t="s">
        <v>26</v>
      </c>
      <c r="E146" s="69">
        <f>E145*0.045*1.02</f>
        <v>6.5177999999999994</v>
      </c>
      <c r="F146" s="78">
        <v>7950</v>
      </c>
      <c r="G146" s="67"/>
      <c r="H146" s="67">
        <f t="shared" si="20"/>
        <v>7950</v>
      </c>
      <c r="I146" s="67">
        <f t="shared" si="21"/>
        <v>51816.509999999995</v>
      </c>
      <c r="J146" s="67">
        <f t="shared" si="22"/>
        <v>0</v>
      </c>
      <c r="K146" s="67">
        <f t="shared" si="23"/>
        <v>51816.509999999995</v>
      </c>
      <c r="L146" s="65"/>
    </row>
    <row r="147" spans="2:12" x14ac:dyDescent="0.35">
      <c r="B147" s="75" t="s">
        <v>353</v>
      </c>
      <c r="C147" s="102" t="s">
        <v>192</v>
      </c>
      <c r="D147" s="92" t="s">
        <v>25</v>
      </c>
      <c r="E147" s="69">
        <f>E145*1.1</f>
        <v>156.20000000000002</v>
      </c>
      <c r="F147" s="69">
        <v>181.29</v>
      </c>
      <c r="G147" s="67"/>
      <c r="H147" s="67">
        <f t="shared" si="20"/>
        <v>181.29</v>
      </c>
      <c r="I147" s="67">
        <f t="shared" si="21"/>
        <v>28317.498000000003</v>
      </c>
      <c r="J147" s="67">
        <f t="shared" si="22"/>
        <v>0</v>
      </c>
      <c r="K147" s="67">
        <f t="shared" si="23"/>
        <v>28317.498000000003</v>
      </c>
      <c r="L147" s="65"/>
    </row>
    <row r="148" spans="2:12" x14ac:dyDescent="0.35">
      <c r="B148" s="75" t="s">
        <v>238</v>
      </c>
      <c r="C148" s="73" t="s">
        <v>230</v>
      </c>
      <c r="D148" s="71"/>
      <c r="E148" s="69"/>
      <c r="F148" s="69"/>
      <c r="G148" s="67"/>
      <c r="H148" s="67">
        <f t="shared" si="20"/>
        <v>0</v>
      </c>
      <c r="I148" s="67">
        <f t="shared" si="21"/>
        <v>0</v>
      </c>
      <c r="J148" s="67">
        <f t="shared" si="22"/>
        <v>0</v>
      </c>
      <c r="K148" s="67">
        <f t="shared" si="23"/>
        <v>0</v>
      </c>
      <c r="L148" s="65"/>
    </row>
    <row r="149" spans="2:12" x14ac:dyDescent="0.35">
      <c r="B149" s="75" t="s">
        <v>185</v>
      </c>
      <c r="C149" s="64" t="s">
        <v>401</v>
      </c>
      <c r="D149" s="71" t="s">
        <v>25</v>
      </c>
      <c r="E149" s="69">
        <v>475.5</v>
      </c>
      <c r="F149" s="69"/>
      <c r="G149" s="67">
        <v>100</v>
      </c>
      <c r="H149" s="67">
        <f t="shared" si="20"/>
        <v>100</v>
      </c>
      <c r="I149" s="67">
        <f t="shared" si="21"/>
        <v>0</v>
      </c>
      <c r="J149" s="67">
        <f t="shared" si="22"/>
        <v>47550</v>
      </c>
      <c r="K149" s="67">
        <f t="shared" si="23"/>
        <v>47550</v>
      </c>
      <c r="L149" s="65"/>
    </row>
    <row r="150" spans="2:12" x14ac:dyDescent="0.35">
      <c r="B150" s="75" t="s">
        <v>354</v>
      </c>
      <c r="C150" s="102" t="s">
        <v>402</v>
      </c>
      <c r="D150" s="71" t="s">
        <v>209</v>
      </c>
      <c r="E150" s="69">
        <f>E149*0.2</f>
        <v>95.100000000000009</v>
      </c>
      <c r="F150" s="69">
        <v>305</v>
      </c>
      <c r="G150" s="67"/>
      <c r="H150" s="67">
        <f t="shared" si="20"/>
        <v>305</v>
      </c>
      <c r="I150" s="67">
        <f t="shared" si="21"/>
        <v>29005.500000000004</v>
      </c>
      <c r="J150" s="67">
        <f t="shared" si="22"/>
        <v>0</v>
      </c>
      <c r="K150" s="67">
        <f t="shared" si="23"/>
        <v>29005.500000000004</v>
      </c>
      <c r="L150" s="65"/>
    </row>
    <row r="151" spans="2:12" x14ac:dyDescent="0.35">
      <c r="B151" s="75" t="s">
        <v>355</v>
      </c>
      <c r="C151" s="64" t="s">
        <v>212</v>
      </c>
      <c r="D151" s="71" t="s">
        <v>25</v>
      </c>
      <c r="E151" s="69">
        <v>475.5</v>
      </c>
      <c r="F151" s="69"/>
      <c r="G151" s="67">
        <v>430</v>
      </c>
      <c r="H151" s="67">
        <f t="shared" si="20"/>
        <v>430</v>
      </c>
      <c r="I151" s="67">
        <f t="shared" si="21"/>
        <v>0</v>
      </c>
      <c r="J151" s="67">
        <f t="shared" si="22"/>
        <v>204465</v>
      </c>
      <c r="K151" s="67">
        <f t="shared" si="23"/>
        <v>204465</v>
      </c>
      <c r="L151" s="65"/>
    </row>
    <row r="152" spans="2:12" x14ac:dyDescent="0.35">
      <c r="B152" s="75" t="s">
        <v>356</v>
      </c>
      <c r="C152" s="102" t="s">
        <v>213</v>
      </c>
      <c r="D152" s="71" t="s">
        <v>25</v>
      </c>
      <c r="E152" s="69">
        <f>E151*1.1</f>
        <v>523.05000000000007</v>
      </c>
      <c r="F152" s="69">
        <v>244.1</v>
      </c>
      <c r="G152" s="67"/>
      <c r="H152" s="67">
        <f t="shared" si="20"/>
        <v>244.1</v>
      </c>
      <c r="I152" s="67">
        <f t="shared" si="21"/>
        <v>127676.50500000002</v>
      </c>
      <c r="J152" s="67">
        <f t="shared" si="22"/>
        <v>0</v>
      </c>
      <c r="K152" s="67">
        <f t="shared" si="23"/>
        <v>127676.50500000002</v>
      </c>
      <c r="L152" s="65"/>
    </row>
    <row r="153" spans="2:12" ht="31" x14ac:dyDescent="0.35">
      <c r="B153" s="75" t="s">
        <v>357</v>
      </c>
      <c r="C153" s="64" t="s">
        <v>231</v>
      </c>
      <c r="D153" s="71" t="s">
        <v>25</v>
      </c>
      <c r="E153" s="69">
        <v>475.5</v>
      </c>
      <c r="F153" s="69"/>
      <c r="G153" s="67">
        <v>850</v>
      </c>
      <c r="H153" s="67">
        <f t="shared" si="20"/>
        <v>850</v>
      </c>
      <c r="I153" s="67">
        <f t="shared" si="21"/>
        <v>0</v>
      </c>
      <c r="J153" s="67">
        <f t="shared" si="22"/>
        <v>404175</v>
      </c>
      <c r="K153" s="67">
        <f t="shared" si="23"/>
        <v>404175</v>
      </c>
      <c r="L153" s="65"/>
    </row>
    <row r="154" spans="2:12" x14ac:dyDescent="0.35">
      <c r="B154" s="75" t="s">
        <v>358</v>
      </c>
      <c r="C154" s="102" t="s">
        <v>200</v>
      </c>
      <c r="D154" s="71" t="s">
        <v>26</v>
      </c>
      <c r="E154" s="69">
        <f>E153*0.25*1.3</f>
        <v>154.53749999999999</v>
      </c>
      <c r="F154" s="69">
        <v>7200</v>
      </c>
      <c r="G154" s="67"/>
      <c r="H154" s="67">
        <f t="shared" si="20"/>
        <v>7200</v>
      </c>
      <c r="I154" s="67">
        <f t="shared" si="21"/>
        <v>1112670</v>
      </c>
      <c r="J154" s="67">
        <f t="shared" si="22"/>
        <v>0</v>
      </c>
      <c r="K154" s="67">
        <f t="shared" si="23"/>
        <v>1112670</v>
      </c>
      <c r="L154" s="65"/>
    </row>
    <row r="155" spans="2:12" x14ac:dyDescent="0.35">
      <c r="B155" s="75" t="s">
        <v>359</v>
      </c>
      <c r="C155" s="64" t="s">
        <v>393</v>
      </c>
      <c r="D155" s="71" t="s">
        <v>25</v>
      </c>
      <c r="E155" s="69">
        <v>475.5</v>
      </c>
      <c r="F155" s="67"/>
      <c r="G155" s="67">
        <v>40</v>
      </c>
      <c r="H155" s="67">
        <f t="shared" si="20"/>
        <v>40</v>
      </c>
      <c r="I155" s="67">
        <f t="shared" si="21"/>
        <v>0</v>
      </c>
      <c r="J155" s="67">
        <f t="shared" si="22"/>
        <v>19020</v>
      </c>
      <c r="K155" s="67">
        <f t="shared" si="23"/>
        <v>19020</v>
      </c>
      <c r="L155" s="65"/>
    </row>
    <row r="156" spans="2:12" x14ac:dyDescent="0.35">
      <c r="B156" s="75" t="s">
        <v>360</v>
      </c>
      <c r="C156" s="102" t="s">
        <v>190</v>
      </c>
      <c r="D156" s="71" t="s">
        <v>25</v>
      </c>
      <c r="E156" s="69">
        <f>E155*1.1</f>
        <v>523.05000000000007</v>
      </c>
      <c r="F156" s="67">
        <v>15.97</v>
      </c>
      <c r="G156" s="67"/>
      <c r="H156" s="67">
        <f t="shared" si="20"/>
        <v>15.97</v>
      </c>
      <c r="I156" s="67">
        <f t="shared" si="21"/>
        <v>8353.1085000000021</v>
      </c>
      <c r="J156" s="67">
        <f t="shared" si="22"/>
        <v>0</v>
      </c>
      <c r="K156" s="67">
        <f t="shared" si="23"/>
        <v>8353.1085000000021</v>
      </c>
      <c r="L156" s="65"/>
    </row>
    <row r="157" spans="2:12" ht="31" x14ac:dyDescent="0.35">
      <c r="B157" s="75" t="s">
        <v>361</v>
      </c>
      <c r="C157" s="72" t="s">
        <v>407</v>
      </c>
      <c r="D157" s="71" t="s">
        <v>25</v>
      </c>
      <c r="E157" s="69">
        <v>475.5</v>
      </c>
      <c r="F157" s="69"/>
      <c r="G157" s="67">
        <v>600</v>
      </c>
      <c r="H157" s="67">
        <f t="shared" si="20"/>
        <v>600</v>
      </c>
      <c r="I157" s="67">
        <f t="shared" si="21"/>
        <v>0</v>
      </c>
      <c r="J157" s="67">
        <f t="shared" si="22"/>
        <v>285300</v>
      </c>
      <c r="K157" s="67">
        <f t="shared" si="23"/>
        <v>285300</v>
      </c>
      <c r="L157" s="65"/>
    </row>
    <row r="158" spans="2:12" x14ac:dyDescent="0.35">
      <c r="B158" s="75" t="s">
        <v>362</v>
      </c>
      <c r="C158" s="93" t="s">
        <v>411</v>
      </c>
      <c r="D158" s="71" t="s">
        <v>26</v>
      </c>
      <c r="E158" s="69">
        <f>E157*0.05</f>
        <v>23.775000000000002</v>
      </c>
      <c r="F158" s="78">
        <v>7950</v>
      </c>
      <c r="G158" s="67"/>
      <c r="H158" s="67">
        <f t="shared" si="20"/>
        <v>7950</v>
      </c>
      <c r="I158" s="67">
        <f t="shared" si="21"/>
        <v>189011.25000000003</v>
      </c>
      <c r="J158" s="67">
        <f t="shared" si="22"/>
        <v>0</v>
      </c>
      <c r="K158" s="67">
        <f t="shared" si="23"/>
        <v>189011.25000000003</v>
      </c>
      <c r="L158" s="65"/>
    </row>
    <row r="159" spans="2:12" x14ac:dyDescent="0.35">
      <c r="B159" s="75" t="s">
        <v>363</v>
      </c>
      <c r="C159" s="102" t="s">
        <v>192</v>
      </c>
      <c r="D159" s="92" t="s">
        <v>25</v>
      </c>
      <c r="E159" s="69">
        <f>E157*1.1</f>
        <v>523.05000000000007</v>
      </c>
      <c r="F159" s="69">
        <v>181.29</v>
      </c>
      <c r="G159" s="67"/>
      <c r="H159" s="67">
        <f t="shared" si="20"/>
        <v>181.29</v>
      </c>
      <c r="I159" s="67">
        <f t="shared" si="21"/>
        <v>94823.734500000006</v>
      </c>
      <c r="J159" s="67">
        <f t="shared" si="22"/>
        <v>0</v>
      </c>
      <c r="K159" s="67">
        <f t="shared" si="23"/>
        <v>94823.734500000006</v>
      </c>
      <c r="L159" s="65"/>
    </row>
    <row r="160" spans="2:12" ht="31" x14ac:dyDescent="0.35">
      <c r="B160" s="75" t="s">
        <v>364</v>
      </c>
      <c r="C160" s="72" t="s">
        <v>412</v>
      </c>
      <c r="D160" s="76" t="s">
        <v>25</v>
      </c>
      <c r="E160" s="77">
        <v>476</v>
      </c>
      <c r="F160" s="69"/>
      <c r="G160" s="67">
        <v>100</v>
      </c>
      <c r="H160" s="67">
        <f t="shared" ref="H160:H161" si="24">F160+G160</f>
        <v>100</v>
      </c>
      <c r="I160" s="67">
        <f t="shared" ref="I160:I161" si="25">F160*E160</f>
        <v>0</v>
      </c>
      <c r="J160" s="67">
        <f t="shared" ref="J160:J161" si="26">G160*E160</f>
        <v>47600</v>
      </c>
      <c r="K160" s="67">
        <f t="shared" ref="K160:K161" si="27">I160+J160</f>
        <v>47600</v>
      </c>
      <c r="L160" s="65"/>
    </row>
    <row r="161" spans="2:12" x14ac:dyDescent="0.35">
      <c r="B161" s="75" t="s">
        <v>365</v>
      </c>
      <c r="C161" s="70" t="s">
        <v>188</v>
      </c>
      <c r="D161" s="76" t="s">
        <v>209</v>
      </c>
      <c r="E161" s="77">
        <f>E160*0.2</f>
        <v>95.2</v>
      </c>
      <c r="F161" s="69">
        <v>305</v>
      </c>
      <c r="G161" s="67"/>
      <c r="H161" s="67">
        <f t="shared" si="24"/>
        <v>305</v>
      </c>
      <c r="I161" s="67">
        <f t="shared" si="25"/>
        <v>29036</v>
      </c>
      <c r="J161" s="67">
        <f t="shared" si="26"/>
        <v>0</v>
      </c>
      <c r="K161" s="67">
        <f t="shared" si="27"/>
        <v>29036</v>
      </c>
      <c r="L161" s="65"/>
    </row>
    <row r="162" spans="2:12" ht="46.5" x14ac:dyDescent="0.35">
      <c r="B162" s="75" t="s">
        <v>366</v>
      </c>
      <c r="C162" s="79" t="s">
        <v>201</v>
      </c>
      <c r="D162" s="71" t="s">
        <v>25</v>
      </c>
      <c r="E162" s="69">
        <v>475.5</v>
      </c>
      <c r="F162" s="69"/>
      <c r="G162" s="99">
        <v>1050</v>
      </c>
      <c r="H162" s="67">
        <f t="shared" si="20"/>
        <v>1050</v>
      </c>
      <c r="I162" s="67">
        <f t="shared" si="21"/>
        <v>0</v>
      </c>
      <c r="J162" s="67">
        <f t="shared" si="22"/>
        <v>499275</v>
      </c>
      <c r="K162" s="67">
        <f t="shared" si="23"/>
        <v>499275</v>
      </c>
      <c r="L162" s="65"/>
    </row>
    <row r="163" spans="2:12" ht="31" x14ac:dyDescent="0.35">
      <c r="B163" s="75" t="s">
        <v>367</v>
      </c>
      <c r="C163" s="70" t="s">
        <v>193</v>
      </c>
      <c r="D163" s="71" t="s">
        <v>25</v>
      </c>
      <c r="E163" s="69">
        <f>E162*1.1</f>
        <v>523.05000000000007</v>
      </c>
      <c r="F163" s="69">
        <v>349.96</v>
      </c>
      <c r="G163" s="67"/>
      <c r="H163" s="67">
        <f t="shared" si="20"/>
        <v>349.96</v>
      </c>
      <c r="I163" s="67">
        <f t="shared" si="21"/>
        <v>183046.57800000001</v>
      </c>
      <c r="J163" s="67">
        <f t="shared" si="22"/>
        <v>0</v>
      </c>
      <c r="K163" s="67">
        <f t="shared" si="23"/>
        <v>183046.57800000001</v>
      </c>
      <c r="L163" s="65"/>
    </row>
    <row r="164" spans="2:12" x14ac:dyDescent="0.35">
      <c r="B164" s="75" t="s">
        <v>368</v>
      </c>
      <c r="C164" s="70" t="s">
        <v>194</v>
      </c>
      <c r="D164" s="94" t="s">
        <v>25</v>
      </c>
      <c r="E164" s="69">
        <f>E162*1.1</f>
        <v>523.05000000000007</v>
      </c>
      <c r="F164" s="69">
        <v>371.91</v>
      </c>
      <c r="G164" s="67"/>
      <c r="H164" s="67">
        <f t="shared" si="20"/>
        <v>371.91</v>
      </c>
      <c r="I164" s="67">
        <f t="shared" si="21"/>
        <v>194527.52550000005</v>
      </c>
      <c r="J164" s="67">
        <f t="shared" si="22"/>
        <v>0</v>
      </c>
      <c r="K164" s="67">
        <f t="shared" si="23"/>
        <v>194527.52550000005</v>
      </c>
      <c r="L164" s="65"/>
    </row>
    <row r="165" spans="2:12" x14ac:dyDescent="0.35">
      <c r="B165" s="75" t="s">
        <v>369</v>
      </c>
      <c r="C165" s="72" t="s">
        <v>220</v>
      </c>
      <c r="D165" s="76" t="s">
        <v>25</v>
      </c>
      <c r="E165" s="77">
        <v>475.5</v>
      </c>
      <c r="F165" s="78"/>
      <c r="G165" s="99">
        <v>275</v>
      </c>
      <c r="H165" s="67">
        <f t="shared" si="20"/>
        <v>275</v>
      </c>
      <c r="I165" s="67">
        <f t="shared" si="21"/>
        <v>0</v>
      </c>
      <c r="J165" s="67">
        <f t="shared" si="22"/>
        <v>130762.5</v>
      </c>
      <c r="K165" s="67">
        <f t="shared" si="23"/>
        <v>130762.5</v>
      </c>
      <c r="L165" s="65"/>
    </row>
    <row r="166" spans="2:12" x14ac:dyDescent="0.35">
      <c r="B166" s="75" t="s">
        <v>370</v>
      </c>
      <c r="C166" s="70" t="s">
        <v>417</v>
      </c>
      <c r="D166" s="76" t="s">
        <v>25</v>
      </c>
      <c r="E166" s="77">
        <f>E165*1.1</f>
        <v>523.05000000000007</v>
      </c>
      <c r="F166" s="78">
        <v>1552.7</v>
      </c>
      <c r="G166" s="67"/>
      <c r="H166" s="67">
        <f t="shared" si="20"/>
        <v>1552.7</v>
      </c>
      <c r="I166" s="67">
        <f t="shared" si="21"/>
        <v>812139.7350000001</v>
      </c>
      <c r="J166" s="67">
        <f t="shared" si="22"/>
        <v>0</v>
      </c>
      <c r="K166" s="67">
        <f t="shared" si="23"/>
        <v>812139.7350000001</v>
      </c>
      <c r="L166" s="65"/>
    </row>
    <row r="167" spans="2:12" ht="31" x14ac:dyDescent="0.35">
      <c r="B167" s="75" t="s">
        <v>371</v>
      </c>
      <c r="C167" s="72" t="s">
        <v>232</v>
      </c>
      <c r="D167" s="76" t="s">
        <v>25</v>
      </c>
      <c r="E167" s="77">
        <v>475.5</v>
      </c>
      <c r="F167" s="69"/>
      <c r="G167" s="67">
        <v>960</v>
      </c>
      <c r="H167" s="67">
        <f t="shared" si="20"/>
        <v>960</v>
      </c>
      <c r="I167" s="67">
        <f t="shared" si="21"/>
        <v>0</v>
      </c>
      <c r="J167" s="67">
        <f t="shared" si="22"/>
        <v>456480</v>
      </c>
      <c r="K167" s="67">
        <f t="shared" si="23"/>
        <v>456480</v>
      </c>
      <c r="L167" s="65"/>
    </row>
    <row r="168" spans="2:12" x14ac:dyDescent="0.35">
      <c r="B168" s="75" t="s">
        <v>421</v>
      </c>
      <c r="C168" s="70" t="s">
        <v>221</v>
      </c>
      <c r="D168" s="76" t="s">
        <v>26</v>
      </c>
      <c r="E168" s="77">
        <f>E167*0.36*1.1</f>
        <v>188.29800000000003</v>
      </c>
      <c r="F168" s="69">
        <v>1750</v>
      </c>
      <c r="G168" s="67"/>
      <c r="H168" s="67">
        <f t="shared" si="20"/>
        <v>1750</v>
      </c>
      <c r="I168" s="67">
        <f t="shared" si="21"/>
        <v>329521.50000000006</v>
      </c>
      <c r="J168" s="67">
        <f t="shared" si="22"/>
        <v>0</v>
      </c>
      <c r="K168" s="67">
        <f t="shared" si="23"/>
        <v>329521.50000000006</v>
      </c>
      <c r="L168" s="65"/>
    </row>
    <row r="169" spans="2:12" x14ac:dyDescent="0.35">
      <c r="B169" s="75" t="s">
        <v>239</v>
      </c>
      <c r="C169" s="73" t="s">
        <v>233</v>
      </c>
      <c r="D169" s="71"/>
      <c r="E169" s="69"/>
      <c r="F169" s="69"/>
      <c r="G169" s="67"/>
      <c r="H169" s="67">
        <f t="shared" si="20"/>
        <v>0</v>
      </c>
      <c r="I169" s="67">
        <f t="shared" si="21"/>
        <v>0</v>
      </c>
      <c r="J169" s="67">
        <f t="shared" si="22"/>
        <v>0</v>
      </c>
      <c r="K169" s="67">
        <f t="shared" si="23"/>
        <v>0</v>
      </c>
      <c r="L169" s="65"/>
    </row>
    <row r="170" spans="2:12" x14ac:dyDescent="0.35">
      <c r="B170" s="75" t="s">
        <v>186</v>
      </c>
      <c r="C170" s="72" t="s">
        <v>401</v>
      </c>
      <c r="D170" s="76" t="s">
        <v>25</v>
      </c>
      <c r="E170" s="104">
        <v>148.6</v>
      </c>
      <c r="F170" s="69"/>
      <c r="G170" s="67">
        <v>100</v>
      </c>
      <c r="H170" s="67">
        <f t="shared" si="20"/>
        <v>100</v>
      </c>
      <c r="I170" s="67">
        <f t="shared" si="21"/>
        <v>0</v>
      </c>
      <c r="J170" s="67">
        <f t="shared" si="22"/>
        <v>14860</v>
      </c>
      <c r="K170" s="67">
        <f t="shared" si="23"/>
        <v>14860</v>
      </c>
      <c r="L170" s="65"/>
    </row>
    <row r="171" spans="2:12" x14ac:dyDescent="0.35">
      <c r="B171" s="75" t="s">
        <v>372</v>
      </c>
      <c r="C171" s="70" t="s">
        <v>402</v>
      </c>
      <c r="D171" s="76" t="s">
        <v>209</v>
      </c>
      <c r="E171" s="104">
        <f>E170*0.2</f>
        <v>29.72</v>
      </c>
      <c r="F171" s="69">
        <v>305</v>
      </c>
      <c r="G171" s="67"/>
      <c r="H171" s="67">
        <f t="shared" si="20"/>
        <v>305</v>
      </c>
      <c r="I171" s="67">
        <f t="shared" si="21"/>
        <v>9064.6</v>
      </c>
      <c r="J171" s="67">
        <f t="shared" si="22"/>
        <v>0</v>
      </c>
      <c r="K171" s="67">
        <f t="shared" si="23"/>
        <v>9064.6</v>
      </c>
      <c r="L171" s="65"/>
    </row>
    <row r="172" spans="2:12" x14ac:dyDescent="0.35">
      <c r="B172" s="75" t="s">
        <v>373</v>
      </c>
      <c r="C172" s="72" t="s">
        <v>212</v>
      </c>
      <c r="D172" s="76" t="s">
        <v>25</v>
      </c>
      <c r="E172" s="104">
        <v>148.6</v>
      </c>
      <c r="F172" s="69"/>
      <c r="G172" s="67">
        <v>430</v>
      </c>
      <c r="H172" s="67">
        <f t="shared" si="20"/>
        <v>430</v>
      </c>
      <c r="I172" s="67">
        <f t="shared" si="21"/>
        <v>0</v>
      </c>
      <c r="J172" s="67">
        <f t="shared" si="22"/>
        <v>63898</v>
      </c>
      <c r="K172" s="67">
        <f t="shared" si="23"/>
        <v>63898</v>
      </c>
      <c r="L172" s="65"/>
    </row>
    <row r="173" spans="2:12" x14ac:dyDescent="0.35">
      <c r="B173" s="75" t="s">
        <v>374</v>
      </c>
      <c r="C173" s="70" t="s">
        <v>213</v>
      </c>
      <c r="D173" s="76" t="s">
        <v>25</v>
      </c>
      <c r="E173" s="104">
        <f>E170*1.1</f>
        <v>163.46</v>
      </c>
      <c r="F173" s="69">
        <v>244.1</v>
      </c>
      <c r="G173" s="67"/>
      <c r="H173" s="67">
        <f t="shared" si="20"/>
        <v>244.1</v>
      </c>
      <c r="I173" s="67">
        <f t="shared" si="21"/>
        <v>39900.586000000003</v>
      </c>
      <c r="J173" s="67">
        <f t="shared" si="22"/>
        <v>0</v>
      </c>
      <c r="K173" s="67">
        <f t="shared" si="23"/>
        <v>39900.586000000003</v>
      </c>
      <c r="L173" s="65"/>
    </row>
    <row r="174" spans="2:12" ht="31" x14ac:dyDescent="0.35">
      <c r="B174" s="75" t="s">
        <v>375</v>
      </c>
      <c r="C174" s="72" t="s">
        <v>234</v>
      </c>
      <c r="D174" s="76" t="s">
        <v>25</v>
      </c>
      <c r="E174" s="104">
        <v>148.6</v>
      </c>
      <c r="F174" s="69"/>
      <c r="G174" s="67">
        <v>850</v>
      </c>
      <c r="H174" s="67">
        <f t="shared" si="20"/>
        <v>850</v>
      </c>
      <c r="I174" s="67">
        <f t="shared" si="21"/>
        <v>0</v>
      </c>
      <c r="J174" s="67">
        <f t="shared" si="22"/>
        <v>126310</v>
      </c>
      <c r="K174" s="67">
        <f t="shared" si="23"/>
        <v>126310</v>
      </c>
      <c r="L174" s="65"/>
    </row>
    <row r="175" spans="2:12" x14ac:dyDescent="0.35">
      <c r="B175" s="75" t="s">
        <v>376</v>
      </c>
      <c r="C175" s="70" t="s">
        <v>200</v>
      </c>
      <c r="D175" s="76" t="s">
        <v>26</v>
      </c>
      <c r="E175" s="104">
        <f>E174*0.2*1.3</f>
        <v>38.636000000000003</v>
      </c>
      <c r="F175" s="69">
        <v>7200</v>
      </c>
      <c r="G175" s="67"/>
      <c r="H175" s="67">
        <f t="shared" si="20"/>
        <v>7200</v>
      </c>
      <c r="I175" s="67">
        <f t="shared" si="21"/>
        <v>278179.20000000001</v>
      </c>
      <c r="J175" s="67">
        <f t="shared" si="22"/>
        <v>0</v>
      </c>
      <c r="K175" s="67">
        <f t="shared" si="23"/>
        <v>278179.20000000001</v>
      </c>
      <c r="L175" s="65"/>
    </row>
    <row r="176" spans="2:12" x14ac:dyDescent="0.35">
      <c r="B176" s="75" t="s">
        <v>377</v>
      </c>
      <c r="C176" s="72" t="s">
        <v>393</v>
      </c>
      <c r="D176" s="76" t="s">
        <v>25</v>
      </c>
      <c r="E176" s="104">
        <v>148.6</v>
      </c>
      <c r="F176" s="67"/>
      <c r="G176" s="67">
        <v>40</v>
      </c>
      <c r="H176" s="67">
        <f t="shared" si="20"/>
        <v>40</v>
      </c>
      <c r="I176" s="67">
        <f t="shared" si="21"/>
        <v>0</v>
      </c>
      <c r="J176" s="67">
        <f t="shared" si="22"/>
        <v>5944</v>
      </c>
      <c r="K176" s="67">
        <f t="shared" si="23"/>
        <v>5944</v>
      </c>
      <c r="L176" s="65"/>
    </row>
    <row r="177" spans="2:12" x14ac:dyDescent="0.35">
      <c r="B177" s="75" t="s">
        <v>378</v>
      </c>
      <c r="C177" s="70" t="s">
        <v>190</v>
      </c>
      <c r="D177" s="76" t="s">
        <v>25</v>
      </c>
      <c r="E177" s="104">
        <f>E176*1.1</f>
        <v>163.46</v>
      </c>
      <c r="F177" s="67">
        <v>15.97</v>
      </c>
      <c r="G177" s="67"/>
      <c r="H177" s="67">
        <f t="shared" si="20"/>
        <v>15.97</v>
      </c>
      <c r="I177" s="67">
        <f t="shared" si="21"/>
        <v>2610.4562000000001</v>
      </c>
      <c r="J177" s="67">
        <f t="shared" si="22"/>
        <v>0</v>
      </c>
      <c r="K177" s="67">
        <f t="shared" si="23"/>
        <v>2610.4562000000001</v>
      </c>
      <c r="L177" s="65"/>
    </row>
    <row r="178" spans="2:12" ht="31" x14ac:dyDescent="0.35">
      <c r="B178" s="75" t="s">
        <v>379</v>
      </c>
      <c r="C178" s="72" t="s">
        <v>407</v>
      </c>
      <c r="D178" s="76" t="s">
        <v>25</v>
      </c>
      <c r="E178" s="104">
        <v>148.6</v>
      </c>
      <c r="F178" s="69"/>
      <c r="G178" s="67">
        <v>600</v>
      </c>
      <c r="H178" s="67">
        <f t="shared" si="20"/>
        <v>600</v>
      </c>
      <c r="I178" s="67">
        <f t="shared" si="21"/>
        <v>0</v>
      </c>
      <c r="J178" s="67">
        <f t="shared" si="22"/>
        <v>89160</v>
      </c>
      <c r="K178" s="67">
        <f t="shared" si="23"/>
        <v>89160</v>
      </c>
      <c r="L178" s="65"/>
    </row>
    <row r="179" spans="2:12" x14ac:dyDescent="0.35">
      <c r="B179" s="75" t="s">
        <v>380</v>
      </c>
      <c r="C179" s="70" t="s">
        <v>408</v>
      </c>
      <c r="D179" s="76" t="s">
        <v>26</v>
      </c>
      <c r="E179" s="104">
        <f>E178*0.05*1.02</f>
        <v>7.5785999999999998</v>
      </c>
      <c r="F179" s="78">
        <v>7950</v>
      </c>
      <c r="G179" s="67"/>
      <c r="H179" s="67">
        <f t="shared" si="20"/>
        <v>7950</v>
      </c>
      <c r="I179" s="67">
        <f t="shared" si="21"/>
        <v>60249.869999999995</v>
      </c>
      <c r="J179" s="67">
        <f t="shared" si="22"/>
        <v>0</v>
      </c>
      <c r="K179" s="67">
        <f t="shared" si="23"/>
        <v>60249.869999999995</v>
      </c>
      <c r="L179" s="65"/>
    </row>
    <row r="180" spans="2:12" x14ac:dyDescent="0.35">
      <c r="B180" s="75" t="s">
        <v>381</v>
      </c>
      <c r="C180" s="70" t="s">
        <v>192</v>
      </c>
      <c r="D180" s="92" t="s">
        <v>25</v>
      </c>
      <c r="E180" s="104">
        <f>E170*1.1</f>
        <v>163.46</v>
      </c>
      <c r="F180" s="69">
        <v>181.29</v>
      </c>
      <c r="G180" s="67"/>
      <c r="H180" s="67">
        <f t="shared" si="20"/>
        <v>181.29</v>
      </c>
      <c r="I180" s="67">
        <f t="shared" si="21"/>
        <v>29633.663400000001</v>
      </c>
      <c r="J180" s="67">
        <f t="shared" si="22"/>
        <v>0</v>
      </c>
      <c r="K180" s="67">
        <f t="shared" si="23"/>
        <v>29633.663400000001</v>
      </c>
      <c r="L180" s="65"/>
    </row>
    <row r="181" spans="2:12" ht="31" x14ac:dyDescent="0.35">
      <c r="B181" s="75" t="s">
        <v>382</v>
      </c>
      <c r="C181" s="72" t="s">
        <v>412</v>
      </c>
      <c r="D181" s="76" t="s">
        <v>25</v>
      </c>
      <c r="E181" s="77">
        <v>149</v>
      </c>
      <c r="F181" s="69"/>
      <c r="G181" s="67">
        <v>100</v>
      </c>
      <c r="H181" s="67">
        <f t="shared" ref="H181:H182" si="28">F181+G181</f>
        <v>100</v>
      </c>
      <c r="I181" s="67">
        <f t="shared" ref="I181:I182" si="29">F181*E181</f>
        <v>0</v>
      </c>
      <c r="J181" s="67">
        <f t="shared" ref="J181:J182" si="30">G181*E181</f>
        <v>14900</v>
      </c>
      <c r="K181" s="67">
        <f t="shared" ref="K181:K182" si="31">I181+J181</f>
        <v>14900</v>
      </c>
      <c r="L181" s="65"/>
    </row>
    <row r="182" spans="2:12" x14ac:dyDescent="0.35">
      <c r="B182" s="75" t="s">
        <v>383</v>
      </c>
      <c r="C182" s="70" t="s">
        <v>188</v>
      </c>
      <c r="D182" s="76" t="s">
        <v>209</v>
      </c>
      <c r="E182" s="77">
        <f>E181*0.2</f>
        <v>29.8</v>
      </c>
      <c r="F182" s="69">
        <v>305</v>
      </c>
      <c r="G182" s="67"/>
      <c r="H182" s="67">
        <f t="shared" si="28"/>
        <v>305</v>
      </c>
      <c r="I182" s="67">
        <f t="shared" si="29"/>
        <v>9089</v>
      </c>
      <c r="J182" s="67">
        <f t="shared" si="30"/>
        <v>0</v>
      </c>
      <c r="K182" s="67">
        <f t="shared" si="31"/>
        <v>9089</v>
      </c>
      <c r="L182" s="65"/>
    </row>
    <row r="183" spans="2:12" ht="46.5" x14ac:dyDescent="0.35">
      <c r="B183" s="75" t="s">
        <v>384</v>
      </c>
      <c r="C183" s="72" t="s">
        <v>201</v>
      </c>
      <c r="D183" s="76" t="s">
        <v>25</v>
      </c>
      <c r="E183" s="104">
        <v>148.6</v>
      </c>
      <c r="F183" s="69"/>
      <c r="G183" s="99">
        <v>1050</v>
      </c>
      <c r="H183" s="67">
        <f t="shared" si="20"/>
        <v>1050</v>
      </c>
      <c r="I183" s="67">
        <f t="shared" si="21"/>
        <v>0</v>
      </c>
      <c r="J183" s="67">
        <f t="shared" si="22"/>
        <v>156030</v>
      </c>
      <c r="K183" s="67">
        <f t="shared" si="23"/>
        <v>156030</v>
      </c>
      <c r="L183" s="65"/>
    </row>
    <row r="184" spans="2:12" ht="31" x14ac:dyDescent="0.35">
      <c r="B184" s="75" t="s">
        <v>385</v>
      </c>
      <c r="C184" s="70" t="s">
        <v>193</v>
      </c>
      <c r="D184" s="76" t="s">
        <v>25</v>
      </c>
      <c r="E184" s="104">
        <f>E183*1.1</f>
        <v>163.46</v>
      </c>
      <c r="F184" s="69">
        <v>349.96</v>
      </c>
      <c r="G184" s="67"/>
      <c r="H184" s="67">
        <f t="shared" si="20"/>
        <v>349.96</v>
      </c>
      <c r="I184" s="67">
        <f t="shared" si="21"/>
        <v>57204.461600000002</v>
      </c>
      <c r="J184" s="67">
        <f t="shared" si="22"/>
        <v>0</v>
      </c>
      <c r="K184" s="67">
        <f t="shared" si="23"/>
        <v>57204.461600000002</v>
      </c>
      <c r="L184" s="65"/>
    </row>
    <row r="185" spans="2:12" x14ac:dyDescent="0.35">
      <c r="B185" s="75" t="s">
        <v>386</v>
      </c>
      <c r="C185" s="70" t="s">
        <v>194</v>
      </c>
      <c r="D185" s="94" t="s">
        <v>25</v>
      </c>
      <c r="E185" s="104">
        <f>E183*1.1</f>
        <v>163.46</v>
      </c>
      <c r="F185" s="69">
        <v>371.91</v>
      </c>
      <c r="G185" s="67"/>
      <c r="H185" s="67">
        <f t="shared" si="20"/>
        <v>371.91</v>
      </c>
      <c r="I185" s="67">
        <f t="shared" si="21"/>
        <v>60792.40860000001</v>
      </c>
      <c r="J185" s="67">
        <f t="shared" si="22"/>
        <v>0</v>
      </c>
      <c r="K185" s="67">
        <f t="shared" si="23"/>
        <v>60792.40860000001</v>
      </c>
      <c r="L185" s="65"/>
    </row>
    <row r="186" spans="2:12" x14ac:dyDescent="0.35">
      <c r="B186" s="75" t="s">
        <v>387</v>
      </c>
      <c r="C186" s="79" t="s">
        <v>220</v>
      </c>
      <c r="D186" s="76" t="s">
        <v>25</v>
      </c>
      <c r="E186" s="77">
        <v>148.6</v>
      </c>
      <c r="F186" s="78"/>
      <c r="G186" s="99">
        <v>275</v>
      </c>
      <c r="H186" s="67">
        <f t="shared" si="20"/>
        <v>275</v>
      </c>
      <c r="I186" s="67">
        <f t="shared" si="21"/>
        <v>0</v>
      </c>
      <c r="J186" s="67">
        <f t="shared" si="22"/>
        <v>40865</v>
      </c>
      <c r="K186" s="67">
        <f t="shared" si="23"/>
        <v>40865</v>
      </c>
      <c r="L186" s="65"/>
    </row>
    <row r="187" spans="2:12" x14ac:dyDescent="0.35">
      <c r="B187" s="75" t="s">
        <v>388</v>
      </c>
      <c r="C187" s="70" t="s">
        <v>417</v>
      </c>
      <c r="D187" s="76" t="s">
        <v>25</v>
      </c>
      <c r="E187" s="77">
        <f>E186*1.1</f>
        <v>163.46</v>
      </c>
      <c r="F187" s="78">
        <v>1552.7</v>
      </c>
      <c r="G187" s="67"/>
      <c r="H187" s="67">
        <f t="shared" si="20"/>
        <v>1552.7</v>
      </c>
      <c r="I187" s="67">
        <f t="shared" si="21"/>
        <v>253804.34200000003</v>
      </c>
      <c r="J187" s="67">
        <f t="shared" si="22"/>
        <v>0</v>
      </c>
      <c r="K187" s="67">
        <f t="shared" si="23"/>
        <v>253804.34200000003</v>
      </c>
      <c r="L187" s="65"/>
    </row>
    <row r="188" spans="2:12" ht="31" x14ac:dyDescent="0.35">
      <c r="B188" s="75" t="s">
        <v>389</v>
      </c>
      <c r="C188" s="72" t="s">
        <v>409</v>
      </c>
      <c r="D188" s="76" t="s">
        <v>25</v>
      </c>
      <c r="E188" s="77">
        <v>148.6</v>
      </c>
      <c r="F188" s="69"/>
      <c r="G188" s="67">
        <v>960</v>
      </c>
      <c r="H188" s="67">
        <f t="shared" si="20"/>
        <v>960</v>
      </c>
      <c r="I188" s="67">
        <f t="shared" si="21"/>
        <v>0</v>
      </c>
      <c r="J188" s="67">
        <f t="shared" si="22"/>
        <v>142656</v>
      </c>
      <c r="K188" s="67">
        <f t="shared" si="23"/>
        <v>142656</v>
      </c>
      <c r="L188" s="65"/>
    </row>
    <row r="189" spans="2:12" x14ac:dyDescent="0.35">
      <c r="B189" s="75" t="s">
        <v>390</v>
      </c>
      <c r="C189" s="70" t="s">
        <v>394</v>
      </c>
      <c r="D189" s="76" t="s">
        <v>26</v>
      </c>
      <c r="E189" s="77">
        <f>E188*0.36*1.1</f>
        <v>58.845599999999997</v>
      </c>
      <c r="F189" s="69">
        <v>1750</v>
      </c>
      <c r="G189" s="67"/>
      <c r="H189" s="67">
        <f t="shared" si="20"/>
        <v>1750</v>
      </c>
      <c r="I189" s="67">
        <f t="shared" si="21"/>
        <v>102979.79999999999</v>
      </c>
      <c r="J189" s="67">
        <f t="shared" si="22"/>
        <v>0</v>
      </c>
      <c r="K189" s="67">
        <f t="shared" si="23"/>
        <v>102979.79999999999</v>
      </c>
      <c r="L189" s="65"/>
    </row>
    <row r="190" spans="2:12" x14ac:dyDescent="0.35">
      <c r="B190" s="75" t="s">
        <v>391</v>
      </c>
      <c r="C190" s="72" t="s">
        <v>219</v>
      </c>
      <c r="D190" s="76" t="s">
        <v>25</v>
      </c>
      <c r="E190" s="77">
        <v>149</v>
      </c>
      <c r="F190" s="69"/>
      <c r="G190" s="67">
        <v>60</v>
      </c>
      <c r="H190" s="67">
        <f t="shared" si="20"/>
        <v>60</v>
      </c>
      <c r="I190" s="67">
        <f t="shared" si="21"/>
        <v>0</v>
      </c>
      <c r="J190" s="67">
        <f t="shared" si="22"/>
        <v>8940</v>
      </c>
      <c r="K190" s="67">
        <f t="shared" si="23"/>
        <v>8940</v>
      </c>
      <c r="L190" s="65"/>
    </row>
    <row r="191" spans="2:12" x14ac:dyDescent="0.35">
      <c r="B191" s="75" t="s">
        <v>392</v>
      </c>
      <c r="C191" s="70" t="s">
        <v>406</v>
      </c>
      <c r="D191" s="76" t="s">
        <v>25</v>
      </c>
      <c r="E191" s="104">
        <f>E188*1.1</f>
        <v>163.46</v>
      </c>
      <c r="F191" s="69">
        <v>130</v>
      </c>
      <c r="G191" s="67"/>
      <c r="H191" s="67">
        <f t="shared" si="20"/>
        <v>130</v>
      </c>
      <c r="I191" s="67">
        <f t="shared" si="21"/>
        <v>21249.8</v>
      </c>
      <c r="J191" s="67">
        <f t="shared" si="22"/>
        <v>0</v>
      </c>
      <c r="K191" s="67">
        <f t="shared" si="23"/>
        <v>21249.8</v>
      </c>
      <c r="L191" s="65"/>
    </row>
    <row r="192" spans="2:12" x14ac:dyDescent="0.35">
      <c r="B192" s="82"/>
      <c r="C192" s="64"/>
      <c r="D192" s="65"/>
      <c r="E192" s="69"/>
      <c r="F192" s="69"/>
      <c r="G192" s="67"/>
      <c r="H192" s="67">
        <f t="shared" si="20"/>
        <v>0</v>
      </c>
      <c r="I192" s="67">
        <f t="shared" si="21"/>
        <v>0</v>
      </c>
      <c r="J192" s="67">
        <f t="shared" si="22"/>
        <v>0</v>
      </c>
      <c r="K192" s="67">
        <f t="shared" si="23"/>
        <v>0</v>
      </c>
      <c r="L192" s="65"/>
    </row>
    <row r="193" spans="2:16" x14ac:dyDescent="0.35">
      <c r="B193" s="82"/>
      <c r="C193" s="117" t="s">
        <v>404</v>
      </c>
      <c r="D193" s="105"/>
      <c r="E193" s="106"/>
      <c r="F193" s="105"/>
      <c r="G193" s="107"/>
      <c r="H193" s="107"/>
      <c r="I193" s="107">
        <f>SUM(I13:I192)</f>
        <v>12912479.645599999</v>
      </c>
      <c r="J193" s="107">
        <f>SUM(J13:J192)</f>
        <v>8508450.5</v>
      </c>
      <c r="K193" s="107">
        <f>SUM(K13:K192)</f>
        <v>21420930.145600002</v>
      </c>
      <c r="L193" s="108"/>
    </row>
    <row r="194" spans="2:16" x14ac:dyDescent="0.35">
      <c r="B194" s="82"/>
      <c r="C194" s="64" t="s">
        <v>405</v>
      </c>
      <c r="D194" s="65"/>
      <c r="E194" s="66"/>
      <c r="F194" s="65"/>
      <c r="G194" s="67"/>
      <c r="H194" s="67"/>
      <c r="I194" s="67">
        <f t="shared" ref="I194:J194" si="32">I193/6</f>
        <v>2152079.9409333332</v>
      </c>
      <c r="J194" s="67">
        <f t="shared" si="32"/>
        <v>1418075.0833333333</v>
      </c>
      <c r="K194" s="67">
        <f>ROUNDDOWN(K193/6,2)</f>
        <v>3570155.02</v>
      </c>
    </row>
    <row r="195" spans="2:16" s="115" customFormat="1" x14ac:dyDescent="0.35">
      <c r="B195" s="80"/>
      <c r="C195" s="81"/>
      <c r="D195" s="82"/>
      <c r="E195" s="109">
        <f>SUM(E13:E194)</f>
        <v>34848.735110000001</v>
      </c>
      <c r="F195" s="82"/>
      <c r="G195" s="82"/>
      <c r="H195" s="82"/>
      <c r="I195" s="84"/>
      <c r="J195" s="82"/>
      <c r="K195" s="109"/>
      <c r="L195" s="82"/>
      <c r="M195" s="82"/>
      <c r="N195" s="82"/>
      <c r="O195" s="82"/>
      <c r="P195" s="82"/>
    </row>
    <row r="196" spans="2:16" x14ac:dyDescent="0.35">
      <c r="C196" s="81" t="s">
        <v>422</v>
      </c>
      <c r="E196" s="109"/>
    </row>
  </sheetData>
  <autoFilter ref="B11:P195" xr:uid="{64B79D9E-1027-4AF4-9633-5DF83DC3B7DA}"/>
  <mergeCells count="13">
    <mergeCell ref="L7:L9"/>
    <mergeCell ref="F8:H8"/>
    <mergeCell ref="I8:K8"/>
    <mergeCell ref="K2:L2"/>
    <mergeCell ref="K3:L3"/>
    <mergeCell ref="B5:L5"/>
    <mergeCell ref="B6:L6"/>
    <mergeCell ref="B7:B9"/>
    <mergeCell ref="C7:C9"/>
    <mergeCell ref="D7:D9"/>
    <mergeCell ref="E7:E9"/>
    <mergeCell ref="F7:H7"/>
    <mergeCell ref="I7:K7"/>
  </mergeCells>
  <pageMargins left="0.25" right="0.25" top="0.75" bottom="0.75" header="0.3" footer="0.3"/>
  <pageSetup paperSize="9" scale="5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52B7D-3A66-46E2-85ED-97ACF87DA0D4}">
  <dimension ref="A3:G51"/>
  <sheetViews>
    <sheetView topLeftCell="A16" workbookViewId="0">
      <selection activeCell="F14" sqref="F14"/>
    </sheetView>
  </sheetViews>
  <sheetFormatPr defaultRowHeight="14.5" x14ac:dyDescent="0.35"/>
  <cols>
    <col min="3" max="3" width="41.08984375" customWidth="1"/>
  </cols>
  <sheetData>
    <row r="3" spans="1:7" ht="32.25" customHeight="1" x14ac:dyDescent="0.35">
      <c r="B3" s="135" t="s">
        <v>156</v>
      </c>
      <c r="C3" s="135"/>
      <c r="D3" s="135"/>
      <c r="E3" s="135"/>
    </row>
    <row r="4" spans="1:7" ht="40.5" customHeight="1" x14ac:dyDescent="0.35">
      <c r="A4" s="56" t="s">
        <v>155</v>
      </c>
      <c r="B4" s="60" t="s">
        <v>151</v>
      </c>
      <c r="C4" s="60" t="s">
        <v>152</v>
      </c>
      <c r="D4" s="60" t="s">
        <v>153</v>
      </c>
      <c r="E4" s="60" t="s">
        <v>154</v>
      </c>
    </row>
    <row r="5" spans="1:7" x14ac:dyDescent="0.35">
      <c r="A5" s="56">
        <v>1</v>
      </c>
      <c r="B5" s="59">
        <v>1</v>
      </c>
      <c r="C5" s="58" t="s">
        <v>150</v>
      </c>
      <c r="D5" s="57" t="s">
        <v>26</v>
      </c>
      <c r="E5" s="57">
        <v>13.79</v>
      </c>
    </row>
    <row r="6" spans="1:7" x14ac:dyDescent="0.35">
      <c r="A6" s="56">
        <v>2</v>
      </c>
      <c r="B6" s="59">
        <v>2</v>
      </c>
      <c r="C6" s="58" t="s">
        <v>29</v>
      </c>
      <c r="D6" s="57" t="s">
        <v>26</v>
      </c>
      <c r="E6" s="59">
        <v>24.61</v>
      </c>
    </row>
    <row r="7" spans="1:7" x14ac:dyDescent="0.35">
      <c r="A7" s="56">
        <v>3</v>
      </c>
      <c r="B7" s="59">
        <v>3</v>
      </c>
      <c r="C7" s="58" t="s">
        <v>30</v>
      </c>
      <c r="D7" s="57" t="s">
        <v>31</v>
      </c>
      <c r="E7" s="59">
        <v>631.46</v>
      </c>
    </row>
    <row r="8" spans="1:7" x14ac:dyDescent="0.35">
      <c r="A8" s="56"/>
      <c r="B8" s="59"/>
      <c r="C8" s="62" t="s">
        <v>168</v>
      </c>
      <c r="D8" s="57" t="s">
        <v>31</v>
      </c>
      <c r="E8" s="59">
        <f>(4.41+6.0135+31.19+18.93+33.58+22.48)*1.04</f>
        <v>121.26764000000001</v>
      </c>
    </row>
    <row r="9" spans="1:7" x14ac:dyDescent="0.35">
      <c r="A9" s="56"/>
      <c r="B9" s="59"/>
      <c r="C9" s="62" t="s">
        <v>169</v>
      </c>
      <c r="D9" s="57" t="s">
        <v>31</v>
      </c>
      <c r="E9" s="59">
        <f>(17.62+33.73+124.94+75.82+149.1+89.51)*1.04</f>
        <v>510.34879999999998</v>
      </c>
    </row>
    <row r="10" spans="1:7" x14ac:dyDescent="0.35">
      <c r="A10" s="56">
        <v>4</v>
      </c>
      <c r="B10" s="59">
        <v>4</v>
      </c>
      <c r="C10" s="58" t="s">
        <v>157</v>
      </c>
      <c r="D10" s="57" t="s">
        <v>27</v>
      </c>
      <c r="E10" s="59">
        <v>17.940000000000001</v>
      </c>
    </row>
    <row r="11" spans="1:7" ht="29" x14ac:dyDescent="0.35">
      <c r="A11" s="56">
        <v>5</v>
      </c>
      <c r="B11" s="59">
        <v>5</v>
      </c>
      <c r="C11" s="61" t="s">
        <v>63</v>
      </c>
      <c r="D11" s="57" t="s">
        <v>27</v>
      </c>
      <c r="E11" s="59">
        <v>18.48</v>
      </c>
    </row>
    <row r="12" spans="1:7" ht="29" x14ac:dyDescent="0.35">
      <c r="A12" s="56">
        <v>6</v>
      </c>
      <c r="B12" s="59">
        <v>6</v>
      </c>
      <c r="C12" s="61" t="s">
        <v>65</v>
      </c>
      <c r="D12" s="57" t="s">
        <v>27</v>
      </c>
      <c r="E12" s="59">
        <v>141.96</v>
      </c>
    </row>
    <row r="13" spans="1:7" x14ac:dyDescent="0.35">
      <c r="A13" s="56">
        <v>7</v>
      </c>
      <c r="B13" s="59">
        <v>7</v>
      </c>
      <c r="C13" s="58" t="s">
        <v>158</v>
      </c>
      <c r="D13" s="57" t="s">
        <v>159</v>
      </c>
      <c r="E13" s="59">
        <f>326.9*F13</f>
        <v>98.07</v>
      </c>
      <c r="F13">
        <v>0.3</v>
      </c>
      <c r="G13" t="s">
        <v>160</v>
      </c>
    </row>
    <row r="14" spans="1:7" x14ac:dyDescent="0.35">
      <c r="A14" s="56">
        <v>8</v>
      </c>
      <c r="B14" s="59">
        <v>8</v>
      </c>
      <c r="C14" s="58" t="s">
        <v>161</v>
      </c>
      <c r="D14" s="57" t="s">
        <v>31</v>
      </c>
      <c r="E14" s="59">
        <f>326.9*F14</f>
        <v>980.69999999999993</v>
      </c>
      <c r="F14">
        <v>3</v>
      </c>
      <c r="G14" t="s">
        <v>162</v>
      </c>
    </row>
    <row r="15" spans="1:7" x14ac:dyDescent="0.35">
      <c r="A15" s="56">
        <v>9</v>
      </c>
      <c r="B15" s="59">
        <v>9</v>
      </c>
      <c r="C15" s="58" t="s">
        <v>71</v>
      </c>
      <c r="D15" s="57" t="s">
        <v>32</v>
      </c>
      <c r="E15" s="59">
        <v>6</v>
      </c>
    </row>
    <row r="16" spans="1:7" x14ac:dyDescent="0.35">
      <c r="A16" s="56">
        <v>10</v>
      </c>
      <c r="B16" s="59">
        <v>10</v>
      </c>
      <c r="C16" s="58" t="s">
        <v>101</v>
      </c>
      <c r="D16" s="57" t="s">
        <v>26</v>
      </c>
      <c r="E16" s="59">
        <v>0.88</v>
      </c>
    </row>
    <row r="17" spans="1:5" x14ac:dyDescent="0.35">
      <c r="A17" s="56">
        <v>11</v>
      </c>
      <c r="B17" s="59">
        <v>11</v>
      </c>
      <c r="C17" s="58" t="s">
        <v>163</v>
      </c>
      <c r="D17" s="57" t="s">
        <v>26</v>
      </c>
      <c r="E17" s="59">
        <v>21.22</v>
      </c>
    </row>
    <row r="18" spans="1:5" x14ac:dyDescent="0.35">
      <c r="A18" s="56">
        <v>12</v>
      </c>
      <c r="B18" s="59">
        <v>12</v>
      </c>
      <c r="C18" s="58" t="s">
        <v>76</v>
      </c>
      <c r="D18" s="57" t="s">
        <v>32</v>
      </c>
      <c r="E18" s="59">
        <v>17</v>
      </c>
    </row>
    <row r="19" spans="1:5" x14ac:dyDescent="0.35">
      <c r="A19" s="56">
        <v>13</v>
      </c>
      <c r="B19" s="59">
        <v>13</v>
      </c>
      <c r="C19" s="58" t="s">
        <v>77</v>
      </c>
      <c r="D19" s="57" t="s">
        <v>32</v>
      </c>
      <c r="E19" s="59">
        <v>7</v>
      </c>
    </row>
    <row r="20" spans="1:5" x14ac:dyDescent="0.35">
      <c r="A20" s="56">
        <v>14</v>
      </c>
      <c r="B20" s="59">
        <v>14</v>
      </c>
      <c r="C20" s="58" t="s">
        <v>80</v>
      </c>
      <c r="D20" s="57" t="s">
        <v>32</v>
      </c>
      <c r="E20" s="59">
        <v>15</v>
      </c>
    </row>
    <row r="21" spans="1:5" x14ac:dyDescent="0.35">
      <c r="A21" s="56">
        <v>15</v>
      </c>
      <c r="B21" s="59">
        <v>15</v>
      </c>
      <c r="C21" s="58" t="s">
        <v>79</v>
      </c>
      <c r="D21" s="57" t="s">
        <v>32</v>
      </c>
      <c r="E21" s="59">
        <v>4</v>
      </c>
    </row>
    <row r="22" spans="1:5" x14ac:dyDescent="0.35">
      <c r="A22" s="56">
        <v>16</v>
      </c>
      <c r="B22" s="59">
        <v>16</v>
      </c>
      <c r="C22" s="58" t="s">
        <v>84</v>
      </c>
      <c r="D22" s="57" t="s">
        <v>32</v>
      </c>
      <c r="E22" s="59">
        <v>7</v>
      </c>
    </row>
    <row r="23" spans="1:5" x14ac:dyDescent="0.35">
      <c r="A23" s="56">
        <v>17</v>
      </c>
      <c r="B23" s="59">
        <v>17</v>
      </c>
      <c r="C23" s="58" t="s">
        <v>88</v>
      </c>
      <c r="D23" s="57" t="s">
        <v>32</v>
      </c>
      <c r="E23" s="59">
        <v>6</v>
      </c>
    </row>
    <row r="24" spans="1:5" ht="29" x14ac:dyDescent="0.35">
      <c r="A24" s="56">
        <v>18</v>
      </c>
      <c r="B24" s="59">
        <v>18</v>
      </c>
      <c r="C24" s="61" t="s">
        <v>103</v>
      </c>
      <c r="D24" s="57" t="s">
        <v>32</v>
      </c>
      <c r="E24" s="59">
        <v>1</v>
      </c>
    </row>
    <row r="25" spans="1:5" ht="29" x14ac:dyDescent="0.35">
      <c r="A25" s="56">
        <v>19</v>
      </c>
      <c r="B25" s="59">
        <v>19</v>
      </c>
      <c r="C25" s="61" t="s">
        <v>92</v>
      </c>
      <c r="D25" s="57" t="s">
        <v>32</v>
      </c>
      <c r="E25" s="59">
        <v>1</v>
      </c>
    </row>
    <row r="26" spans="1:5" ht="29" x14ac:dyDescent="0.35">
      <c r="A26" s="56">
        <v>20</v>
      </c>
      <c r="B26" s="59">
        <v>20</v>
      </c>
      <c r="C26" s="61" t="s">
        <v>104</v>
      </c>
      <c r="D26" s="57" t="s">
        <v>32</v>
      </c>
      <c r="E26" s="59">
        <v>2</v>
      </c>
    </row>
    <row r="27" spans="1:5" ht="29" x14ac:dyDescent="0.35">
      <c r="A27" s="56">
        <v>21</v>
      </c>
      <c r="B27" s="59">
        <v>21</v>
      </c>
      <c r="C27" s="61" t="s">
        <v>114</v>
      </c>
      <c r="D27" s="57" t="s">
        <v>32</v>
      </c>
      <c r="E27" s="59">
        <v>3</v>
      </c>
    </row>
    <row r="28" spans="1:5" ht="29" x14ac:dyDescent="0.35">
      <c r="A28" s="56">
        <v>22</v>
      </c>
      <c r="B28" s="59">
        <v>22</v>
      </c>
      <c r="C28" s="61" t="s">
        <v>139</v>
      </c>
      <c r="D28" s="57" t="s">
        <v>32</v>
      </c>
      <c r="E28" s="59">
        <v>1</v>
      </c>
    </row>
    <row r="29" spans="1:5" ht="29" x14ac:dyDescent="0.35">
      <c r="A29" s="56">
        <v>23</v>
      </c>
      <c r="B29" s="59">
        <v>23</v>
      </c>
      <c r="C29" s="61" t="s">
        <v>144</v>
      </c>
      <c r="D29" s="57" t="s">
        <v>32</v>
      </c>
      <c r="E29" s="59">
        <v>2</v>
      </c>
    </row>
    <row r="30" spans="1:5" x14ac:dyDescent="0.35">
      <c r="A30" s="56">
        <v>24</v>
      </c>
      <c r="B30" s="59">
        <v>24</v>
      </c>
      <c r="C30" s="58" t="s">
        <v>94</v>
      </c>
      <c r="D30" s="57" t="s">
        <v>31</v>
      </c>
      <c r="E30" s="59">
        <v>12.45</v>
      </c>
    </row>
    <row r="31" spans="1:5" ht="43.5" x14ac:dyDescent="0.35">
      <c r="A31" s="56">
        <v>25</v>
      </c>
      <c r="B31" s="59">
        <v>25</v>
      </c>
      <c r="C31" s="61" t="s">
        <v>164</v>
      </c>
      <c r="D31" s="57" t="s">
        <v>32</v>
      </c>
      <c r="E31" s="59">
        <v>4</v>
      </c>
    </row>
    <row r="32" spans="1:5" ht="43.5" x14ac:dyDescent="0.35">
      <c r="A32" s="56">
        <v>26</v>
      </c>
      <c r="B32" s="59">
        <v>26</v>
      </c>
      <c r="C32" s="61" t="s">
        <v>165</v>
      </c>
      <c r="D32" s="57" t="s">
        <v>32</v>
      </c>
      <c r="E32" s="59">
        <v>4</v>
      </c>
    </row>
    <row r="33" spans="1:5" x14ac:dyDescent="0.35">
      <c r="A33" s="56">
        <v>27</v>
      </c>
      <c r="B33" s="59">
        <v>27</v>
      </c>
      <c r="C33" s="61" t="s">
        <v>108</v>
      </c>
      <c r="D33" s="57" t="s">
        <v>32</v>
      </c>
      <c r="E33" s="59">
        <v>4</v>
      </c>
    </row>
    <row r="34" spans="1:5" x14ac:dyDescent="0.35">
      <c r="A34" s="56">
        <v>28</v>
      </c>
      <c r="B34" s="59">
        <v>28</v>
      </c>
      <c r="C34" s="61" t="s">
        <v>109</v>
      </c>
      <c r="D34" s="57" t="s">
        <v>32</v>
      </c>
      <c r="E34" s="59">
        <v>7</v>
      </c>
    </row>
    <row r="35" spans="1:5" x14ac:dyDescent="0.35">
      <c r="A35" s="56">
        <v>29</v>
      </c>
      <c r="B35" s="59">
        <v>29</v>
      </c>
      <c r="C35" s="61" t="s">
        <v>110</v>
      </c>
      <c r="D35" s="57" t="s">
        <v>32</v>
      </c>
      <c r="E35" s="59">
        <v>1</v>
      </c>
    </row>
    <row r="36" spans="1:5" x14ac:dyDescent="0.35">
      <c r="A36" s="56">
        <v>30</v>
      </c>
      <c r="B36" s="59">
        <v>30</v>
      </c>
      <c r="C36" s="61" t="s">
        <v>111</v>
      </c>
      <c r="D36" s="57" t="s">
        <v>32</v>
      </c>
      <c r="E36" s="59">
        <v>2</v>
      </c>
    </row>
    <row r="37" spans="1:5" x14ac:dyDescent="0.35">
      <c r="A37" s="56">
        <v>31</v>
      </c>
      <c r="B37" s="59">
        <v>31</v>
      </c>
      <c r="C37" s="61" t="s">
        <v>141</v>
      </c>
      <c r="D37" s="57" t="s">
        <v>32</v>
      </c>
      <c r="E37" s="59">
        <v>4</v>
      </c>
    </row>
    <row r="38" spans="1:5" x14ac:dyDescent="0.35">
      <c r="A38" s="56">
        <v>32</v>
      </c>
      <c r="B38" s="59">
        <v>32</v>
      </c>
      <c r="C38" s="61" t="s">
        <v>166</v>
      </c>
      <c r="D38" s="57" t="s">
        <v>32</v>
      </c>
      <c r="E38" s="59">
        <v>2</v>
      </c>
    </row>
    <row r="39" spans="1:5" x14ac:dyDescent="0.35">
      <c r="A39" s="56">
        <v>33</v>
      </c>
      <c r="B39" s="59">
        <v>33</v>
      </c>
      <c r="C39" s="61" t="s">
        <v>167</v>
      </c>
      <c r="D39" s="57" t="s">
        <v>32</v>
      </c>
      <c r="E39" s="59">
        <v>2</v>
      </c>
    </row>
    <row r="40" spans="1:5" ht="29" x14ac:dyDescent="0.35">
      <c r="A40" s="56">
        <v>34</v>
      </c>
      <c r="B40" s="59">
        <v>34</v>
      </c>
      <c r="C40" s="61" t="s">
        <v>122</v>
      </c>
      <c r="D40" s="57" t="s">
        <v>27</v>
      </c>
      <c r="E40" s="59">
        <v>43.34</v>
      </c>
    </row>
    <row r="41" spans="1:5" x14ac:dyDescent="0.35">
      <c r="A41" s="56">
        <v>35</v>
      </c>
      <c r="B41" s="59">
        <v>35</v>
      </c>
      <c r="C41" s="61" t="s">
        <v>127</v>
      </c>
      <c r="D41" s="57" t="s">
        <v>32</v>
      </c>
      <c r="E41" s="59">
        <v>3</v>
      </c>
    </row>
    <row r="42" spans="1:5" x14ac:dyDescent="0.35">
      <c r="A42" s="56">
        <v>36</v>
      </c>
      <c r="B42" s="59">
        <v>36</v>
      </c>
      <c r="C42" s="61" t="s">
        <v>130</v>
      </c>
      <c r="D42" s="57" t="s">
        <v>32</v>
      </c>
      <c r="E42" s="59">
        <v>3</v>
      </c>
    </row>
    <row r="43" spans="1:5" x14ac:dyDescent="0.35">
      <c r="A43" s="56">
        <v>37</v>
      </c>
      <c r="B43" s="59">
        <v>37</v>
      </c>
      <c r="C43" s="61" t="s">
        <v>133</v>
      </c>
      <c r="D43" s="57" t="s">
        <v>32</v>
      </c>
      <c r="E43" s="59">
        <v>3</v>
      </c>
    </row>
    <row r="44" spans="1:5" x14ac:dyDescent="0.35">
      <c r="A44" s="56">
        <v>38</v>
      </c>
      <c r="B44" s="59">
        <v>38</v>
      </c>
      <c r="C44" s="61" t="s">
        <v>137</v>
      </c>
      <c r="D44" s="57" t="s">
        <v>32</v>
      </c>
      <c r="E44" s="59">
        <v>2</v>
      </c>
    </row>
    <row r="45" spans="1:5" x14ac:dyDescent="0.35">
      <c r="A45" s="56">
        <v>39</v>
      </c>
      <c r="B45" s="59">
        <v>39</v>
      </c>
      <c r="C45" s="61" t="s">
        <v>149</v>
      </c>
      <c r="D45" s="57" t="s">
        <v>32</v>
      </c>
      <c r="E45" s="59">
        <v>1</v>
      </c>
    </row>
    <row r="46" spans="1:5" x14ac:dyDescent="0.35">
      <c r="A46" s="56">
        <v>40</v>
      </c>
      <c r="B46" s="59">
        <v>40</v>
      </c>
      <c r="C46" s="61" t="s">
        <v>129</v>
      </c>
      <c r="D46" s="57" t="s">
        <v>32</v>
      </c>
      <c r="E46" s="59">
        <v>1</v>
      </c>
    </row>
    <row r="47" spans="1:5" x14ac:dyDescent="0.35">
      <c r="A47" s="56">
        <v>41</v>
      </c>
      <c r="B47" s="59">
        <v>41</v>
      </c>
      <c r="C47" s="61" t="s">
        <v>128</v>
      </c>
      <c r="D47" s="57" t="s">
        <v>32</v>
      </c>
      <c r="E47" s="59">
        <v>2</v>
      </c>
    </row>
    <row r="48" spans="1:5" x14ac:dyDescent="0.35">
      <c r="A48" s="56"/>
    </row>
    <row r="49" spans="1:1" x14ac:dyDescent="0.35">
      <c r="A49" s="56"/>
    </row>
    <row r="50" spans="1:1" x14ac:dyDescent="0.35">
      <c r="A50" s="56"/>
    </row>
    <row r="51" spans="1:1" x14ac:dyDescent="0.35">
      <c r="A51" s="56"/>
    </row>
  </sheetData>
  <mergeCells count="1">
    <mergeCell ref="B3:E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3"/>
  <sheetViews>
    <sheetView zoomScale="85" zoomScaleNormal="85" zoomScaleSheetLayoutView="85" workbookViewId="0">
      <selection activeCell="P296" sqref="P296"/>
    </sheetView>
  </sheetViews>
  <sheetFormatPr defaultColWidth="8.90625" defaultRowHeight="15.5" x14ac:dyDescent="0.35"/>
  <cols>
    <col min="1" max="1" width="7.54296875" style="6" customWidth="1"/>
    <col min="2" max="2" width="64.6328125" style="13" customWidth="1"/>
    <col min="3" max="3" width="9.36328125" style="7" customWidth="1"/>
    <col min="4" max="4" width="12" style="28" customWidth="1"/>
    <col min="5" max="7" width="12" style="7" hidden="1" customWidth="1"/>
    <col min="8" max="8" width="14.36328125" style="8" hidden="1" customWidth="1"/>
    <col min="9" max="9" width="13.90625" style="7" hidden="1" customWidth="1"/>
    <col min="10" max="10" width="13" style="7" hidden="1" customWidth="1"/>
    <col min="11" max="11" width="15.453125" style="7" hidden="1" customWidth="1"/>
    <col min="12" max="12" width="13.36328125" style="7" customWidth="1"/>
    <col min="13" max="13" width="12.453125" style="7" customWidth="1"/>
    <col min="14" max="14" width="22" style="7" customWidth="1"/>
    <col min="15" max="15" width="11.90625" style="7" bestFit="1" customWidth="1"/>
    <col min="16" max="16384" width="8.90625" style="7"/>
  </cols>
  <sheetData>
    <row r="1" spans="1:14" x14ac:dyDescent="0.35">
      <c r="N1" s="16" t="s">
        <v>12</v>
      </c>
    </row>
    <row r="2" spans="1:14" x14ac:dyDescent="0.35">
      <c r="N2" s="16" t="s">
        <v>14</v>
      </c>
    </row>
    <row r="3" spans="1:14" x14ac:dyDescent="0.35">
      <c r="N3" s="16" t="s">
        <v>13</v>
      </c>
    </row>
    <row r="4" spans="1:14" x14ac:dyDescent="0.35">
      <c r="N4" s="9"/>
    </row>
    <row r="5" spans="1:14" x14ac:dyDescent="0.35">
      <c r="A5" s="137" t="s">
        <v>3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6" spans="1:14" ht="61.5" customHeight="1" x14ac:dyDescent="0.35">
      <c r="A6" s="136" t="s">
        <v>16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</row>
    <row r="7" spans="1:14" ht="19.25" customHeight="1" x14ac:dyDescent="0.35">
      <c r="A7" s="140" t="s">
        <v>11</v>
      </c>
      <c r="B7" s="141" t="s">
        <v>0</v>
      </c>
      <c r="C7" s="138" t="s">
        <v>1</v>
      </c>
      <c r="D7" s="142" t="s">
        <v>2</v>
      </c>
      <c r="E7" s="138" t="s">
        <v>4</v>
      </c>
      <c r="F7" s="138"/>
      <c r="G7" s="138"/>
      <c r="H7" s="138" t="s">
        <v>5</v>
      </c>
      <c r="I7" s="138"/>
      <c r="J7" s="138"/>
      <c r="K7" s="139" t="s">
        <v>6</v>
      </c>
    </row>
    <row r="8" spans="1:14" ht="19.25" customHeight="1" x14ac:dyDescent="0.35">
      <c r="A8" s="140"/>
      <c r="B8" s="141"/>
      <c r="C8" s="138"/>
      <c r="D8" s="142"/>
      <c r="E8" s="138" t="s">
        <v>7</v>
      </c>
      <c r="F8" s="138"/>
      <c r="G8" s="138"/>
      <c r="H8" s="138" t="s">
        <v>7</v>
      </c>
      <c r="I8" s="138"/>
      <c r="J8" s="138"/>
      <c r="K8" s="139"/>
    </row>
    <row r="9" spans="1:14" ht="27" customHeight="1" x14ac:dyDescent="0.35">
      <c r="A9" s="140"/>
      <c r="B9" s="141"/>
      <c r="C9" s="138"/>
      <c r="D9" s="142"/>
      <c r="E9" s="1" t="s">
        <v>8</v>
      </c>
      <c r="F9" s="1" t="s">
        <v>9</v>
      </c>
      <c r="G9" s="1" t="s">
        <v>10</v>
      </c>
      <c r="H9" s="1" t="s">
        <v>8</v>
      </c>
      <c r="I9" s="1" t="s">
        <v>9</v>
      </c>
      <c r="J9" s="1" t="s">
        <v>10</v>
      </c>
      <c r="K9" s="139"/>
    </row>
    <row r="10" spans="1:14" ht="15.65" customHeight="1" x14ac:dyDescent="0.35">
      <c r="A10" s="19">
        <v>1</v>
      </c>
      <c r="B10" s="18">
        <v>2</v>
      </c>
      <c r="C10" s="18">
        <v>3</v>
      </c>
      <c r="D10" s="22">
        <v>4</v>
      </c>
      <c r="E10" s="19">
        <v>8</v>
      </c>
      <c r="F10" s="19">
        <v>9</v>
      </c>
      <c r="G10" s="18">
        <v>10</v>
      </c>
      <c r="H10" s="18">
        <v>11</v>
      </c>
      <c r="I10" s="19">
        <v>12</v>
      </c>
      <c r="J10" s="19">
        <v>13</v>
      </c>
      <c r="K10" s="18">
        <v>14</v>
      </c>
    </row>
    <row r="11" spans="1:14" x14ac:dyDescent="0.35">
      <c r="A11" s="21"/>
      <c r="B11" s="23" t="s">
        <v>115</v>
      </c>
      <c r="C11" s="20"/>
      <c r="D11" s="29"/>
      <c r="E11" s="21"/>
      <c r="F11" s="21"/>
      <c r="G11" s="20"/>
      <c r="H11" s="20"/>
      <c r="I11" s="21"/>
      <c r="J11" s="21"/>
      <c r="K11" s="20"/>
    </row>
    <row r="12" spans="1:14" ht="30" x14ac:dyDescent="0.35">
      <c r="A12" s="21"/>
      <c r="B12" s="24" t="s">
        <v>17</v>
      </c>
      <c r="C12" s="31" t="s">
        <v>27</v>
      </c>
      <c r="D12" s="30">
        <v>11.9</v>
      </c>
      <c r="E12" s="21"/>
      <c r="F12" s="21"/>
      <c r="G12" s="20"/>
      <c r="H12" s="20"/>
      <c r="I12" s="21"/>
      <c r="J12" s="21"/>
      <c r="K12" s="20"/>
    </row>
    <row r="13" spans="1:14" ht="15.65" customHeight="1" x14ac:dyDescent="0.35">
      <c r="A13" s="21"/>
      <c r="B13" s="25" t="s">
        <v>18</v>
      </c>
      <c r="C13" s="31" t="s">
        <v>26</v>
      </c>
      <c r="D13" s="29">
        <f>D12*0.6704*0.9</f>
        <v>7.1799840000000001</v>
      </c>
      <c r="E13" s="21"/>
      <c r="F13" s="21"/>
      <c r="G13" s="20"/>
      <c r="H13" s="20"/>
      <c r="I13" s="21"/>
      <c r="J13" s="21"/>
      <c r="K13" s="20"/>
    </row>
    <row r="14" spans="1:14" ht="15.65" customHeight="1" x14ac:dyDescent="0.35">
      <c r="A14" s="21"/>
      <c r="B14" s="25" t="s">
        <v>19</v>
      </c>
      <c r="C14" s="31" t="s">
        <v>26</v>
      </c>
      <c r="D14" s="29">
        <f>0.6704*D12*0.1</f>
        <v>0.79777600000000004</v>
      </c>
      <c r="E14" s="21"/>
      <c r="F14" s="21"/>
      <c r="G14" s="20"/>
      <c r="H14" s="20"/>
      <c r="I14" s="21"/>
      <c r="J14" s="21"/>
      <c r="K14" s="20"/>
    </row>
    <row r="15" spans="1:14" ht="31" x14ac:dyDescent="0.35">
      <c r="A15" s="21"/>
      <c r="B15" s="25" t="s">
        <v>24</v>
      </c>
      <c r="C15" s="31" t="s">
        <v>25</v>
      </c>
      <c r="D15" s="29">
        <f>D12*0.45</f>
        <v>5.3550000000000004</v>
      </c>
      <c r="E15" s="21"/>
      <c r="F15" s="21"/>
      <c r="G15" s="20"/>
      <c r="H15" s="20"/>
      <c r="I15" s="21"/>
      <c r="J15" s="21"/>
      <c r="K15" s="20"/>
    </row>
    <row r="16" spans="1:14" ht="15.65" customHeight="1" x14ac:dyDescent="0.35">
      <c r="A16" s="21"/>
      <c r="B16" s="25" t="s">
        <v>20</v>
      </c>
      <c r="C16" s="31" t="s">
        <v>26</v>
      </c>
      <c r="D16" s="29">
        <f>0.32/10*D12</f>
        <v>0.38080000000000003</v>
      </c>
      <c r="E16" s="21"/>
      <c r="F16" s="21"/>
      <c r="G16" s="20"/>
      <c r="H16" s="20"/>
      <c r="I16" s="21"/>
      <c r="J16" s="21"/>
      <c r="K16" s="20"/>
    </row>
    <row r="17" spans="1:11" ht="15.65" customHeight="1" x14ac:dyDescent="0.35">
      <c r="A17" s="21"/>
      <c r="B17" s="25" t="s">
        <v>28</v>
      </c>
      <c r="C17" s="31" t="s">
        <v>26</v>
      </c>
      <c r="D17" s="29">
        <f>0.73/10*D12</f>
        <v>0.86869999999999992</v>
      </c>
      <c r="E17" s="21"/>
      <c r="F17" s="21"/>
      <c r="G17" s="20"/>
      <c r="H17" s="20"/>
      <c r="I17" s="21"/>
      <c r="J17" s="21"/>
      <c r="K17" s="20"/>
    </row>
    <row r="18" spans="1:11" ht="15.65" customHeight="1" x14ac:dyDescent="0.35">
      <c r="A18" s="21"/>
      <c r="B18" s="32" t="s">
        <v>29</v>
      </c>
      <c r="C18" s="31" t="s">
        <v>26</v>
      </c>
      <c r="D18" s="29">
        <f>D17*1.02</f>
        <v>0.88607399999999992</v>
      </c>
      <c r="E18" s="21"/>
      <c r="F18" s="21"/>
      <c r="G18" s="20"/>
      <c r="H18" s="20"/>
      <c r="I18" s="21"/>
      <c r="J18" s="21"/>
      <c r="K18" s="20"/>
    </row>
    <row r="19" spans="1:11" ht="15.65" customHeight="1" x14ac:dyDescent="0.35">
      <c r="A19" s="21"/>
      <c r="B19" s="32" t="s">
        <v>30</v>
      </c>
      <c r="C19" s="31" t="s">
        <v>31</v>
      </c>
      <c r="D19" s="29">
        <f>22.21/10*D12*1.04</f>
        <v>27.487096000000005</v>
      </c>
      <c r="E19" s="21"/>
      <c r="F19" s="21"/>
      <c r="G19" s="20"/>
      <c r="H19" s="20"/>
      <c r="I19" s="21"/>
      <c r="J19" s="21"/>
      <c r="K19" s="20"/>
    </row>
    <row r="20" spans="1:11" ht="15.65" customHeight="1" x14ac:dyDescent="0.35">
      <c r="A20" s="27"/>
      <c r="B20" s="25" t="s">
        <v>37</v>
      </c>
      <c r="C20" s="31" t="s">
        <v>27</v>
      </c>
      <c r="D20" s="30">
        <v>11.9</v>
      </c>
      <c r="E20" s="27"/>
      <c r="F20" s="27"/>
      <c r="G20" s="26"/>
      <c r="H20" s="26"/>
      <c r="I20" s="27"/>
      <c r="J20" s="27"/>
      <c r="K20" s="26"/>
    </row>
    <row r="21" spans="1:11" ht="31" x14ac:dyDescent="0.35">
      <c r="A21" s="27"/>
      <c r="B21" s="32" t="s">
        <v>38</v>
      </c>
      <c r="C21" s="31" t="s">
        <v>27</v>
      </c>
      <c r="D21" s="29">
        <f>D20*1.1</f>
        <v>13.090000000000002</v>
      </c>
      <c r="E21" s="27"/>
      <c r="F21" s="27"/>
      <c r="G21" s="26"/>
      <c r="H21" s="26"/>
      <c r="I21" s="27"/>
      <c r="J21" s="27"/>
      <c r="K21" s="26"/>
    </row>
    <row r="22" spans="1:11" x14ac:dyDescent="0.35">
      <c r="A22" s="27"/>
      <c r="B22" s="32" t="s">
        <v>41</v>
      </c>
      <c r="C22" s="31" t="s">
        <v>32</v>
      </c>
      <c r="D22" s="29">
        <v>1</v>
      </c>
      <c r="E22" s="27"/>
      <c r="F22" s="27"/>
      <c r="G22" s="26"/>
      <c r="H22" s="26"/>
      <c r="I22" s="27"/>
      <c r="J22" s="27"/>
      <c r="K22" s="26"/>
    </row>
    <row r="23" spans="1:11" ht="33" x14ac:dyDescent="0.35">
      <c r="A23" s="27"/>
      <c r="B23" s="25" t="s">
        <v>39</v>
      </c>
      <c r="C23" s="31" t="s">
        <v>26</v>
      </c>
      <c r="D23" s="29">
        <v>6.8</v>
      </c>
      <c r="E23" s="27"/>
      <c r="F23" s="27"/>
      <c r="G23" s="26"/>
      <c r="H23" s="26"/>
      <c r="I23" s="27"/>
      <c r="J23" s="27"/>
      <c r="K23" s="26"/>
    </row>
    <row r="24" spans="1:11" ht="15.65" customHeight="1" x14ac:dyDescent="0.35">
      <c r="A24" s="21"/>
      <c r="B24" s="43" t="s">
        <v>146</v>
      </c>
      <c r="C24" s="31" t="s">
        <v>32</v>
      </c>
      <c r="D24" s="29">
        <v>1</v>
      </c>
      <c r="E24" s="21"/>
      <c r="F24" s="21"/>
      <c r="G24" s="20"/>
      <c r="H24" s="20"/>
      <c r="I24" s="21"/>
      <c r="J24" s="21"/>
      <c r="K24" s="20"/>
    </row>
    <row r="25" spans="1:11" ht="15.65" customHeight="1" x14ac:dyDescent="0.35">
      <c r="A25" s="21"/>
      <c r="B25" s="25" t="s">
        <v>33</v>
      </c>
      <c r="C25" s="31" t="s">
        <v>26</v>
      </c>
      <c r="D25" s="29">
        <f>29.2*0.9</f>
        <v>26.28</v>
      </c>
      <c r="E25" s="21"/>
      <c r="F25" s="21"/>
      <c r="G25" s="20"/>
      <c r="H25" s="20"/>
      <c r="I25" s="21"/>
      <c r="J25" s="21"/>
      <c r="K25" s="20"/>
    </row>
    <row r="26" spans="1:11" ht="15.65" customHeight="1" x14ac:dyDescent="0.35">
      <c r="A26" s="21"/>
      <c r="B26" s="25" t="s">
        <v>19</v>
      </c>
      <c r="C26" s="31" t="s">
        <v>26</v>
      </c>
      <c r="D26" s="29">
        <f>29.2*0.1</f>
        <v>2.92</v>
      </c>
      <c r="E26" s="21"/>
      <c r="F26" s="21"/>
      <c r="G26" s="20"/>
      <c r="H26" s="20"/>
      <c r="I26" s="21"/>
      <c r="J26" s="21"/>
      <c r="K26" s="20"/>
    </row>
    <row r="27" spans="1:11" ht="31" x14ac:dyDescent="0.35">
      <c r="A27" s="21"/>
      <c r="B27" s="25" t="s">
        <v>34</v>
      </c>
      <c r="C27" s="31" t="s">
        <v>32</v>
      </c>
      <c r="D27" s="29">
        <v>1</v>
      </c>
      <c r="E27" s="21"/>
      <c r="F27" s="21"/>
      <c r="G27" s="20"/>
      <c r="H27" s="20"/>
      <c r="I27" s="21"/>
      <c r="J27" s="21"/>
      <c r="K27" s="20"/>
    </row>
    <row r="28" spans="1:11" x14ac:dyDescent="0.35">
      <c r="A28" s="21"/>
      <c r="B28" s="32" t="s">
        <v>35</v>
      </c>
      <c r="C28" s="31" t="s">
        <v>32</v>
      </c>
      <c r="D28" s="29">
        <v>1</v>
      </c>
      <c r="E28" s="21"/>
      <c r="F28" s="21"/>
      <c r="G28" s="20"/>
      <c r="H28" s="20"/>
      <c r="I28" s="21"/>
      <c r="J28" s="21"/>
      <c r="K28" s="20"/>
    </row>
    <row r="29" spans="1:11" x14ac:dyDescent="0.35">
      <c r="A29" s="34"/>
      <c r="B29" s="25" t="s">
        <v>53</v>
      </c>
      <c r="C29" s="31"/>
      <c r="D29" s="29"/>
      <c r="E29" s="34"/>
      <c r="F29" s="34"/>
      <c r="G29" s="33"/>
      <c r="H29" s="33"/>
      <c r="I29" s="34"/>
      <c r="J29" s="34"/>
      <c r="K29" s="33"/>
    </row>
    <row r="30" spans="1:11" ht="31" x14ac:dyDescent="0.35">
      <c r="A30" s="27"/>
      <c r="B30" s="32" t="s">
        <v>43</v>
      </c>
      <c r="C30" s="31" t="s">
        <v>32</v>
      </c>
      <c r="D30" s="29">
        <v>1</v>
      </c>
      <c r="E30" s="27"/>
      <c r="F30" s="27"/>
      <c r="G30" s="26"/>
      <c r="H30" s="26"/>
      <c r="I30" s="27"/>
      <c r="J30" s="27"/>
      <c r="K30" s="26"/>
    </row>
    <row r="31" spans="1:11" ht="31" x14ac:dyDescent="0.35">
      <c r="A31" s="27"/>
      <c r="B31" s="32" t="s">
        <v>42</v>
      </c>
      <c r="C31" s="31" t="s">
        <v>32</v>
      </c>
      <c r="D31" s="29">
        <v>1</v>
      </c>
      <c r="E31" s="27"/>
      <c r="F31" s="27"/>
      <c r="G31" s="26"/>
      <c r="H31" s="26"/>
      <c r="I31" s="27"/>
      <c r="J31" s="27"/>
      <c r="K31" s="26"/>
    </row>
    <row r="32" spans="1:11" ht="31" x14ac:dyDescent="0.35">
      <c r="A32" s="27"/>
      <c r="B32" s="32" t="s">
        <v>45</v>
      </c>
      <c r="C32" s="31" t="s">
        <v>32</v>
      </c>
      <c r="D32" s="29">
        <v>2</v>
      </c>
      <c r="E32" s="27"/>
      <c r="F32" s="27"/>
      <c r="G32" s="26"/>
      <c r="H32" s="26"/>
      <c r="I32" s="27"/>
      <c r="J32" s="27"/>
      <c r="K32" s="26"/>
    </row>
    <row r="33" spans="1:11" ht="31" x14ac:dyDescent="0.35">
      <c r="A33" s="27"/>
      <c r="B33" s="32" t="s">
        <v>44</v>
      </c>
      <c r="C33" s="31" t="s">
        <v>32</v>
      </c>
      <c r="D33" s="29">
        <v>1</v>
      </c>
      <c r="E33" s="27"/>
      <c r="F33" s="27"/>
      <c r="G33" s="26"/>
      <c r="H33" s="26"/>
      <c r="I33" s="27"/>
      <c r="J33" s="27"/>
      <c r="K33" s="26"/>
    </row>
    <row r="34" spans="1:11" x14ac:dyDescent="0.35">
      <c r="A34" s="27"/>
      <c r="B34" s="32" t="s">
        <v>46</v>
      </c>
      <c r="C34" s="31" t="s">
        <v>32</v>
      </c>
      <c r="D34" s="29">
        <v>2</v>
      </c>
      <c r="E34" s="27"/>
      <c r="F34" s="27"/>
      <c r="G34" s="26"/>
      <c r="H34" s="26"/>
      <c r="I34" s="27"/>
      <c r="J34" s="27"/>
      <c r="K34" s="26"/>
    </row>
    <row r="35" spans="1:11" x14ac:dyDescent="0.35">
      <c r="A35" s="27"/>
      <c r="B35" s="32" t="s">
        <v>47</v>
      </c>
      <c r="C35" s="31" t="s">
        <v>32</v>
      </c>
      <c r="D35" s="29">
        <v>1.5</v>
      </c>
      <c r="E35" s="27"/>
      <c r="F35" s="27"/>
      <c r="G35" s="26"/>
      <c r="H35" s="26"/>
      <c r="I35" s="27"/>
      <c r="J35" s="27"/>
      <c r="K35" s="26"/>
    </row>
    <row r="36" spans="1:11" ht="15.65" customHeight="1" x14ac:dyDescent="0.35">
      <c r="A36" s="21"/>
      <c r="B36" s="25" t="s">
        <v>40</v>
      </c>
      <c r="C36" s="31" t="s">
        <v>32</v>
      </c>
      <c r="D36" s="29">
        <v>2</v>
      </c>
      <c r="E36" s="21"/>
      <c r="F36" s="21"/>
      <c r="G36" s="20"/>
      <c r="H36" s="20"/>
      <c r="I36" s="21"/>
      <c r="J36" s="21"/>
      <c r="K36" s="20"/>
    </row>
    <row r="37" spans="1:11" ht="15.65" customHeight="1" x14ac:dyDescent="0.35">
      <c r="A37" s="21"/>
      <c r="B37" s="32" t="s">
        <v>36</v>
      </c>
      <c r="C37" s="31" t="s">
        <v>32</v>
      </c>
      <c r="D37" s="29">
        <v>2</v>
      </c>
      <c r="E37" s="21"/>
      <c r="F37" s="21"/>
      <c r="G37" s="20"/>
      <c r="H37" s="20"/>
      <c r="I37" s="21"/>
      <c r="J37" s="21"/>
      <c r="K37" s="20"/>
    </row>
    <row r="38" spans="1:11" ht="33" x14ac:dyDescent="0.35">
      <c r="A38" s="21"/>
      <c r="B38" s="25" t="s">
        <v>48</v>
      </c>
      <c r="C38" s="31" t="s">
        <v>26</v>
      </c>
      <c r="D38" s="29">
        <v>21.9</v>
      </c>
      <c r="E38" s="21"/>
      <c r="F38" s="21"/>
      <c r="G38" s="20"/>
      <c r="H38" s="20"/>
      <c r="I38" s="21"/>
      <c r="J38" s="21"/>
      <c r="K38" s="20"/>
    </row>
    <row r="39" spans="1:11" x14ac:dyDescent="0.35">
      <c r="A39" s="21"/>
      <c r="B39" s="23" t="s">
        <v>116</v>
      </c>
      <c r="C39" s="31"/>
      <c r="D39" s="29"/>
      <c r="E39" s="21"/>
      <c r="F39" s="21"/>
      <c r="G39" s="20"/>
      <c r="H39" s="20"/>
      <c r="I39" s="21"/>
      <c r="J39" s="21"/>
      <c r="K39" s="20"/>
    </row>
    <row r="40" spans="1:11" ht="30" x14ac:dyDescent="0.35">
      <c r="A40" s="21"/>
      <c r="B40" s="24" t="s">
        <v>49</v>
      </c>
      <c r="C40" s="31" t="s">
        <v>27</v>
      </c>
      <c r="D40" s="29">
        <v>14.3</v>
      </c>
      <c r="E40" s="21"/>
      <c r="F40" s="21"/>
      <c r="G40" s="20"/>
      <c r="H40" s="20"/>
      <c r="I40" s="21"/>
      <c r="J40" s="21"/>
      <c r="K40" s="20"/>
    </row>
    <row r="41" spans="1:11" ht="15.65" customHeight="1" x14ac:dyDescent="0.35">
      <c r="A41" s="21"/>
      <c r="B41" s="25" t="s">
        <v>18</v>
      </c>
      <c r="C41" s="31" t="s">
        <v>26</v>
      </c>
      <c r="D41" s="29">
        <f>1.194*D40*0.9</f>
        <v>15.366780000000002</v>
      </c>
      <c r="E41" s="21"/>
      <c r="F41" s="21"/>
      <c r="G41" s="20"/>
      <c r="H41" s="20"/>
      <c r="I41" s="21"/>
      <c r="J41" s="21"/>
      <c r="K41" s="20"/>
    </row>
    <row r="42" spans="1:11" ht="15.65" customHeight="1" x14ac:dyDescent="0.35">
      <c r="A42" s="21"/>
      <c r="B42" s="25" t="s">
        <v>19</v>
      </c>
      <c r="C42" s="31" t="s">
        <v>26</v>
      </c>
      <c r="D42" s="54">
        <f>1.194*D40*0.1</f>
        <v>1.7074200000000002</v>
      </c>
      <c r="E42" s="21"/>
      <c r="F42" s="21"/>
      <c r="G42" s="20"/>
      <c r="H42" s="20"/>
      <c r="I42" s="21"/>
      <c r="J42" s="21"/>
      <c r="K42" s="20"/>
    </row>
    <row r="43" spans="1:11" ht="15.65" customHeight="1" x14ac:dyDescent="0.35">
      <c r="A43" s="21"/>
      <c r="B43" s="25" t="s">
        <v>24</v>
      </c>
      <c r="C43" s="31" t="s">
        <v>25</v>
      </c>
      <c r="D43" s="29">
        <f>0.9*D40</f>
        <v>12.870000000000001</v>
      </c>
      <c r="E43" s="21"/>
      <c r="F43" s="21"/>
      <c r="G43" s="20"/>
      <c r="H43" s="20"/>
      <c r="I43" s="21"/>
      <c r="J43" s="21"/>
      <c r="K43" s="20"/>
    </row>
    <row r="44" spans="1:11" ht="15.65" customHeight="1" x14ac:dyDescent="0.35">
      <c r="A44" s="21"/>
      <c r="B44" s="25" t="s">
        <v>20</v>
      </c>
      <c r="C44" s="31" t="s">
        <v>26</v>
      </c>
      <c r="D44" s="29">
        <f>0.32*2/10*D40</f>
        <v>0.91520000000000001</v>
      </c>
      <c r="E44" s="21"/>
      <c r="F44" s="21"/>
      <c r="G44" s="20"/>
      <c r="H44" s="20"/>
      <c r="I44" s="21"/>
      <c r="J44" s="21"/>
      <c r="K44" s="20"/>
    </row>
    <row r="45" spans="1:11" ht="15.65" customHeight="1" x14ac:dyDescent="0.35">
      <c r="A45" s="21"/>
      <c r="B45" s="25" t="s">
        <v>28</v>
      </c>
      <c r="C45" s="31" t="s">
        <v>26</v>
      </c>
      <c r="D45" s="29">
        <f>0.73*2/10*D40</f>
        <v>2.0878000000000001</v>
      </c>
      <c r="E45" s="21"/>
      <c r="F45" s="21"/>
      <c r="G45" s="20"/>
      <c r="H45" s="20"/>
      <c r="I45" s="21"/>
      <c r="J45" s="21"/>
      <c r="K45" s="20"/>
    </row>
    <row r="46" spans="1:11" ht="15.65" customHeight="1" x14ac:dyDescent="0.35">
      <c r="A46" s="21"/>
      <c r="B46" s="32" t="s">
        <v>29</v>
      </c>
      <c r="C46" s="31" t="s">
        <v>26</v>
      </c>
      <c r="D46" s="29">
        <f>D45*1.02</f>
        <v>2.129556</v>
      </c>
      <c r="E46" s="21"/>
      <c r="F46" s="21"/>
      <c r="G46" s="20"/>
      <c r="H46" s="20"/>
      <c r="I46" s="21"/>
      <c r="J46" s="21"/>
      <c r="K46" s="20"/>
    </row>
    <row r="47" spans="1:11" ht="15.65" customHeight="1" x14ac:dyDescent="0.35">
      <c r="A47" s="21"/>
      <c r="B47" s="32" t="s">
        <v>30</v>
      </c>
      <c r="C47" s="31" t="s">
        <v>31</v>
      </c>
      <c r="D47" s="29">
        <f>22.21*2/10*D40</f>
        <v>63.520600000000009</v>
      </c>
      <c r="E47" s="21"/>
      <c r="F47" s="21"/>
      <c r="G47" s="20"/>
      <c r="H47" s="20"/>
      <c r="I47" s="21"/>
      <c r="J47" s="21"/>
      <c r="K47" s="20"/>
    </row>
    <row r="48" spans="1:11" ht="15.65" customHeight="1" x14ac:dyDescent="0.35">
      <c r="A48" s="21"/>
      <c r="B48" s="25" t="s">
        <v>50</v>
      </c>
      <c r="C48" s="31" t="s">
        <v>27</v>
      </c>
      <c r="D48" s="29">
        <v>14.3</v>
      </c>
      <c r="E48" s="21"/>
      <c r="F48" s="21"/>
      <c r="G48" s="20"/>
      <c r="H48" s="20"/>
      <c r="I48" s="21"/>
      <c r="J48" s="21"/>
      <c r="K48" s="20"/>
    </row>
    <row r="49" spans="1:11" ht="31" x14ac:dyDescent="0.35">
      <c r="A49" s="21"/>
      <c r="B49" s="32" t="s">
        <v>38</v>
      </c>
      <c r="C49" s="31" t="s">
        <v>27</v>
      </c>
      <c r="D49" s="29">
        <f>14.3*2*1.1</f>
        <v>31.460000000000004</v>
      </c>
      <c r="E49" s="21"/>
      <c r="F49" s="21"/>
      <c r="G49" s="20"/>
      <c r="H49" s="20"/>
      <c r="I49" s="21"/>
      <c r="J49" s="21"/>
      <c r="K49" s="20"/>
    </row>
    <row r="50" spans="1:11" x14ac:dyDescent="0.35">
      <c r="A50" s="34"/>
      <c r="B50" s="32" t="s">
        <v>57</v>
      </c>
      <c r="C50" s="31" t="s">
        <v>32</v>
      </c>
      <c r="D50" s="29">
        <v>2</v>
      </c>
      <c r="E50" s="34"/>
      <c r="F50" s="34"/>
      <c r="G50" s="33"/>
      <c r="H50" s="33"/>
      <c r="I50" s="34"/>
      <c r="J50" s="34"/>
      <c r="K50" s="33"/>
    </row>
    <row r="51" spans="1:11" ht="15.65" customHeight="1" x14ac:dyDescent="0.35">
      <c r="A51" s="21"/>
      <c r="B51" s="32" t="s">
        <v>41</v>
      </c>
      <c r="C51" s="31" t="s">
        <v>32</v>
      </c>
      <c r="D51" s="29">
        <v>2</v>
      </c>
      <c r="E51" s="21"/>
      <c r="F51" s="21"/>
      <c r="G51" s="20"/>
      <c r="H51" s="20"/>
      <c r="I51" s="21"/>
      <c r="J51" s="21"/>
      <c r="K51" s="20"/>
    </row>
    <row r="52" spans="1:11" ht="33" x14ac:dyDescent="0.35">
      <c r="A52" s="21"/>
      <c r="B52" s="25" t="s">
        <v>39</v>
      </c>
      <c r="C52" s="31" t="s">
        <v>26</v>
      </c>
      <c r="D52" s="29">
        <v>8.8000000000000007</v>
      </c>
      <c r="E52" s="21"/>
      <c r="F52" s="21"/>
      <c r="G52" s="20"/>
      <c r="H52" s="20"/>
      <c r="I52" s="21"/>
      <c r="J52" s="21"/>
      <c r="K52" s="20"/>
    </row>
    <row r="53" spans="1:11" ht="15.65" customHeight="1" x14ac:dyDescent="0.35">
      <c r="A53" s="21"/>
      <c r="B53" s="43" t="s">
        <v>51</v>
      </c>
      <c r="C53" s="31" t="s">
        <v>32</v>
      </c>
      <c r="D53" s="29">
        <v>1</v>
      </c>
      <c r="E53" s="21"/>
      <c r="F53" s="21"/>
      <c r="G53" s="20"/>
      <c r="H53" s="20"/>
      <c r="I53" s="21"/>
      <c r="J53" s="21"/>
      <c r="K53" s="20"/>
    </row>
    <row r="54" spans="1:11" ht="15.65" customHeight="1" x14ac:dyDescent="0.35">
      <c r="A54" s="21"/>
      <c r="B54" s="25" t="s">
        <v>33</v>
      </c>
      <c r="C54" s="31" t="s">
        <v>26</v>
      </c>
      <c r="D54" s="29">
        <f>176.8*0.9</f>
        <v>159.12</v>
      </c>
      <c r="E54" s="21"/>
      <c r="F54" s="21"/>
      <c r="G54" s="20"/>
      <c r="H54" s="20"/>
      <c r="I54" s="21"/>
      <c r="J54" s="21"/>
      <c r="K54" s="20"/>
    </row>
    <row r="55" spans="1:11" ht="15.65" customHeight="1" x14ac:dyDescent="0.35">
      <c r="A55" s="21"/>
      <c r="B55" s="25" t="s">
        <v>19</v>
      </c>
      <c r="C55" s="31" t="s">
        <v>26</v>
      </c>
      <c r="D55" s="29">
        <f>176.8*0.1</f>
        <v>17.680000000000003</v>
      </c>
      <c r="E55" s="21"/>
      <c r="F55" s="21"/>
      <c r="G55" s="20"/>
      <c r="H55" s="20"/>
      <c r="I55" s="21"/>
      <c r="J55" s="21"/>
      <c r="K55" s="20"/>
    </row>
    <row r="56" spans="1:11" ht="31" x14ac:dyDescent="0.35">
      <c r="A56" s="21"/>
      <c r="B56" s="25" t="s">
        <v>52</v>
      </c>
      <c r="C56" s="31" t="s">
        <v>32</v>
      </c>
      <c r="D56" s="29">
        <v>1</v>
      </c>
      <c r="E56" s="21"/>
      <c r="F56" s="21"/>
      <c r="G56" s="20"/>
      <c r="H56" s="20"/>
      <c r="I56" s="21"/>
      <c r="J56" s="21"/>
      <c r="K56" s="20"/>
    </row>
    <row r="57" spans="1:11" ht="31" x14ac:dyDescent="0.35">
      <c r="A57" s="34"/>
      <c r="B57" s="25" t="s">
        <v>56</v>
      </c>
      <c r="C57" s="31" t="s">
        <v>32</v>
      </c>
      <c r="D57" s="29">
        <v>2</v>
      </c>
      <c r="E57" s="34"/>
      <c r="F57" s="34"/>
      <c r="G57" s="33"/>
      <c r="H57" s="33"/>
      <c r="I57" s="34"/>
      <c r="J57" s="34"/>
      <c r="K57" s="33"/>
    </row>
    <row r="58" spans="1:11" x14ac:dyDescent="0.35">
      <c r="A58" s="34"/>
      <c r="B58" s="32" t="s">
        <v>29</v>
      </c>
      <c r="C58" s="31" t="s">
        <v>26</v>
      </c>
      <c r="D58" s="29">
        <v>0.02</v>
      </c>
      <c r="E58" s="34"/>
      <c r="F58" s="34"/>
      <c r="G58" s="33"/>
      <c r="H58" s="33"/>
      <c r="I58" s="34"/>
      <c r="J58" s="34"/>
      <c r="K58" s="33"/>
    </row>
    <row r="59" spans="1:11" x14ac:dyDescent="0.35">
      <c r="A59" s="34"/>
      <c r="B59" s="25" t="s">
        <v>53</v>
      </c>
      <c r="C59" s="31"/>
      <c r="D59" s="29"/>
      <c r="E59" s="34"/>
      <c r="F59" s="34"/>
      <c r="G59" s="33"/>
      <c r="H59" s="33"/>
      <c r="I59" s="34"/>
      <c r="J59" s="34"/>
      <c r="K59" s="33"/>
    </row>
    <row r="60" spans="1:11" ht="15.65" customHeight="1" x14ac:dyDescent="0.35">
      <c r="A60" s="21"/>
      <c r="B60" s="32" t="s">
        <v>54</v>
      </c>
      <c r="C60" s="31" t="s">
        <v>32</v>
      </c>
      <c r="D60" s="29">
        <v>2</v>
      </c>
      <c r="E60" s="21"/>
      <c r="F60" s="21"/>
      <c r="G60" s="20"/>
      <c r="H60" s="20"/>
      <c r="I60" s="21"/>
      <c r="J60" s="21"/>
      <c r="K60" s="20"/>
    </row>
    <row r="61" spans="1:11" ht="31" x14ac:dyDescent="0.35">
      <c r="A61" s="21"/>
      <c r="B61" s="32" t="s">
        <v>55</v>
      </c>
      <c r="C61" s="31" t="s">
        <v>32</v>
      </c>
      <c r="D61" s="29">
        <v>5</v>
      </c>
      <c r="E61" s="21"/>
      <c r="F61" s="21"/>
      <c r="G61" s="20"/>
      <c r="H61" s="20"/>
      <c r="I61" s="21"/>
      <c r="J61" s="21"/>
      <c r="K61" s="20"/>
    </row>
    <row r="62" spans="1:11" ht="15.65" customHeight="1" x14ac:dyDescent="0.35">
      <c r="A62" s="21"/>
      <c r="B62" s="32" t="s">
        <v>45</v>
      </c>
      <c r="C62" s="31" t="s">
        <v>32</v>
      </c>
      <c r="D62" s="29">
        <v>4</v>
      </c>
      <c r="E62" s="21"/>
      <c r="F62" s="21"/>
      <c r="G62" s="20"/>
      <c r="H62" s="20"/>
      <c r="I62" s="21"/>
      <c r="J62" s="21"/>
      <c r="K62" s="20"/>
    </row>
    <row r="63" spans="1:11" ht="15.65" customHeight="1" x14ac:dyDescent="0.35">
      <c r="A63" s="21"/>
      <c r="B63" s="32" t="s">
        <v>46</v>
      </c>
      <c r="C63" s="31" t="s">
        <v>32</v>
      </c>
      <c r="D63" s="29">
        <v>2</v>
      </c>
      <c r="E63" s="21"/>
      <c r="F63" s="21"/>
      <c r="G63" s="20"/>
      <c r="H63" s="20"/>
      <c r="I63" s="21"/>
      <c r="J63" s="21"/>
      <c r="K63" s="20"/>
    </row>
    <row r="64" spans="1:11" ht="15.65" customHeight="1" x14ac:dyDescent="0.35">
      <c r="A64" s="21"/>
      <c r="B64" s="25" t="s">
        <v>40</v>
      </c>
      <c r="C64" s="31" t="s">
        <v>32</v>
      </c>
      <c r="D64" s="29">
        <v>4</v>
      </c>
      <c r="E64" s="21"/>
      <c r="F64" s="21"/>
      <c r="G64" s="20"/>
      <c r="H64" s="20"/>
      <c r="I64" s="21"/>
      <c r="J64" s="21"/>
      <c r="K64" s="20"/>
    </row>
    <row r="65" spans="1:12" ht="15.65" customHeight="1" x14ac:dyDescent="0.35">
      <c r="A65" s="21"/>
      <c r="B65" s="32" t="s">
        <v>36</v>
      </c>
      <c r="C65" s="31" t="s">
        <v>32</v>
      </c>
      <c r="D65" s="29">
        <v>4</v>
      </c>
      <c r="E65" s="21"/>
      <c r="F65" s="21"/>
      <c r="G65" s="20"/>
      <c r="H65" s="20"/>
      <c r="I65" s="21"/>
      <c r="J65" s="21"/>
      <c r="K65" s="20"/>
    </row>
    <row r="66" spans="1:12" ht="33" x14ac:dyDescent="0.35">
      <c r="A66" s="21"/>
      <c r="B66" s="25" t="s">
        <v>48</v>
      </c>
      <c r="C66" s="31" t="s">
        <v>26</v>
      </c>
      <c r="D66" s="29">
        <f>D54-68.07</f>
        <v>91.050000000000011</v>
      </c>
      <c r="E66" s="21"/>
      <c r="F66" s="21"/>
      <c r="G66" s="20"/>
      <c r="H66" s="20"/>
      <c r="I66" s="21"/>
      <c r="J66" s="21"/>
      <c r="K66" s="20"/>
    </row>
    <row r="67" spans="1:12" ht="30" x14ac:dyDescent="0.35">
      <c r="A67" s="21"/>
      <c r="B67" s="23" t="s">
        <v>117</v>
      </c>
      <c r="C67" s="31"/>
      <c r="D67" s="29"/>
      <c r="E67" s="21"/>
      <c r="F67" s="21"/>
      <c r="G67" s="20"/>
      <c r="H67" s="20"/>
      <c r="I67" s="21"/>
      <c r="J67" s="21"/>
      <c r="K67" s="20"/>
    </row>
    <row r="68" spans="1:12" ht="75" x14ac:dyDescent="0.35">
      <c r="A68" s="21"/>
      <c r="B68" s="24" t="s">
        <v>58</v>
      </c>
      <c r="C68" s="31" t="s">
        <v>27</v>
      </c>
      <c r="D68" s="29">
        <f>3.5+7.3+14.2+12.8+26.8+3.4+9.5</f>
        <v>77.5</v>
      </c>
      <c r="E68" s="21"/>
      <c r="F68" s="21"/>
      <c r="G68" s="20"/>
      <c r="H68" s="20"/>
      <c r="I68" s="21"/>
      <c r="J68" s="21"/>
      <c r="K68" s="20"/>
    </row>
    <row r="69" spans="1:12" ht="15.65" customHeight="1" x14ac:dyDescent="0.35">
      <c r="A69" s="21"/>
      <c r="B69" s="25" t="s">
        <v>18</v>
      </c>
      <c r="C69" s="31" t="s">
        <v>26</v>
      </c>
      <c r="D69" s="29">
        <f>(4+1.5)/2*5*77.5</f>
        <v>1065.625</v>
      </c>
      <c r="E69" s="21"/>
      <c r="F69" s="21"/>
      <c r="G69" s="20"/>
      <c r="H69" s="20"/>
      <c r="I69" s="21"/>
      <c r="J69" s="21"/>
      <c r="K69" s="20"/>
      <c r="L69" s="14" t="s">
        <v>147</v>
      </c>
    </row>
    <row r="70" spans="1:12" ht="15.65" customHeight="1" x14ac:dyDescent="0.35">
      <c r="A70" s="21"/>
      <c r="B70" s="25" t="s">
        <v>19</v>
      </c>
      <c r="C70" s="31" t="s">
        <v>26</v>
      </c>
      <c r="D70" s="29">
        <f>0.3+0.3+1.1+1+2.5+0.3+0.5</f>
        <v>6</v>
      </c>
      <c r="E70" s="21"/>
      <c r="F70" s="21"/>
      <c r="G70" s="20"/>
      <c r="H70" s="20"/>
      <c r="I70" s="21"/>
      <c r="J70" s="21"/>
      <c r="K70" s="20"/>
    </row>
    <row r="71" spans="1:12" ht="31" x14ac:dyDescent="0.35">
      <c r="A71" s="21"/>
      <c r="B71" s="25" t="s">
        <v>59</v>
      </c>
      <c r="C71" s="31" t="s">
        <v>25</v>
      </c>
      <c r="D71" s="29">
        <f>2.16+2.448+7.8+6.89+15.99+2.304+3.63</f>
        <v>41.222000000000008</v>
      </c>
      <c r="E71" s="21"/>
      <c r="F71" s="21"/>
      <c r="G71" s="20"/>
      <c r="H71" s="20"/>
      <c r="I71" s="21"/>
      <c r="J71" s="21"/>
      <c r="K71" s="20"/>
    </row>
    <row r="72" spans="1:12" ht="15.65" customHeight="1" x14ac:dyDescent="0.35">
      <c r="A72" s="21"/>
      <c r="B72" s="25" t="s">
        <v>20</v>
      </c>
      <c r="C72" s="31" t="s">
        <v>26</v>
      </c>
      <c r="D72" s="29">
        <f>D71*0.07</f>
        <v>2.8855400000000007</v>
      </c>
      <c r="E72" s="21"/>
      <c r="F72" s="21"/>
      <c r="G72" s="20"/>
      <c r="H72" s="20"/>
      <c r="I72" s="21"/>
      <c r="J72" s="21"/>
      <c r="K72" s="20"/>
    </row>
    <row r="73" spans="1:12" ht="15.65" customHeight="1" x14ac:dyDescent="0.35">
      <c r="A73" s="21"/>
      <c r="B73" s="25" t="s">
        <v>28</v>
      </c>
      <c r="C73" s="31" t="s">
        <v>26</v>
      </c>
      <c r="D73" s="29">
        <f>0.73/10*(2.4+2.4+2.56+2.56)+0.8/10*(5.1+7.56)+1.34/10*(12+10.6+24.6)</f>
        <v>8.0617599999999996</v>
      </c>
      <c r="E73" s="21"/>
      <c r="F73" s="21"/>
      <c r="G73" s="20"/>
      <c r="H73" s="20"/>
      <c r="I73" s="21"/>
      <c r="J73" s="21"/>
      <c r="K73" s="20"/>
    </row>
    <row r="74" spans="1:12" ht="15.65" customHeight="1" x14ac:dyDescent="0.35">
      <c r="A74" s="21"/>
      <c r="B74" s="32" t="s">
        <v>29</v>
      </c>
      <c r="C74" s="31" t="s">
        <v>26</v>
      </c>
      <c r="D74" s="29">
        <f>D73*1.02</f>
        <v>8.2229951999999997</v>
      </c>
      <c r="E74" s="21"/>
      <c r="F74" s="21"/>
      <c r="G74" s="20"/>
      <c r="H74" s="20"/>
      <c r="I74" s="21"/>
      <c r="J74" s="21"/>
      <c r="K74" s="20"/>
    </row>
    <row r="75" spans="1:12" ht="15.65" customHeight="1" x14ac:dyDescent="0.35">
      <c r="A75" s="21"/>
      <c r="B75" s="32" t="s">
        <v>30</v>
      </c>
      <c r="C75" s="31" t="s">
        <v>31</v>
      </c>
      <c r="D75" s="29">
        <f>(22.21/10*(2.4+2.4+2.56+2.56)+31.39/10*(5.1+7.56)+33.29/10*(12+10.3+24.6))*1.04</f>
        <v>226.6182464</v>
      </c>
      <c r="E75" s="21"/>
      <c r="F75" s="21"/>
      <c r="G75" s="20"/>
      <c r="H75" s="20"/>
      <c r="I75" s="21"/>
      <c r="J75" s="21"/>
      <c r="K75" s="20"/>
    </row>
    <row r="76" spans="1:12" ht="15.65" customHeight="1" x14ac:dyDescent="0.35">
      <c r="A76" s="21"/>
      <c r="B76" s="25" t="s">
        <v>61</v>
      </c>
      <c r="C76" s="31" t="s">
        <v>27</v>
      </c>
      <c r="D76" s="29">
        <f>3.5+3.4</f>
        <v>6.9</v>
      </c>
      <c r="E76" s="21"/>
      <c r="F76" s="21"/>
      <c r="G76" s="20"/>
      <c r="H76" s="20"/>
      <c r="I76" s="21"/>
      <c r="J76" s="21"/>
      <c r="K76" s="20"/>
    </row>
    <row r="77" spans="1:12" ht="15.65" customHeight="1" x14ac:dyDescent="0.35">
      <c r="A77" s="21"/>
      <c r="B77" s="32" t="s">
        <v>60</v>
      </c>
      <c r="C77" s="31" t="s">
        <v>27</v>
      </c>
      <c r="D77" s="29">
        <f>D76*2*1.1</f>
        <v>15.180000000000001</v>
      </c>
      <c r="E77" s="21"/>
      <c r="F77" s="21"/>
      <c r="G77" s="20"/>
      <c r="H77" s="20"/>
      <c r="I77" s="21"/>
      <c r="J77" s="21"/>
      <c r="K77" s="20"/>
    </row>
    <row r="78" spans="1:12" ht="15.65" customHeight="1" x14ac:dyDescent="0.35">
      <c r="A78" s="21"/>
      <c r="B78" s="25" t="s">
        <v>62</v>
      </c>
      <c r="C78" s="31" t="s">
        <v>27</v>
      </c>
      <c r="D78" s="29">
        <f>7.3+9.5</f>
        <v>16.8</v>
      </c>
      <c r="E78" s="21"/>
      <c r="F78" s="21"/>
      <c r="G78" s="20"/>
      <c r="H78" s="20"/>
      <c r="I78" s="21"/>
      <c r="J78" s="21"/>
      <c r="K78" s="20"/>
    </row>
    <row r="79" spans="1:12" ht="31" x14ac:dyDescent="0.35">
      <c r="A79" s="21"/>
      <c r="B79" s="32" t="s">
        <v>63</v>
      </c>
      <c r="C79" s="31" t="s">
        <v>27</v>
      </c>
      <c r="D79" s="29">
        <f>D78*1.1</f>
        <v>18.480000000000004</v>
      </c>
      <c r="E79" s="21"/>
      <c r="F79" s="21"/>
      <c r="G79" s="20"/>
      <c r="H79" s="20"/>
      <c r="I79" s="21"/>
      <c r="J79" s="21"/>
      <c r="K79" s="20"/>
    </row>
    <row r="80" spans="1:12" ht="15.65" customHeight="1" x14ac:dyDescent="0.35">
      <c r="A80" s="21"/>
      <c r="B80" s="25" t="s">
        <v>64</v>
      </c>
      <c r="C80" s="31" t="s">
        <v>27</v>
      </c>
      <c r="D80" s="29">
        <f>14.2+12.8+26.8</f>
        <v>53.8</v>
      </c>
      <c r="E80" s="21"/>
      <c r="F80" s="21"/>
      <c r="G80" s="20"/>
      <c r="H80" s="20"/>
      <c r="I80" s="21"/>
      <c r="J80" s="21"/>
      <c r="K80" s="20"/>
    </row>
    <row r="81" spans="1:12" ht="31" x14ac:dyDescent="0.35">
      <c r="A81" s="21"/>
      <c r="B81" s="32" t="s">
        <v>65</v>
      </c>
      <c r="C81" s="31" t="s">
        <v>27</v>
      </c>
      <c r="D81" s="29">
        <f>D80*1.1</f>
        <v>59.18</v>
      </c>
      <c r="E81" s="21"/>
      <c r="F81" s="21"/>
      <c r="G81" s="20"/>
      <c r="H81" s="20"/>
      <c r="I81" s="21"/>
      <c r="J81" s="21"/>
      <c r="K81" s="20"/>
    </row>
    <row r="82" spans="1:12" ht="33" x14ac:dyDescent="0.35">
      <c r="A82" s="2"/>
      <c r="B82" s="25" t="s">
        <v>39</v>
      </c>
      <c r="C82" s="3" t="s">
        <v>26</v>
      </c>
      <c r="D82" s="29">
        <f>(D69+D70)-(0.007*(2.4*2+2.56*2)+0.73/10*(2.4*2+2.56*2)+0.027*(5.1+7.56)+0.8/10*(12+10.6+24.6)+0.125*(12+10.6+24.8)+1.34/10*(12+10.6+24.8))</f>
        <v>1054.4369799999999</v>
      </c>
      <c r="E82" s="10"/>
      <c r="F82" s="4"/>
      <c r="G82" s="4"/>
      <c r="H82" s="4"/>
      <c r="I82" s="4"/>
      <c r="J82" s="4"/>
      <c r="K82" s="5"/>
    </row>
    <row r="83" spans="1:12" x14ac:dyDescent="0.35">
      <c r="A83" s="2"/>
      <c r="B83" s="43" t="s">
        <v>66</v>
      </c>
      <c r="C83" s="3" t="s">
        <v>32</v>
      </c>
      <c r="D83" s="29">
        <v>1</v>
      </c>
      <c r="E83" s="10"/>
      <c r="F83" s="4"/>
      <c r="G83" s="4"/>
      <c r="H83" s="4"/>
      <c r="I83" s="4"/>
      <c r="J83" s="4"/>
      <c r="K83" s="5"/>
    </row>
    <row r="84" spans="1:12" x14ac:dyDescent="0.35">
      <c r="A84" s="2"/>
      <c r="B84" s="25" t="s">
        <v>33</v>
      </c>
      <c r="C84" s="3" t="s">
        <v>26</v>
      </c>
      <c r="D84" s="55">
        <f>(4+8)/2*2*2</f>
        <v>24</v>
      </c>
      <c r="E84" s="10"/>
      <c r="F84" s="4"/>
      <c r="G84" s="4"/>
      <c r="H84" s="4"/>
      <c r="I84" s="4"/>
      <c r="J84" s="4"/>
      <c r="K84" s="5"/>
    </row>
    <row r="85" spans="1:12" x14ac:dyDescent="0.35">
      <c r="A85" s="2"/>
      <c r="B85" s="25" t="s">
        <v>19</v>
      </c>
      <c r="C85" s="3" t="s">
        <v>26</v>
      </c>
      <c r="D85" s="29">
        <v>1.1299999999999999</v>
      </c>
      <c r="E85" s="10"/>
      <c r="F85" s="4"/>
      <c r="G85" s="4"/>
      <c r="H85" s="4"/>
      <c r="I85" s="4"/>
      <c r="J85" s="4"/>
      <c r="K85" s="5"/>
    </row>
    <row r="86" spans="1:12" x14ac:dyDescent="0.35">
      <c r="A86" s="2"/>
      <c r="B86" s="25" t="s">
        <v>67</v>
      </c>
      <c r="C86" s="3" t="s">
        <v>25</v>
      </c>
      <c r="D86" s="29">
        <v>5.72</v>
      </c>
      <c r="E86" s="10"/>
      <c r="F86" s="4"/>
      <c r="G86" s="4"/>
      <c r="H86" s="4"/>
      <c r="I86" s="4"/>
      <c r="J86" s="4"/>
      <c r="K86" s="5"/>
    </row>
    <row r="87" spans="1:12" x14ac:dyDescent="0.35">
      <c r="A87" s="2"/>
      <c r="B87" s="25" t="s">
        <v>68</v>
      </c>
      <c r="C87" s="3" t="s">
        <v>26</v>
      </c>
      <c r="D87" s="29">
        <v>0.56999999999999995</v>
      </c>
      <c r="E87" s="10"/>
      <c r="F87" s="4"/>
      <c r="G87" s="4"/>
      <c r="H87" s="4"/>
      <c r="I87" s="4"/>
      <c r="J87" s="4"/>
      <c r="K87" s="5"/>
    </row>
    <row r="88" spans="1:12" ht="46.5" x14ac:dyDescent="0.35">
      <c r="A88" s="2"/>
      <c r="B88" s="25" t="s">
        <v>70</v>
      </c>
      <c r="C88" s="3" t="s">
        <v>25</v>
      </c>
      <c r="D88" s="29">
        <v>4.91</v>
      </c>
      <c r="E88" s="10"/>
      <c r="F88" s="4"/>
      <c r="G88" s="4"/>
      <c r="H88" s="4"/>
      <c r="I88" s="4"/>
      <c r="J88" s="4"/>
      <c r="K88" s="5"/>
    </row>
    <row r="89" spans="1:12" ht="31" x14ac:dyDescent="0.35">
      <c r="A89" s="2"/>
      <c r="B89" s="25" t="s">
        <v>69</v>
      </c>
      <c r="C89" s="3" t="s">
        <v>32</v>
      </c>
      <c r="D89" s="29">
        <v>1</v>
      </c>
      <c r="E89" s="10"/>
      <c r="F89" s="4"/>
      <c r="G89" s="4"/>
      <c r="H89" s="4"/>
      <c r="I89" s="4"/>
      <c r="J89" s="4"/>
      <c r="K89" s="5"/>
    </row>
    <row r="90" spans="1:12" x14ac:dyDescent="0.35">
      <c r="A90" s="2"/>
      <c r="B90" s="17" t="s">
        <v>71</v>
      </c>
      <c r="C90" s="3" t="s">
        <v>32</v>
      </c>
      <c r="D90" s="29">
        <v>1</v>
      </c>
      <c r="E90" s="10"/>
      <c r="F90" s="4"/>
      <c r="G90" s="4"/>
      <c r="H90" s="4"/>
      <c r="I90" s="4"/>
      <c r="J90" s="4"/>
      <c r="K90" s="5"/>
    </row>
    <row r="91" spans="1:12" x14ac:dyDescent="0.35">
      <c r="A91" s="2"/>
      <c r="B91" s="17" t="s">
        <v>72</v>
      </c>
      <c r="C91" s="3" t="s">
        <v>26</v>
      </c>
      <c r="D91" s="29">
        <f>0.05*1.02</f>
        <v>5.1000000000000004E-2</v>
      </c>
      <c r="E91" s="10"/>
      <c r="F91" s="4"/>
      <c r="G91" s="4"/>
      <c r="H91" s="4"/>
      <c r="I91" s="4"/>
      <c r="J91" s="4"/>
      <c r="K91" s="5"/>
    </row>
    <row r="92" spans="1:12" ht="31" x14ac:dyDescent="0.35">
      <c r="A92" s="2"/>
      <c r="B92" s="25" t="s">
        <v>74</v>
      </c>
      <c r="C92" s="3" t="s">
        <v>26</v>
      </c>
      <c r="D92" s="37">
        <v>1.2</v>
      </c>
      <c r="E92" s="10"/>
      <c r="F92" s="4"/>
      <c r="G92" s="4"/>
      <c r="H92" s="4"/>
      <c r="I92" s="4"/>
      <c r="J92" s="4"/>
      <c r="K92" s="5"/>
      <c r="L92" s="38" t="s">
        <v>73</v>
      </c>
    </row>
    <row r="93" spans="1:12" x14ac:dyDescent="0.35">
      <c r="A93" s="2"/>
      <c r="B93" s="17" t="s">
        <v>75</v>
      </c>
      <c r="C93" s="3" t="s">
        <v>26</v>
      </c>
      <c r="D93" s="37">
        <f>D92*1.02</f>
        <v>1.224</v>
      </c>
      <c r="E93" s="10"/>
      <c r="F93" s="4"/>
      <c r="G93" s="4"/>
      <c r="H93" s="4"/>
      <c r="I93" s="4"/>
      <c r="J93" s="4"/>
      <c r="K93" s="5"/>
      <c r="L93" s="38"/>
    </row>
    <row r="94" spans="1:12" ht="31" x14ac:dyDescent="0.35">
      <c r="A94" s="2"/>
      <c r="B94" s="25" t="s">
        <v>78</v>
      </c>
      <c r="C94" s="3" t="s">
        <v>32</v>
      </c>
      <c r="D94" s="29">
        <f>SUM(D95:D98)</f>
        <v>7</v>
      </c>
      <c r="E94" s="10"/>
      <c r="F94" s="4"/>
      <c r="G94" s="4"/>
      <c r="H94" s="4"/>
      <c r="I94" s="4"/>
      <c r="J94" s="4"/>
      <c r="K94" s="5"/>
    </row>
    <row r="95" spans="1:12" x14ac:dyDescent="0.35">
      <c r="A95" s="2"/>
      <c r="B95" s="17" t="s">
        <v>76</v>
      </c>
      <c r="C95" s="3" t="s">
        <v>32</v>
      </c>
      <c r="D95" s="29">
        <v>3</v>
      </c>
      <c r="E95" s="10"/>
      <c r="F95" s="4"/>
      <c r="G95" s="4"/>
      <c r="H95" s="4"/>
      <c r="I95" s="4"/>
      <c r="J95" s="4"/>
      <c r="K95" s="5"/>
    </row>
    <row r="96" spans="1:12" x14ac:dyDescent="0.35">
      <c r="A96" s="2"/>
      <c r="B96" s="17" t="s">
        <v>77</v>
      </c>
      <c r="C96" s="3" t="s">
        <v>32</v>
      </c>
      <c r="D96" s="29">
        <v>2</v>
      </c>
      <c r="E96" s="10"/>
      <c r="F96" s="4"/>
      <c r="G96" s="4"/>
      <c r="H96" s="4"/>
      <c r="I96" s="4"/>
      <c r="J96" s="4"/>
      <c r="K96" s="5"/>
    </row>
    <row r="97" spans="1:12" x14ac:dyDescent="0.35">
      <c r="A97" s="2"/>
      <c r="B97" s="17" t="s">
        <v>80</v>
      </c>
      <c r="C97" s="3" t="s">
        <v>32</v>
      </c>
      <c r="D97" s="29">
        <v>1</v>
      </c>
      <c r="E97" s="10"/>
      <c r="F97" s="4"/>
      <c r="G97" s="4"/>
      <c r="H97" s="4"/>
      <c r="I97" s="4"/>
      <c r="J97" s="4"/>
      <c r="K97" s="5"/>
    </row>
    <row r="98" spans="1:12" x14ac:dyDescent="0.35">
      <c r="A98" s="2"/>
      <c r="B98" s="40" t="s">
        <v>81</v>
      </c>
      <c r="C98" s="3" t="s">
        <v>32</v>
      </c>
      <c r="D98" s="37">
        <v>1</v>
      </c>
      <c r="E98" s="10"/>
      <c r="F98" s="4"/>
      <c r="G98" s="4"/>
      <c r="H98" s="4"/>
      <c r="I98" s="4"/>
      <c r="J98" s="4"/>
      <c r="K98" s="5"/>
      <c r="L98" s="38" t="s">
        <v>82</v>
      </c>
    </row>
    <row r="99" spans="1:12" ht="31" x14ac:dyDescent="0.35">
      <c r="A99" s="2"/>
      <c r="B99" s="25" t="s">
        <v>85</v>
      </c>
      <c r="C99" s="3" t="s">
        <v>32</v>
      </c>
      <c r="D99" s="29">
        <v>1</v>
      </c>
      <c r="E99" s="10"/>
      <c r="F99" s="4"/>
      <c r="G99" s="4"/>
      <c r="H99" s="4"/>
      <c r="I99" s="4"/>
      <c r="J99" s="4"/>
      <c r="K99" s="5"/>
    </row>
    <row r="100" spans="1:12" x14ac:dyDescent="0.35">
      <c r="A100" s="2"/>
      <c r="B100" s="17" t="s">
        <v>79</v>
      </c>
      <c r="C100" s="3" t="s">
        <v>32</v>
      </c>
      <c r="D100" s="29">
        <v>1</v>
      </c>
      <c r="E100" s="10"/>
      <c r="F100" s="4"/>
      <c r="G100" s="4"/>
      <c r="H100" s="4"/>
      <c r="I100" s="4"/>
      <c r="J100" s="4"/>
      <c r="K100" s="5"/>
    </row>
    <row r="101" spans="1:12" ht="31" x14ac:dyDescent="0.35">
      <c r="A101" s="2"/>
      <c r="B101" s="25" t="s">
        <v>86</v>
      </c>
      <c r="C101" s="3" t="s">
        <v>32</v>
      </c>
      <c r="D101" s="29">
        <v>1</v>
      </c>
      <c r="E101" s="10"/>
      <c r="F101" s="4"/>
      <c r="G101" s="4"/>
      <c r="H101" s="4"/>
      <c r="I101" s="4"/>
      <c r="J101" s="4"/>
      <c r="K101" s="5"/>
    </row>
    <row r="102" spans="1:12" x14ac:dyDescent="0.35">
      <c r="A102" s="2"/>
      <c r="B102" s="17" t="s">
        <v>84</v>
      </c>
      <c r="C102" s="3" t="s">
        <v>32</v>
      </c>
      <c r="D102" s="29">
        <v>1</v>
      </c>
      <c r="E102" s="10"/>
      <c r="F102" s="4"/>
      <c r="G102" s="4"/>
      <c r="H102" s="4"/>
      <c r="I102" s="4"/>
      <c r="J102" s="4"/>
      <c r="K102" s="5"/>
    </row>
    <row r="103" spans="1:12" x14ac:dyDescent="0.35">
      <c r="A103" s="2"/>
      <c r="B103" s="25" t="s">
        <v>87</v>
      </c>
      <c r="C103" s="3" t="s">
        <v>32</v>
      </c>
      <c r="D103" s="29">
        <v>1</v>
      </c>
      <c r="E103" s="10"/>
      <c r="F103" s="4"/>
      <c r="G103" s="4"/>
      <c r="H103" s="4"/>
      <c r="I103" s="4"/>
      <c r="J103" s="4"/>
      <c r="K103" s="5"/>
    </row>
    <row r="104" spans="1:12" x14ac:dyDescent="0.35">
      <c r="A104" s="2"/>
      <c r="B104" s="17" t="s">
        <v>88</v>
      </c>
      <c r="C104" s="3" t="s">
        <v>32</v>
      </c>
      <c r="D104" s="29">
        <v>1</v>
      </c>
      <c r="E104" s="10"/>
      <c r="F104" s="4"/>
      <c r="G104" s="4"/>
      <c r="H104" s="4"/>
      <c r="I104" s="4"/>
      <c r="J104" s="4"/>
      <c r="K104" s="5"/>
    </row>
    <row r="105" spans="1:12" ht="77.5" x14ac:dyDescent="0.35">
      <c r="A105" s="2"/>
      <c r="B105" s="41" t="s">
        <v>90</v>
      </c>
      <c r="C105" s="3" t="s">
        <v>25</v>
      </c>
      <c r="D105" s="29">
        <f>((0.3+0.03+0.013)*3.14*2.4)+16.77+7.4+0.64+0.32+0.1275+3.4</f>
        <v>31.242348000000003</v>
      </c>
      <c r="E105" s="10"/>
      <c r="F105" s="4"/>
      <c r="G105" s="4"/>
      <c r="H105" s="4"/>
      <c r="I105" s="4"/>
      <c r="J105" s="4"/>
      <c r="K105" s="5"/>
      <c r="L105" s="42" t="s">
        <v>89</v>
      </c>
    </row>
    <row r="106" spans="1:12" x14ac:dyDescent="0.35">
      <c r="A106" s="2"/>
      <c r="B106" s="25" t="s">
        <v>91</v>
      </c>
      <c r="C106" s="3" t="s">
        <v>32</v>
      </c>
      <c r="D106" s="29">
        <v>1</v>
      </c>
      <c r="E106" s="10"/>
      <c r="F106" s="4"/>
      <c r="G106" s="4"/>
      <c r="H106" s="4"/>
      <c r="I106" s="4"/>
      <c r="J106" s="4"/>
      <c r="K106" s="5"/>
    </row>
    <row r="107" spans="1:12" x14ac:dyDescent="0.35">
      <c r="A107" s="2"/>
      <c r="B107" s="17" t="s">
        <v>92</v>
      </c>
      <c r="C107" s="3" t="s">
        <v>31</v>
      </c>
      <c r="D107" s="29">
        <v>38.9</v>
      </c>
      <c r="E107" s="10"/>
      <c r="F107" s="4"/>
      <c r="G107" s="4"/>
      <c r="H107" s="4"/>
      <c r="I107" s="4"/>
      <c r="J107" s="4"/>
      <c r="K107" s="5"/>
    </row>
    <row r="108" spans="1:12" x14ac:dyDescent="0.35">
      <c r="A108" s="2"/>
      <c r="B108" s="25" t="s">
        <v>93</v>
      </c>
      <c r="C108" s="3" t="s">
        <v>32</v>
      </c>
      <c r="D108" s="29">
        <v>1</v>
      </c>
      <c r="E108" s="10"/>
      <c r="F108" s="4"/>
      <c r="G108" s="4"/>
      <c r="H108" s="4"/>
      <c r="I108" s="4"/>
      <c r="J108" s="4"/>
      <c r="K108" s="5"/>
    </row>
    <row r="109" spans="1:12" x14ac:dyDescent="0.35">
      <c r="A109" s="2"/>
      <c r="B109" s="17" t="s">
        <v>94</v>
      </c>
      <c r="C109" s="3" t="s">
        <v>31</v>
      </c>
      <c r="D109" s="29">
        <v>0.8</v>
      </c>
      <c r="E109" s="10"/>
      <c r="F109" s="4"/>
      <c r="G109" s="4"/>
      <c r="H109" s="4"/>
      <c r="I109" s="4"/>
      <c r="J109" s="4"/>
      <c r="K109" s="5"/>
    </row>
    <row r="110" spans="1:12" x14ac:dyDescent="0.35">
      <c r="A110" s="2"/>
      <c r="B110" s="25" t="s">
        <v>95</v>
      </c>
      <c r="C110" s="3" t="s">
        <v>32</v>
      </c>
      <c r="D110" s="29">
        <v>3</v>
      </c>
      <c r="E110" s="10"/>
      <c r="F110" s="4"/>
      <c r="G110" s="4"/>
      <c r="H110" s="4"/>
      <c r="I110" s="4"/>
      <c r="J110" s="4"/>
      <c r="K110" s="5"/>
    </row>
    <row r="111" spans="1:12" ht="33" x14ac:dyDescent="0.35">
      <c r="A111" s="2"/>
      <c r="B111" s="25" t="s">
        <v>96</v>
      </c>
      <c r="C111" s="3" t="s">
        <v>26</v>
      </c>
      <c r="D111" s="29">
        <f>D84+D85-(0.57+0.59+15.4+0.32)</f>
        <v>8.25</v>
      </c>
      <c r="E111" s="10"/>
      <c r="F111" s="4"/>
      <c r="G111" s="4"/>
      <c r="H111" s="4"/>
      <c r="I111" s="4"/>
      <c r="J111" s="4"/>
      <c r="K111" s="5"/>
    </row>
    <row r="112" spans="1:12" x14ac:dyDescent="0.35">
      <c r="A112" s="2"/>
      <c r="B112" s="43" t="s">
        <v>97</v>
      </c>
      <c r="C112" s="3" t="s">
        <v>32</v>
      </c>
      <c r="D112" s="46">
        <v>1</v>
      </c>
      <c r="E112" s="10"/>
      <c r="F112" s="4"/>
      <c r="G112" s="4"/>
      <c r="H112" s="4"/>
      <c r="I112" s="4"/>
      <c r="J112" s="4"/>
      <c r="K112" s="5"/>
    </row>
    <row r="113" spans="1:12" x14ac:dyDescent="0.35">
      <c r="A113" s="2"/>
      <c r="B113" s="25" t="s">
        <v>33</v>
      </c>
      <c r="C113" s="3" t="s">
        <v>26</v>
      </c>
      <c r="D113" s="55">
        <f>(4+8)/2*5*2</f>
        <v>60</v>
      </c>
      <c r="E113" s="10"/>
      <c r="F113" s="4"/>
      <c r="G113" s="4"/>
      <c r="H113" s="4"/>
      <c r="I113" s="4"/>
      <c r="J113" s="4"/>
      <c r="K113" s="5"/>
    </row>
    <row r="114" spans="1:12" x14ac:dyDescent="0.35">
      <c r="A114" s="2"/>
      <c r="B114" s="25" t="s">
        <v>19</v>
      </c>
      <c r="C114" s="3" t="s">
        <v>26</v>
      </c>
      <c r="D114" s="46">
        <v>1.1299999999999999</v>
      </c>
      <c r="E114" s="10"/>
      <c r="F114" s="4"/>
      <c r="G114" s="4"/>
      <c r="H114" s="4"/>
      <c r="I114" s="4"/>
      <c r="J114" s="4"/>
      <c r="K114" s="5"/>
    </row>
    <row r="115" spans="1:12" x14ac:dyDescent="0.35">
      <c r="A115" s="2"/>
      <c r="B115" s="25" t="s">
        <v>67</v>
      </c>
      <c r="C115" s="3" t="s">
        <v>25</v>
      </c>
      <c r="D115" s="46">
        <v>5.72</v>
      </c>
      <c r="E115" s="10"/>
      <c r="F115" s="4"/>
      <c r="G115" s="4"/>
      <c r="H115" s="4"/>
      <c r="I115" s="4"/>
      <c r="J115" s="4"/>
      <c r="K115" s="5"/>
    </row>
    <row r="116" spans="1:12" x14ac:dyDescent="0.35">
      <c r="A116" s="2"/>
      <c r="B116" s="25" t="s">
        <v>68</v>
      </c>
      <c r="C116" s="3" t="s">
        <v>26</v>
      </c>
      <c r="D116" s="46">
        <v>0.56999999999999995</v>
      </c>
      <c r="E116" s="10"/>
      <c r="F116" s="4"/>
      <c r="G116" s="4"/>
      <c r="H116" s="4"/>
      <c r="I116" s="4"/>
      <c r="J116" s="4"/>
      <c r="K116" s="5"/>
    </row>
    <row r="117" spans="1:12" ht="46.5" x14ac:dyDescent="0.35">
      <c r="A117" s="2"/>
      <c r="B117" s="25" t="s">
        <v>70</v>
      </c>
      <c r="C117" s="3" t="s">
        <v>25</v>
      </c>
      <c r="D117" s="46">
        <v>4.91</v>
      </c>
      <c r="E117" s="10"/>
      <c r="F117" s="4"/>
      <c r="G117" s="4"/>
      <c r="H117" s="4"/>
      <c r="I117" s="4"/>
      <c r="J117" s="4"/>
      <c r="K117" s="5"/>
    </row>
    <row r="118" spans="1:12" ht="31" x14ac:dyDescent="0.35">
      <c r="A118" s="2"/>
      <c r="B118" s="25" t="s">
        <v>69</v>
      </c>
      <c r="C118" s="3" t="s">
        <v>32</v>
      </c>
      <c r="D118" s="46">
        <v>1</v>
      </c>
      <c r="E118" s="10"/>
      <c r="F118" s="4"/>
      <c r="G118" s="4"/>
      <c r="H118" s="4"/>
      <c r="I118" s="4"/>
      <c r="J118" s="4"/>
      <c r="K118" s="5"/>
    </row>
    <row r="119" spans="1:12" x14ac:dyDescent="0.35">
      <c r="A119" s="2"/>
      <c r="B119" s="17" t="s">
        <v>71</v>
      </c>
      <c r="C119" s="3" t="s">
        <v>32</v>
      </c>
      <c r="D119" s="46">
        <v>1</v>
      </c>
      <c r="E119" s="10"/>
      <c r="F119" s="4"/>
      <c r="G119" s="4"/>
      <c r="H119" s="4"/>
      <c r="I119" s="4"/>
      <c r="J119" s="4"/>
      <c r="K119" s="5"/>
    </row>
    <row r="120" spans="1:12" x14ac:dyDescent="0.35">
      <c r="A120" s="2"/>
      <c r="B120" s="17" t="s">
        <v>72</v>
      </c>
      <c r="C120" s="3" t="s">
        <v>26</v>
      </c>
      <c r="D120" s="46">
        <f>0.05*1.02</f>
        <v>5.1000000000000004E-2</v>
      </c>
      <c r="E120" s="10"/>
      <c r="F120" s="4"/>
      <c r="G120" s="4"/>
      <c r="H120" s="4"/>
      <c r="I120" s="4"/>
      <c r="J120" s="4"/>
      <c r="K120" s="5"/>
    </row>
    <row r="121" spans="1:12" ht="31" x14ac:dyDescent="0.35">
      <c r="A121" s="2"/>
      <c r="B121" s="25" t="s">
        <v>74</v>
      </c>
      <c r="C121" s="3" t="s">
        <v>26</v>
      </c>
      <c r="D121" s="37">
        <v>1.2</v>
      </c>
      <c r="E121" s="10"/>
      <c r="F121" s="4"/>
      <c r="G121" s="4"/>
      <c r="H121" s="4"/>
      <c r="I121" s="4"/>
      <c r="J121" s="4"/>
      <c r="K121" s="5"/>
      <c r="L121" s="38" t="s">
        <v>73</v>
      </c>
    </row>
    <row r="122" spans="1:12" x14ac:dyDescent="0.35">
      <c r="A122" s="2"/>
      <c r="B122" s="17" t="s">
        <v>75</v>
      </c>
      <c r="C122" s="3" t="s">
        <v>26</v>
      </c>
      <c r="D122" s="37">
        <f>D121*1.02</f>
        <v>1.224</v>
      </c>
      <c r="E122" s="10"/>
      <c r="F122" s="4"/>
      <c r="G122" s="4"/>
      <c r="H122" s="4"/>
      <c r="I122" s="4"/>
      <c r="J122" s="4"/>
      <c r="K122" s="5"/>
      <c r="L122" s="38"/>
    </row>
    <row r="123" spans="1:12" ht="31" x14ac:dyDescent="0.35">
      <c r="A123" s="2"/>
      <c r="B123" s="25" t="s">
        <v>78</v>
      </c>
      <c r="C123" s="3" t="s">
        <v>32</v>
      </c>
      <c r="D123" s="46">
        <f>SUM(D124:D126)</f>
        <v>7</v>
      </c>
      <c r="E123" s="10"/>
      <c r="F123" s="4"/>
      <c r="G123" s="4"/>
      <c r="H123" s="4"/>
      <c r="I123" s="4"/>
      <c r="J123" s="4"/>
      <c r="K123" s="5"/>
    </row>
    <row r="124" spans="1:12" x14ac:dyDescent="0.35">
      <c r="A124" s="2"/>
      <c r="B124" s="17" t="s">
        <v>76</v>
      </c>
      <c r="C124" s="3" t="s">
        <v>32</v>
      </c>
      <c r="D124" s="46">
        <v>5</v>
      </c>
      <c r="E124" s="10"/>
      <c r="F124" s="4"/>
      <c r="G124" s="4"/>
      <c r="H124" s="4"/>
      <c r="I124" s="4"/>
      <c r="J124" s="4"/>
      <c r="K124" s="5"/>
    </row>
    <row r="125" spans="1:12" x14ac:dyDescent="0.35">
      <c r="A125" s="2"/>
      <c r="B125" s="17" t="s">
        <v>80</v>
      </c>
      <c r="C125" s="3" t="s">
        <v>32</v>
      </c>
      <c r="D125" s="46">
        <v>1</v>
      </c>
      <c r="E125" s="10"/>
      <c r="F125" s="4"/>
      <c r="G125" s="4"/>
      <c r="H125" s="4"/>
      <c r="I125" s="4"/>
      <c r="J125" s="4"/>
      <c r="K125" s="5"/>
    </row>
    <row r="126" spans="1:12" x14ac:dyDescent="0.35">
      <c r="A126" s="2"/>
      <c r="B126" s="40" t="s">
        <v>98</v>
      </c>
      <c r="C126" s="3" t="s">
        <v>32</v>
      </c>
      <c r="D126" s="46">
        <v>1</v>
      </c>
      <c r="E126" s="10"/>
      <c r="F126" s="4"/>
      <c r="G126" s="4"/>
      <c r="H126" s="4"/>
      <c r="I126" s="4"/>
      <c r="J126" s="4"/>
      <c r="K126" s="5"/>
      <c r="L126" s="38" t="s">
        <v>83</v>
      </c>
    </row>
    <row r="127" spans="1:12" ht="31" x14ac:dyDescent="0.35">
      <c r="A127" s="2"/>
      <c r="B127" s="25" t="s">
        <v>85</v>
      </c>
      <c r="C127" s="3" t="s">
        <v>32</v>
      </c>
      <c r="D127" s="46">
        <v>1</v>
      </c>
      <c r="E127" s="10"/>
      <c r="F127" s="4"/>
      <c r="G127" s="4"/>
      <c r="H127" s="4"/>
      <c r="I127" s="4"/>
      <c r="J127" s="4"/>
      <c r="K127" s="5"/>
    </row>
    <row r="128" spans="1:12" x14ac:dyDescent="0.35">
      <c r="A128" s="2"/>
      <c r="B128" s="17" t="s">
        <v>79</v>
      </c>
      <c r="C128" s="3" t="s">
        <v>32</v>
      </c>
      <c r="D128" s="46">
        <v>1</v>
      </c>
      <c r="E128" s="10"/>
      <c r="F128" s="4"/>
      <c r="G128" s="4"/>
      <c r="H128" s="4"/>
      <c r="I128" s="4"/>
      <c r="J128" s="4"/>
      <c r="K128" s="5"/>
    </row>
    <row r="129" spans="1:15" ht="31" x14ac:dyDescent="0.35">
      <c r="A129" s="2"/>
      <c r="B129" s="25" t="s">
        <v>86</v>
      </c>
      <c r="C129" s="3" t="s">
        <v>32</v>
      </c>
      <c r="D129" s="46">
        <v>1</v>
      </c>
      <c r="E129" s="10"/>
      <c r="F129" s="4"/>
      <c r="G129" s="4"/>
      <c r="H129" s="4"/>
      <c r="I129" s="4"/>
      <c r="J129" s="4"/>
      <c r="K129" s="5"/>
    </row>
    <row r="130" spans="1:15" x14ac:dyDescent="0.35">
      <c r="A130" s="2"/>
      <c r="B130" s="17" t="s">
        <v>84</v>
      </c>
      <c r="C130" s="3" t="s">
        <v>32</v>
      </c>
      <c r="D130" s="46">
        <v>1</v>
      </c>
      <c r="E130" s="10"/>
      <c r="F130" s="4"/>
      <c r="G130" s="4"/>
      <c r="H130" s="4"/>
      <c r="I130" s="4"/>
      <c r="J130" s="4"/>
      <c r="K130" s="5"/>
    </row>
    <row r="131" spans="1:15" x14ac:dyDescent="0.35">
      <c r="A131" s="2"/>
      <c r="B131" s="25" t="s">
        <v>87</v>
      </c>
      <c r="C131" s="3" t="s">
        <v>32</v>
      </c>
      <c r="D131" s="46">
        <v>1</v>
      </c>
      <c r="E131" s="10"/>
      <c r="F131" s="4"/>
      <c r="G131" s="4"/>
      <c r="H131" s="4"/>
      <c r="I131" s="4"/>
      <c r="J131" s="4"/>
      <c r="K131" s="5"/>
    </row>
    <row r="132" spans="1:15" x14ac:dyDescent="0.35">
      <c r="A132" s="2"/>
      <c r="B132" s="17" t="s">
        <v>88</v>
      </c>
      <c r="C132" s="3" t="s">
        <v>32</v>
      </c>
      <c r="D132" s="46">
        <v>1</v>
      </c>
      <c r="E132" s="10"/>
      <c r="F132" s="4"/>
      <c r="G132" s="4"/>
      <c r="H132" s="4"/>
      <c r="I132" s="4"/>
      <c r="J132" s="4"/>
      <c r="K132" s="5"/>
    </row>
    <row r="133" spans="1:15" ht="77.5" x14ac:dyDescent="0.35">
      <c r="A133" s="2"/>
      <c r="B133" s="41" t="s">
        <v>90</v>
      </c>
      <c r="C133" s="3" t="s">
        <v>25</v>
      </c>
      <c r="D133" s="46">
        <f>((0.5+0.03+0.044)*3.14*2.4)+27.95+0.64+0.21+0.1257+3.4</f>
        <v>36.651364000000001</v>
      </c>
      <c r="E133" s="10"/>
      <c r="F133" s="4"/>
      <c r="G133" s="4"/>
      <c r="H133" s="4"/>
      <c r="I133" s="4"/>
      <c r="J133" s="4"/>
      <c r="K133" s="5"/>
      <c r="L133" s="42" t="s">
        <v>89</v>
      </c>
    </row>
    <row r="134" spans="1:15" x14ac:dyDescent="0.35">
      <c r="A134" s="15"/>
      <c r="B134" s="48" t="s">
        <v>99</v>
      </c>
      <c r="C134" s="3" t="s">
        <v>32</v>
      </c>
      <c r="D134" s="47">
        <v>1</v>
      </c>
      <c r="E134" s="44"/>
      <c r="F134" s="45"/>
      <c r="G134" s="45"/>
      <c r="H134" s="45"/>
      <c r="I134" s="45"/>
      <c r="J134" s="45"/>
      <c r="K134" s="5"/>
    </row>
    <row r="135" spans="1:15" x14ac:dyDescent="0.35">
      <c r="A135" s="15"/>
      <c r="B135" s="17" t="s">
        <v>103</v>
      </c>
      <c r="C135" s="3" t="s">
        <v>31</v>
      </c>
      <c r="D135" s="47">
        <v>45.4</v>
      </c>
      <c r="E135" s="44"/>
      <c r="F135" s="45"/>
      <c r="G135" s="45"/>
      <c r="H135" s="45"/>
      <c r="I135" s="45"/>
      <c r="J135" s="45"/>
      <c r="K135" s="5"/>
    </row>
    <row r="136" spans="1:15" x14ac:dyDescent="0.35">
      <c r="B136" s="25" t="s">
        <v>93</v>
      </c>
      <c r="C136" s="3" t="s">
        <v>32</v>
      </c>
      <c r="D136" s="47">
        <v>1</v>
      </c>
      <c r="E136" s="44"/>
      <c r="F136" s="45"/>
      <c r="G136" s="45"/>
      <c r="H136" s="45"/>
      <c r="I136" s="45"/>
      <c r="J136" s="45"/>
      <c r="K136" s="5"/>
      <c r="L136" s="11"/>
      <c r="M136" s="11"/>
      <c r="O136" s="12"/>
    </row>
    <row r="137" spans="1:15" ht="18" customHeight="1" x14ac:dyDescent="0.35">
      <c r="B137" s="17" t="s">
        <v>94</v>
      </c>
      <c r="C137" s="3" t="s">
        <v>31</v>
      </c>
      <c r="D137" s="46">
        <v>0.8</v>
      </c>
      <c r="E137" s="44"/>
      <c r="F137" s="45"/>
      <c r="G137" s="45"/>
      <c r="H137" s="45"/>
      <c r="I137" s="45"/>
      <c r="J137" s="45"/>
      <c r="K137" s="5"/>
      <c r="O137" s="12"/>
    </row>
    <row r="138" spans="1:15" x14ac:dyDescent="0.35">
      <c r="B138" s="25" t="s">
        <v>95</v>
      </c>
      <c r="C138" s="3" t="s">
        <v>32</v>
      </c>
      <c r="D138" s="47">
        <v>3</v>
      </c>
      <c r="E138" s="44"/>
      <c r="F138" s="45"/>
      <c r="G138" s="45"/>
      <c r="H138" s="45"/>
      <c r="I138" s="45"/>
      <c r="J138" s="45"/>
      <c r="K138" s="5"/>
      <c r="O138" s="12"/>
    </row>
    <row r="139" spans="1:15" ht="33" x14ac:dyDescent="0.35">
      <c r="B139" s="25" t="s">
        <v>96</v>
      </c>
      <c r="C139" s="3" t="s">
        <v>26</v>
      </c>
      <c r="D139" s="46">
        <f>D113+D114-(0.57+0.59+17.67+0.27)</f>
        <v>42.03</v>
      </c>
      <c r="E139" s="44"/>
      <c r="F139" s="45"/>
      <c r="G139" s="45"/>
      <c r="H139" s="45"/>
      <c r="I139" s="45"/>
      <c r="J139" s="45"/>
      <c r="K139" s="5"/>
    </row>
    <row r="140" spans="1:15" x14ac:dyDescent="0.35">
      <c r="B140" s="43" t="s">
        <v>100</v>
      </c>
      <c r="C140" s="3" t="s">
        <v>32</v>
      </c>
      <c r="D140" s="46">
        <v>1</v>
      </c>
      <c r="E140" s="10"/>
      <c r="F140" s="4"/>
      <c r="G140" s="4"/>
      <c r="H140" s="4"/>
      <c r="I140" s="4"/>
      <c r="J140" s="4"/>
      <c r="K140" s="5"/>
    </row>
    <row r="141" spans="1:15" x14ac:dyDescent="0.35">
      <c r="B141" s="25" t="s">
        <v>33</v>
      </c>
      <c r="C141" s="3" t="s">
        <v>26</v>
      </c>
      <c r="D141" s="55">
        <f>(4+8)/2*5*2</f>
        <v>60</v>
      </c>
      <c r="E141" s="10"/>
      <c r="F141" s="4"/>
      <c r="G141" s="4"/>
      <c r="H141" s="4"/>
      <c r="I141" s="4"/>
      <c r="J141" s="4"/>
      <c r="K141" s="5"/>
    </row>
    <row r="142" spans="1:15" x14ac:dyDescent="0.35">
      <c r="B142" s="25" t="s">
        <v>19</v>
      </c>
      <c r="C142" s="3" t="s">
        <v>26</v>
      </c>
      <c r="D142" s="46">
        <v>1.1299999999999999</v>
      </c>
      <c r="E142" s="10"/>
      <c r="F142" s="4"/>
      <c r="G142" s="4"/>
      <c r="H142" s="4"/>
      <c r="I142" s="4"/>
      <c r="J142" s="4"/>
      <c r="K142" s="5"/>
    </row>
    <row r="143" spans="1:15" x14ac:dyDescent="0.35">
      <c r="B143" s="25" t="s">
        <v>67</v>
      </c>
      <c r="C143" s="3" t="s">
        <v>25</v>
      </c>
      <c r="D143" s="46">
        <v>5.72</v>
      </c>
      <c r="E143" s="10"/>
      <c r="F143" s="4"/>
      <c r="G143" s="4"/>
      <c r="H143" s="4"/>
      <c r="I143" s="4"/>
      <c r="J143" s="4"/>
      <c r="K143" s="5"/>
    </row>
    <row r="144" spans="1:15" x14ac:dyDescent="0.35">
      <c r="B144" s="25" t="s">
        <v>68</v>
      </c>
      <c r="C144" s="3" t="s">
        <v>26</v>
      </c>
      <c r="D144" s="46">
        <v>0.56999999999999995</v>
      </c>
      <c r="E144" s="10"/>
      <c r="F144" s="4"/>
      <c r="G144" s="4"/>
      <c r="H144" s="4"/>
      <c r="I144" s="4"/>
      <c r="J144" s="4"/>
      <c r="K144" s="5"/>
    </row>
    <row r="145" spans="2:12" ht="46.5" x14ac:dyDescent="0.35">
      <c r="B145" s="25" t="s">
        <v>70</v>
      </c>
      <c r="C145" s="3" t="s">
        <v>25</v>
      </c>
      <c r="D145" s="46">
        <v>4.91</v>
      </c>
      <c r="E145" s="10"/>
      <c r="F145" s="4"/>
      <c r="G145" s="4"/>
      <c r="H145" s="4"/>
      <c r="I145" s="4"/>
      <c r="J145" s="4"/>
      <c r="K145" s="5"/>
    </row>
    <row r="146" spans="2:12" ht="31" x14ac:dyDescent="0.35">
      <c r="B146" s="25" t="s">
        <v>69</v>
      </c>
      <c r="C146" s="3" t="s">
        <v>32</v>
      </c>
      <c r="D146" s="46">
        <v>1</v>
      </c>
      <c r="E146" s="10"/>
      <c r="F146" s="4"/>
      <c r="G146" s="4"/>
      <c r="H146" s="4"/>
      <c r="I146" s="4"/>
      <c r="J146" s="4"/>
      <c r="K146" s="5"/>
    </row>
    <row r="147" spans="2:12" x14ac:dyDescent="0.35">
      <c r="B147" s="17" t="s">
        <v>71</v>
      </c>
      <c r="C147" s="3" t="s">
        <v>32</v>
      </c>
      <c r="D147" s="46">
        <v>1</v>
      </c>
      <c r="E147" s="10"/>
      <c r="F147" s="4"/>
      <c r="G147" s="4"/>
      <c r="H147" s="4"/>
      <c r="I147" s="4"/>
      <c r="J147" s="4"/>
      <c r="K147" s="5"/>
    </row>
    <row r="148" spans="2:12" x14ac:dyDescent="0.35">
      <c r="B148" s="17" t="s">
        <v>101</v>
      </c>
      <c r="C148" s="3" t="s">
        <v>26</v>
      </c>
      <c r="D148" s="46">
        <f>0.05*1.02</f>
        <v>5.1000000000000004E-2</v>
      </c>
      <c r="E148" s="10"/>
      <c r="F148" s="4"/>
      <c r="G148" s="4"/>
      <c r="H148" s="4"/>
      <c r="I148" s="4"/>
      <c r="J148" s="4"/>
      <c r="K148" s="5"/>
    </row>
    <row r="149" spans="2:12" ht="31" x14ac:dyDescent="0.35">
      <c r="B149" s="25" t="s">
        <v>74</v>
      </c>
      <c r="C149" s="3" t="s">
        <v>26</v>
      </c>
      <c r="D149" s="37">
        <v>1.2</v>
      </c>
      <c r="E149" s="10"/>
      <c r="F149" s="4"/>
      <c r="G149" s="4"/>
      <c r="H149" s="4"/>
      <c r="I149" s="4"/>
      <c r="J149" s="4"/>
      <c r="K149" s="5"/>
      <c r="L149" s="38" t="s">
        <v>73</v>
      </c>
    </row>
    <row r="150" spans="2:12" x14ac:dyDescent="0.35">
      <c r="B150" s="17" t="s">
        <v>75</v>
      </c>
      <c r="C150" s="3" t="s">
        <v>26</v>
      </c>
      <c r="D150" s="37">
        <f>D149*1.02</f>
        <v>1.224</v>
      </c>
      <c r="E150" s="10"/>
      <c r="F150" s="4"/>
      <c r="G150" s="4"/>
      <c r="H150" s="4"/>
      <c r="I150" s="4"/>
      <c r="J150" s="4"/>
      <c r="K150" s="5"/>
      <c r="L150" s="38"/>
    </row>
    <row r="151" spans="2:12" ht="31" x14ac:dyDescent="0.35">
      <c r="B151" s="25" t="s">
        <v>78</v>
      </c>
      <c r="C151" s="3" t="s">
        <v>32</v>
      </c>
      <c r="D151" s="46">
        <f>SUM(D152:D154)</f>
        <v>5</v>
      </c>
      <c r="E151" s="10"/>
      <c r="F151" s="4"/>
      <c r="G151" s="4"/>
      <c r="H151" s="4"/>
      <c r="I151" s="4"/>
      <c r="J151" s="4"/>
      <c r="K151" s="5"/>
    </row>
    <row r="152" spans="2:12" x14ac:dyDescent="0.35">
      <c r="B152" s="17" t="s">
        <v>76</v>
      </c>
      <c r="C152" s="3" t="s">
        <v>32</v>
      </c>
      <c r="D152" s="46">
        <v>2</v>
      </c>
      <c r="E152" s="10"/>
      <c r="F152" s="4"/>
      <c r="G152" s="4"/>
      <c r="H152" s="4"/>
      <c r="I152" s="4"/>
      <c r="J152" s="4"/>
      <c r="K152" s="5"/>
    </row>
    <row r="153" spans="2:12" x14ac:dyDescent="0.35">
      <c r="B153" s="17" t="s">
        <v>77</v>
      </c>
      <c r="C153" s="3"/>
      <c r="D153" s="46">
        <v>2</v>
      </c>
      <c r="E153" s="10"/>
      <c r="F153" s="4"/>
      <c r="G153" s="4"/>
      <c r="H153" s="4"/>
      <c r="I153" s="4"/>
      <c r="J153" s="4"/>
      <c r="K153" s="5"/>
    </row>
    <row r="154" spans="2:12" x14ac:dyDescent="0.35">
      <c r="B154" s="17" t="s">
        <v>80</v>
      </c>
      <c r="C154" s="3" t="s">
        <v>32</v>
      </c>
      <c r="D154" s="46">
        <v>1</v>
      </c>
      <c r="E154" s="10"/>
      <c r="F154" s="4"/>
      <c r="G154" s="4"/>
      <c r="H154" s="4"/>
      <c r="I154" s="4"/>
      <c r="J154" s="4"/>
      <c r="K154" s="5"/>
    </row>
    <row r="155" spans="2:12" ht="31" x14ac:dyDescent="0.35">
      <c r="B155" s="25" t="s">
        <v>85</v>
      </c>
      <c r="C155" s="3" t="s">
        <v>32</v>
      </c>
      <c r="D155" s="46">
        <v>1</v>
      </c>
      <c r="E155" s="10"/>
      <c r="F155" s="4"/>
      <c r="G155" s="4"/>
      <c r="H155" s="4"/>
      <c r="I155" s="4"/>
      <c r="J155" s="4"/>
      <c r="K155" s="5"/>
    </row>
    <row r="156" spans="2:12" x14ac:dyDescent="0.35">
      <c r="B156" s="17" t="s">
        <v>79</v>
      </c>
      <c r="C156" s="3" t="s">
        <v>32</v>
      </c>
      <c r="D156" s="46">
        <v>1</v>
      </c>
      <c r="E156" s="10"/>
      <c r="F156" s="4"/>
      <c r="G156" s="4"/>
      <c r="H156" s="4"/>
      <c r="I156" s="4"/>
      <c r="J156" s="4"/>
      <c r="K156" s="5"/>
    </row>
    <row r="157" spans="2:12" ht="31" x14ac:dyDescent="0.35">
      <c r="B157" s="25" t="s">
        <v>86</v>
      </c>
      <c r="C157" s="3" t="s">
        <v>32</v>
      </c>
      <c r="D157" s="46">
        <v>1</v>
      </c>
      <c r="E157" s="10"/>
      <c r="F157" s="4"/>
      <c r="G157" s="4"/>
      <c r="H157" s="4"/>
      <c r="I157" s="4"/>
      <c r="J157" s="4"/>
      <c r="K157" s="5"/>
    </row>
    <row r="158" spans="2:12" x14ac:dyDescent="0.35">
      <c r="B158" s="17" t="s">
        <v>84</v>
      </c>
      <c r="C158" s="3" t="s">
        <v>32</v>
      </c>
      <c r="D158" s="46">
        <v>1</v>
      </c>
      <c r="E158" s="10"/>
      <c r="F158" s="4"/>
      <c r="G158" s="4"/>
      <c r="H158" s="4"/>
      <c r="I158" s="4"/>
      <c r="J158" s="4"/>
      <c r="K158" s="5"/>
    </row>
    <row r="159" spans="2:12" x14ac:dyDescent="0.35">
      <c r="B159" s="25" t="s">
        <v>87</v>
      </c>
      <c r="C159" s="3" t="s">
        <v>32</v>
      </c>
      <c r="D159" s="46">
        <v>1</v>
      </c>
      <c r="E159" s="10"/>
      <c r="F159" s="4"/>
      <c r="G159" s="4"/>
      <c r="H159" s="4"/>
      <c r="I159" s="4"/>
      <c r="J159" s="4"/>
      <c r="K159" s="5"/>
    </row>
    <row r="160" spans="2:12" x14ac:dyDescent="0.35">
      <c r="B160" s="17" t="s">
        <v>88</v>
      </c>
      <c r="C160" s="3" t="s">
        <v>32</v>
      </c>
      <c r="D160" s="46">
        <v>1</v>
      </c>
      <c r="E160" s="10"/>
      <c r="F160" s="4"/>
      <c r="G160" s="4"/>
      <c r="H160" s="4"/>
      <c r="I160" s="4"/>
      <c r="J160" s="4"/>
      <c r="K160" s="5"/>
    </row>
    <row r="161" spans="2:12" ht="77.5" x14ac:dyDescent="0.35">
      <c r="B161" s="41" t="s">
        <v>90</v>
      </c>
      <c r="C161" s="3" t="s">
        <v>25</v>
      </c>
      <c r="D161" s="46">
        <f>((0.5+0.03+0.044)*3.14*2.4)+11.18+7.4+0.64+0.1257+3.4</f>
        <v>27.071363999999999</v>
      </c>
      <c r="E161" s="10"/>
      <c r="F161" s="4"/>
      <c r="G161" s="4"/>
      <c r="H161" s="4"/>
      <c r="I161" s="4"/>
      <c r="J161" s="4"/>
      <c r="K161" s="5"/>
      <c r="L161" s="42" t="s">
        <v>89</v>
      </c>
    </row>
    <row r="162" spans="2:12" x14ac:dyDescent="0.35">
      <c r="B162" s="48" t="s">
        <v>102</v>
      </c>
      <c r="C162" s="3" t="s">
        <v>32</v>
      </c>
      <c r="D162" s="47">
        <v>1</v>
      </c>
      <c r="E162" s="44"/>
      <c r="F162" s="45"/>
      <c r="G162" s="45"/>
      <c r="H162" s="45"/>
      <c r="I162" s="45"/>
      <c r="J162" s="45"/>
      <c r="K162" s="5"/>
    </row>
    <row r="163" spans="2:12" x14ac:dyDescent="0.35">
      <c r="B163" s="17" t="s">
        <v>104</v>
      </c>
      <c r="C163" s="3" t="s">
        <v>31</v>
      </c>
      <c r="D163" s="47">
        <v>29.2</v>
      </c>
      <c r="E163" s="44"/>
      <c r="F163" s="45"/>
      <c r="G163" s="45"/>
      <c r="H163" s="45"/>
      <c r="I163" s="45"/>
      <c r="J163" s="45"/>
      <c r="K163" s="5"/>
    </row>
    <row r="164" spans="2:12" x14ac:dyDescent="0.35">
      <c r="B164" s="25" t="s">
        <v>93</v>
      </c>
      <c r="C164" s="3" t="s">
        <v>32</v>
      </c>
      <c r="D164" s="47">
        <v>1</v>
      </c>
      <c r="E164" s="44"/>
      <c r="F164" s="45"/>
      <c r="G164" s="45"/>
      <c r="H164" s="45"/>
      <c r="I164" s="45"/>
      <c r="J164" s="45"/>
      <c r="K164" s="5"/>
      <c r="L164" s="11"/>
    </row>
    <row r="165" spans="2:12" x14ac:dyDescent="0.35">
      <c r="B165" s="17" t="s">
        <v>94</v>
      </c>
      <c r="C165" s="3" t="s">
        <v>31</v>
      </c>
      <c r="D165" s="46">
        <v>0.8</v>
      </c>
      <c r="E165" s="44"/>
      <c r="F165" s="45"/>
      <c r="G165" s="45"/>
      <c r="H165" s="45"/>
      <c r="I165" s="45"/>
      <c r="J165" s="45"/>
      <c r="K165" s="5"/>
    </row>
    <row r="166" spans="2:12" x14ac:dyDescent="0.35">
      <c r="B166" s="25" t="s">
        <v>95</v>
      </c>
      <c r="C166" s="3" t="s">
        <v>32</v>
      </c>
      <c r="D166" s="47">
        <v>2</v>
      </c>
      <c r="E166" s="44"/>
      <c r="F166" s="45"/>
      <c r="G166" s="45"/>
      <c r="H166" s="45"/>
      <c r="I166" s="45"/>
      <c r="J166" s="45"/>
      <c r="K166" s="5"/>
    </row>
    <row r="167" spans="2:12" ht="33" x14ac:dyDescent="0.35">
      <c r="B167" s="25" t="s">
        <v>96</v>
      </c>
      <c r="C167" s="3" t="s">
        <v>26</v>
      </c>
      <c r="D167" s="46">
        <f>D141+D142-(0.57+0.59+11.97+0.27)</f>
        <v>47.730000000000004</v>
      </c>
      <c r="E167" s="44"/>
      <c r="F167" s="45"/>
      <c r="G167" s="45"/>
      <c r="H167" s="45"/>
      <c r="I167" s="45"/>
      <c r="J167" s="45"/>
      <c r="K167" s="5"/>
    </row>
    <row r="168" spans="2:12" x14ac:dyDescent="0.35">
      <c r="B168" s="43" t="s">
        <v>105</v>
      </c>
      <c r="C168" s="3" t="s">
        <v>32</v>
      </c>
      <c r="D168" s="46">
        <v>1</v>
      </c>
      <c r="E168" s="10"/>
      <c r="F168" s="4"/>
      <c r="G168" s="4"/>
      <c r="H168" s="4"/>
      <c r="I168" s="4"/>
      <c r="J168" s="4"/>
      <c r="K168" s="5"/>
    </row>
    <row r="169" spans="2:12" x14ac:dyDescent="0.35">
      <c r="B169" s="48" t="s">
        <v>33</v>
      </c>
      <c r="C169" s="3" t="s">
        <v>26</v>
      </c>
      <c r="D169" s="55">
        <f>(4+8)/2*5*2</f>
        <v>60</v>
      </c>
      <c r="E169" s="10"/>
      <c r="F169" s="4"/>
      <c r="G169" s="4"/>
      <c r="H169" s="4"/>
      <c r="I169" s="4"/>
      <c r="J169" s="4"/>
      <c r="K169" s="5"/>
    </row>
    <row r="170" spans="2:12" x14ac:dyDescent="0.35">
      <c r="B170" s="48" t="s">
        <v>19</v>
      </c>
      <c r="C170" s="3" t="s">
        <v>26</v>
      </c>
      <c r="D170" s="46">
        <v>1.1299999999999999</v>
      </c>
      <c r="E170" s="10"/>
      <c r="F170" s="4"/>
      <c r="G170" s="4"/>
      <c r="H170" s="4"/>
      <c r="I170" s="4"/>
      <c r="J170" s="4"/>
      <c r="K170" s="5"/>
    </row>
    <row r="171" spans="2:12" x14ac:dyDescent="0.35">
      <c r="B171" s="48" t="s">
        <v>67</v>
      </c>
      <c r="C171" s="3" t="s">
        <v>25</v>
      </c>
      <c r="D171" s="46">
        <v>5.72</v>
      </c>
      <c r="E171" s="10"/>
      <c r="F171" s="4"/>
      <c r="G171" s="4"/>
      <c r="H171" s="4"/>
      <c r="I171" s="4"/>
      <c r="J171" s="4"/>
      <c r="K171" s="5"/>
    </row>
    <row r="172" spans="2:12" x14ac:dyDescent="0.35">
      <c r="B172" s="48" t="s">
        <v>68</v>
      </c>
      <c r="C172" s="3" t="s">
        <v>26</v>
      </c>
      <c r="D172" s="46">
        <v>0.56999999999999995</v>
      </c>
      <c r="E172" s="10"/>
      <c r="F172" s="4"/>
      <c r="G172" s="4"/>
      <c r="H172" s="4"/>
      <c r="I172" s="4"/>
      <c r="J172" s="4"/>
      <c r="K172" s="5"/>
    </row>
    <row r="173" spans="2:12" ht="46.5" x14ac:dyDescent="0.35">
      <c r="B173" s="48" t="s">
        <v>70</v>
      </c>
      <c r="C173" s="3" t="s">
        <v>25</v>
      </c>
      <c r="D173" s="46">
        <v>4.91</v>
      </c>
      <c r="E173" s="10"/>
      <c r="F173" s="4"/>
      <c r="G173" s="4"/>
      <c r="H173" s="4"/>
      <c r="I173" s="4"/>
      <c r="J173" s="4"/>
      <c r="K173" s="5"/>
    </row>
    <row r="174" spans="2:12" ht="31" x14ac:dyDescent="0.35">
      <c r="B174" s="48" t="s">
        <v>69</v>
      </c>
      <c r="C174" s="3" t="s">
        <v>32</v>
      </c>
      <c r="D174" s="46">
        <v>1</v>
      </c>
      <c r="E174" s="10"/>
      <c r="F174" s="4"/>
      <c r="G174" s="4"/>
      <c r="H174" s="4"/>
      <c r="I174" s="4"/>
      <c r="J174" s="4"/>
      <c r="K174" s="5"/>
    </row>
    <row r="175" spans="2:12" x14ac:dyDescent="0.35">
      <c r="B175" s="17" t="s">
        <v>71</v>
      </c>
      <c r="C175" s="3" t="s">
        <v>32</v>
      </c>
      <c r="D175" s="46">
        <v>1</v>
      </c>
      <c r="E175" s="10"/>
      <c r="F175" s="4"/>
      <c r="G175" s="4"/>
      <c r="H175" s="4"/>
      <c r="I175" s="4"/>
      <c r="J175" s="4"/>
      <c r="K175" s="5"/>
    </row>
    <row r="176" spans="2:12" x14ac:dyDescent="0.35">
      <c r="B176" s="17" t="s">
        <v>101</v>
      </c>
      <c r="C176" s="3" t="s">
        <v>26</v>
      </c>
      <c r="D176" s="46">
        <f>0.05*1.02</f>
        <v>5.1000000000000004E-2</v>
      </c>
      <c r="E176" s="10"/>
      <c r="F176" s="4"/>
      <c r="G176" s="4"/>
      <c r="H176" s="4"/>
      <c r="I176" s="4"/>
      <c r="J176" s="4"/>
      <c r="K176" s="5"/>
    </row>
    <row r="177" spans="2:12" ht="31" x14ac:dyDescent="0.35">
      <c r="B177" s="25" t="s">
        <v>74</v>
      </c>
      <c r="C177" s="3" t="s">
        <v>26</v>
      </c>
      <c r="D177" s="37">
        <v>1.2</v>
      </c>
      <c r="E177" s="10"/>
      <c r="F177" s="4"/>
      <c r="G177" s="4"/>
      <c r="H177" s="4"/>
      <c r="I177" s="4"/>
      <c r="J177" s="4"/>
      <c r="K177" s="5"/>
      <c r="L177" s="38" t="s">
        <v>73</v>
      </c>
    </row>
    <row r="178" spans="2:12" x14ac:dyDescent="0.35">
      <c r="B178" s="17" t="s">
        <v>75</v>
      </c>
      <c r="C178" s="3" t="s">
        <v>26</v>
      </c>
      <c r="D178" s="37">
        <f>D177*1.02</f>
        <v>1.224</v>
      </c>
      <c r="E178" s="10"/>
      <c r="F178" s="4"/>
      <c r="G178" s="4"/>
      <c r="H178" s="4"/>
      <c r="I178" s="4"/>
      <c r="J178" s="4"/>
      <c r="K178" s="5"/>
      <c r="L178" s="38"/>
    </row>
    <row r="179" spans="2:12" ht="31" x14ac:dyDescent="0.35">
      <c r="B179" s="25" t="s">
        <v>78</v>
      </c>
      <c r="C179" s="3" t="s">
        <v>32</v>
      </c>
      <c r="D179" s="46">
        <f>SUM(D180:D182)</f>
        <v>5</v>
      </c>
      <c r="E179" s="10"/>
      <c r="F179" s="4"/>
      <c r="G179" s="4"/>
      <c r="H179" s="4"/>
      <c r="I179" s="4"/>
      <c r="J179" s="4"/>
      <c r="K179" s="5"/>
    </row>
    <row r="180" spans="2:12" x14ac:dyDescent="0.35">
      <c r="B180" s="17" t="s">
        <v>76</v>
      </c>
      <c r="C180" s="3" t="s">
        <v>32</v>
      </c>
      <c r="D180" s="46">
        <v>2</v>
      </c>
      <c r="E180" s="10"/>
      <c r="F180" s="4"/>
      <c r="G180" s="4"/>
      <c r="H180" s="4"/>
      <c r="I180" s="4"/>
      <c r="J180" s="4"/>
      <c r="K180" s="5"/>
    </row>
    <row r="181" spans="2:12" x14ac:dyDescent="0.35">
      <c r="B181" s="17" t="s">
        <v>77</v>
      </c>
      <c r="C181" s="3"/>
      <c r="D181" s="46">
        <v>2</v>
      </c>
      <c r="E181" s="10"/>
      <c r="F181" s="4"/>
      <c r="G181" s="4"/>
      <c r="H181" s="4"/>
      <c r="I181" s="4"/>
      <c r="J181" s="4"/>
      <c r="K181" s="5"/>
    </row>
    <row r="182" spans="2:12" x14ac:dyDescent="0.35">
      <c r="B182" s="17" t="s">
        <v>80</v>
      </c>
      <c r="C182" s="3" t="s">
        <v>32</v>
      </c>
      <c r="D182" s="46">
        <v>1</v>
      </c>
      <c r="E182" s="10"/>
      <c r="F182" s="4"/>
      <c r="G182" s="4"/>
      <c r="H182" s="4"/>
      <c r="I182" s="4"/>
      <c r="J182" s="4"/>
      <c r="K182" s="5"/>
    </row>
    <row r="183" spans="2:12" ht="31" x14ac:dyDescent="0.35">
      <c r="B183" s="48" t="s">
        <v>85</v>
      </c>
      <c r="C183" s="3" t="s">
        <v>32</v>
      </c>
      <c r="D183" s="46">
        <v>1</v>
      </c>
      <c r="E183" s="10"/>
      <c r="F183" s="4"/>
      <c r="G183" s="4"/>
      <c r="H183" s="4"/>
      <c r="I183" s="4"/>
      <c r="J183" s="4"/>
      <c r="K183" s="5"/>
    </row>
    <row r="184" spans="2:12" x14ac:dyDescent="0.35">
      <c r="B184" s="17" t="s">
        <v>79</v>
      </c>
      <c r="C184" s="3" t="s">
        <v>32</v>
      </c>
      <c r="D184" s="46">
        <v>1</v>
      </c>
      <c r="E184" s="10"/>
      <c r="F184" s="4"/>
      <c r="G184" s="4"/>
      <c r="H184" s="4"/>
      <c r="I184" s="4"/>
      <c r="J184" s="4"/>
      <c r="K184" s="5"/>
    </row>
    <row r="185" spans="2:12" ht="31" x14ac:dyDescent="0.35">
      <c r="B185" s="25" t="s">
        <v>86</v>
      </c>
      <c r="C185" s="3" t="s">
        <v>32</v>
      </c>
      <c r="D185" s="46">
        <v>2</v>
      </c>
      <c r="E185" s="10"/>
      <c r="F185" s="4"/>
      <c r="G185" s="4"/>
      <c r="H185" s="4"/>
      <c r="I185" s="4"/>
      <c r="J185" s="4"/>
      <c r="K185" s="5"/>
    </row>
    <row r="186" spans="2:12" x14ac:dyDescent="0.35">
      <c r="B186" s="17" t="s">
        <v>84</v>
      </c>
      <c r="C186" s="3" t="s">
        <v>32</v>
      </c>
      <c r="D186" s="46">
        <v>2</v>
      </c>
      <c r="E186" s="10"/>
      <c r="F186" s="4"/>
      <c r="G186" s="4"/>
      <c r="H186" s="4"/>
      <c r="I186" s="4"/>
      <c r="J186" s="4"/>
      <c r="K186" s="5"/>
    </row>
    <row r="187" spans="2:12" x14ac:dyDescent="0.35">
      <c r="B187" s="25" t="s">
        <v>87</v>
      </c>
      <c r="C187" s="3" t="s">
        <v>32</v>
      </c>
      <c r="D187" s="46">
        <v>1</v>
      </c>
      <c r="E187" s="10"/>
      <c r="F187" s="4"/>
      <c r="G187" s="4"/>
      <c r="H187" s="4"/>
      <c r="I187" s="4"/>
      <c r="J187" s="4"/>
      <c r="K187" s="5"/>
    </row>
    <row r="188" spans="2:12" x14ac:dyDescent="0.35">
      <c r="B188" s="17" t="s">
        <v>88</v>
      </c>
      <c r="C188" s="3" t="s">
        <v>32</v>
      </c>
      <c r="D188" s="46">
        <v>1</v>
      </c>
      <c r="E188" s="10"/>
      <c r="F188" s="4"/>
      <c r="G188" s="4"/>
      <c r="H188" s="4"/>
      <c r="I188" s="4"/>
      <c r="J188" s="4"/>
      <c r="K188" s="5"/>
    </row>
    <row r="189" spans="2:12" ht="77.5" x14ac:dyDescent="0.35">
      <c r="B189" s="41" t="s">
        <v>90</v>
      </c>
      <c r="C189" s="3" t="s">
        <v>25</v>
      </c>
      <c r="D189" s="46">
        <f>((0.5+0.03+0.044)*3.14*2.4)+11.18+7.4+0.64+2.55+3.4</f>
        <v>29.495664000000001</v>
      </c>
      <c r="E189" s="10"/>
      <c r="F189" s="4"/>
      <c r="G189" s="4"/>
      <c r="H189" s="4"/>
      <c r="I189" s="4"/>
      <c r="J189" s="4"/>
      <c r="K189" s="5"/>
      <c r="L189" s="42" t="s">
        <v>89</v>
      </c>
    </row>
    <row r="190" spans="2:12" x14ac:dyDescent="0.35">
      <c r="B190" s="48" t="s">
        <v>102</v>
      </c>
      <c r="C190" s="3" t="s">
        <v>32</v>
      </c>
      <c r="D190" s="47">
        <v>1</v>
      </c>
      <c r="E190" s="44"/>
      <c r="F190" s="45"/>
      <c r="G190" s="45"/>
      <c r="H190" s="45"/>
      <c r="I190" s="45"/>
      <c r="J190" s="45"/>
      <c r="K190" s="5"/>
    </row>
    <row r="191" spans="2:12" x14ac:dyDescent="0.35">
      <c r="B191" s="17" t="s">
        <v>104</v>
      </c>
      <c r="C191" s="3" t="s">
        <v>31</v>
      </c>
      <c r="D191" s="47">
        <v>29.2</v>
      </c>
      <c r="E191" s="44"/>
      <c r="F191" s="45"/>
      <c r="G191" s="45"/>
      <c r="H191" s="45"/>
      <c r="I191" s="45"/>
      <c r="J191" s="45"/>
      <c r="K191" s="5"/>
    </row>
    <row r="192" spans="2:12" x14ac:dyDescent="0.35">
      <c r="B192" s="25" t="s">
        <v>93</v>
      </c>
      <c r="C192" s="3" t="s">
        <v>32</v>
      </c>
      <c r="D192" s="47">
        <v>1</v>
      </c>
      <c r="E192" s="44"/>
      <c r="F192" s="45"/>
      <c r="G192" s="45"/>
      <c r="H192" s="45"/>
      <c r="I192" s="45"/>
      <c r="J192" s="45"/>
      <c r="K192" s="5"/>
      <c r="L192" s="11"/>
    </row>
    <row r="193" spans="2:12" x14ac:dyDescent="0.35">
      <c r="B193" s="17" t="s">
        <v>94</v>
      </c>
      <c r="C193" s="3" t="s">
        <v>31</v>
      </c>
      <c r="D193" s="46">
        <v>0.8</v>
      </c>
      <c r="E193" s="44"/>
      <c r="F193" s="45"/>
      <c r="G193" s="45"/>
      <c r="H193" s="45"/>
      <c r="I193" s="45"/>
      <c r="J193" s="45"/>
      <c r="K193" s="5"/>
    </row>
    <row r="194" spans="2:12" x14ac:dyDescent="0.35">
      <c r="B194" s="25" t="s">
        <v>95</v>
      </c>
      <c r="C194" s="3" t="s">
        <v>32</v>
      </c>
      <c r="D194" s="47">
        <v>3</v>
      </c>
      <c r="E194" s="44"/>
      <c r="F194" s="45"/>
      <c r="G194" s="45"/>
      <c r="H194" s="45"/>
      <c r="I194" s="45"/>
      <c r="J194" s="45"/>
      <c r="K194" s="5"/>
    </row>
    <row r="195" spans="2:12" ht="33" x14ac:dyDescent="0.35">
      <c r="B195" s="25" t="s">
        <v>96</v>
      </c>
      <c r="C195" s="3" t="s">
        <v>26</v>
      </c>
      <c r="D195" s="46">
        <f>D169+D170-(0.57+0.59+11.97+0.29)</f>
        <v>47.71</v>
      </c>
      <c r="E195" s="44"/>
      <c r="F195" s="45"/>
      <c r="G195" s="45"/>
      <c r="H195" s="45"/>
      <c r="I195" s="45"/>
      <c r="J195" s="45"/>
      <c r="K195" s="5"/>
    </row>
    <row r="196" spans="2:12" x14ac:dyDescent="0.35">
      <c r="B196" s="43" t="s">
        <v>106</v>
      </c>
      <c r="C196" s="3" t="s">
        <v>32</v>
      </c>
      <c r="D196" s="46">
        <v>1</v>
      </c>
      <c r="E196" s="10"/>
      <c r="F196" s="4"/>
      <c r="G196" s="4"/>
      <c r="H196" s="4"/>
      <c r="I196" s="4"/>
      <c r="J196" s="4"/>
      <c r="K196" s="5"/>
    </row>
    <row r="197" spans="2:12" x14ac:dyDescent="0.35">
      <c r="B197" s="48" t="s">
        <v>33</v>
      </c>
      <c r="C197" s="3" t="s">
        <v>26</v>
      </c>
      <c r="D197" s="55">
        <f>(4+8)/2*3*2</f>
        <v>36</v>
      </c>
      <c r="E197" s="10"/>
      <c r="F197" s="4"/>
      <c r="G197" s="4"/>
      <c r="H197" s="4"/>
      <c r="I197" s="4"/>
      <c r="J197" s="4"/>
      <c r="K197" s="5"/>
    </row>
    <row r="198" spans="2:12" x14ac:dyDescent="0.35">
      <c r="B198" s="48" t="s">
        <v>19</v>
      </c>
      <c r="C198" s="3" t="s">
        <v>26</v>
      </c>
      <c r="D198" s="46">
        <v>0.86</v>
      </c>
      <c r="E198" s="10"/>
      <c r="F198" s="4"/>
      <c r="G198" s="4"/>
      <c r="H198" s="4"/>
      <c r="I198" s="4"/>
      <c r="J198" s="4"/>
      <c r="K198" s="5"/>
    </row>
    <row r="199" spans="2:12" x14ac:dyDescent="0.35">
      <c r="B199" s="48" t="s">
        <v>67</v>
      </c>
      <c r="C199" s="3" t="s">
        <v>25</v>
      </c>
      <c r="D199" s="46">
        <v>3.8</v>
      </c>
      <c r="E199" s="10"/>
      <c r="F199" s="4"/>
      <c r="G199" s="4"/>
      <c r="H199" s="4"/>
      <c r="I199" s="4"/>
      <c r="J199" s="4"/>
      <c r="K199" s="5"/>
    </row>
    <row r="200" spans="2:12" x14ac:dyDescent="0.35">
      <c r="B200" s="48" t="s">
        <v>68</v>
      </c>
      <c r="C200" s="3" t="s">
        <v>26</v>
      </c>
      <c r="D200" s="46">
        <v>0.38</v>
      </c>
      <c r="E200" s="10"/>
      <c r="F200" s="4"/>
      <c r="G200" s="4"/>
      <c r="H200" s="4"/>
      <c r="I200" s="4"/>
      <c r="J200" s="4"/>
      <c r="K200" s="5"/>
    </row>
    <row r="201" spans="2:12" ht="46.5" x14ac:dyDescent="0.35">
      <c r="B201" s="48" t="s">
        <v>70</v>
      </c>
      <c r="C201" s="3" t="s">
        <v>25</v>
      </c>
      <c r="D201" s="46">
        <v>3.14</v>
      </c>
      <c r="E201" s="10"/>
      <c r="F201" s="4"/>
      <c r="G201" s="4"/>
      <c r="H201" s="4"/>
      <c r="I201" s="4"/>
      <c r="J201" s="4"/>
      <c r="K201" s="5"/>
    </row>
    <row r="202" spans="2:12" ht="31" x14ac:dyDescent="0.35">
      <c r="B202" s="48" t="s">
        <v>107</v>
      </c>
      <c r="C202" s="3" t="s">
        <v>32</v>
      </c>
      <c r="D202" s="46">
        <v>1</v>
      </c>
      <c r="E202" s="10"/>
      <c r="F202" s="4"/>
      <c r="G202" s="4"/>
      <c r="H202" s="4"/>
      <c r="I202" s="4"/>
      <c r="J202" s="4"/>
      <c r="K202" s="5"/>
    </row>
    <row r="203" spans="2:12" x14ac:dyDescent="0.35">
      <c r="B203" s="17" t="s">
        <v>108</v>
      </c>
      <c r="C203" s="3" t="s">
        <v>32</v>
      </c>
      <c r="D203" s="46">
        <v>1</v>
      </c>
      <c r="E203" s="10"/>
      <c r="F203" s="4"/>
      <c r="G203" s="4"/>
      <c r="H203" s="4"/>
      <c r="I203" s="4"/>
      <c r="J203" s="4"/>
      <c r="K203" s="5"/>
    </row>
    <row r="204" spans="2:12" x14ac:dyDescent="0.35">
      <c r="B204" s="17" t="s">
        <v>101</v>
      </c>
      <c r="C204" s="3" t="s">
        <v>26</v>
      </c>
      <c r="D204" s="46">
        <v>3.1E-2</v>
      </c>
      <c r="E204" s="10"/>
      <c r="F204" s="4"/>
      <c r="G204" s="4"/>
      <c r="H204" s="4"/>
      <c r="I204" s="4"/>
      <c r="J204" s="4"/>
      <c r="K204" s="5"/>
    </row>
    <row r="205" spans="2:12" ht="31" x14ac:dyDescent="0.35">
      <c r="B205" s="25" t="s">
        <v>74</v>
      </c>
      <c r="C205" s="3" t="s">
        <v>26</v>
      </c>
      <c r="D205" s="37">
        <v>1.2</v>
      </c>
      <c r="E205" s="10"/>
      <c r="F205" s="4"/>
      <c r="G205" s="4"/>
      <c r="H205" s="4"/>
      <c r="I205" s="4"/>
      <c r="J205" s="4"/>
      <c r="K205" s="5"/>
      <c r="L205" s="38" t="s">
        <v>73</v>
      </c>
    </row>
    <row r="206" spans="2:12" x14ac:dyDescent="0.35">
      <c r="B206" s="17" t="s">
        <v>75</v>
      </c>
      <c r="C206" s="3" t="s">
        <v>26</v>
      </c>
      <c r="D206" s="37">
        <f>D205*1.02</f>
        <v>1.224</v>
      </c>
      <c r="E206" s="10"/>
      <c r="F206" s="4"/>
      <c r="G206" s="4"/>
      <c r="H206" s="4"/>
      <c r="I206" s="4"/>
      <c r="J206" s="4"/>
      <c r="K206" s="5"/>
      <c r="L206" s="38"/>
    </row>
    <row r="207" spans="2:12" ht="31" x14ac:dyDescent="0.35">
      <c r="B207" s="25" t="s">
        <v>78</v>
      </c>
      <c r="C207" s="3" t="s">
        <v>32</v>
      </c>
      <c r="D207" s="46">
        <f>SUM(D208:D209)</f>
        <v>2</v>
      </c>
      <c r="E207" s="10"/>
      <c r="F207" s="4"/>
      <c r="G207" s="4"/>
      <c r="H207" s="4"/>
      <c r="I207" s="4"/>
      <c r="J207" s="4"/>
      <c r="K207" s="5"/>
    </row>
    <row r="208" spans="2:12" x14ac:dyDescent="0.35">
      <c r="B208" s="17" t="s">
        <v>109</v>
      </c>
      <c r="C208" s="3" t="s">
        <v>32</v>
      </c>
      <c r="D208" s="46">
        <v>1</v>
      </c>
      <c r="E208" s="10"/>
      <c r="F208" s="4"/>
      <c r="G208" s="4"/>
      <c r="H208" s="4"/>
      <c r="I208" s="4"/>
      <c r="J208" s="4"/>
      <c r="K208" s="5"/>
    </row>
    <row r="209" spans="2:12" x14ac:dyDescent="0.35">
      <c r="B209" s="17" t="s">
        <v>110</v>
      </c>
      <c r="C209" s="3"/>
      <c r="D209" s="46">
        <v>1</v>
      </c>
      <c r="E209" s="10"/>
      <c r="F209" s="4"/>
      <c r="G209" s="4"/>
      <c r="H209" s="4"/>
      <c r="I209" s="4"/>
      <c r="J209" s="4"/>
      <c r="K209" s="5"/>
    </row>
    <row r="210" spans="2:12" ht="31" x14ac:dyDescent="0.35">
      <c r="B210" s="48" t="s">
        <v>85</v>
      </c>
      <c r="C210" s="3" t="s">
        <v>32</v>
      </c>
      <c r="D210" s="46">
        <v>1</v>
      </c>
      <c r="E210" s="10"/>
      <c r="F210" s="4"/>
      <c r="G210" s="4"/>
      <c r="H210" s="4"/>
      <c r="I210" s="4"/>
      <c r="J210" s="4"/>
      <c r="K210" s="5"/>
    </row>
    <row r="211" spans="2:12" x14ac:dyDescent="0.35">
      <c r="B211" s="17" t="s">
        <v>111</v>
      </c>
      <c r="C211" s="3" t="s">
        <v>32</v>
      </c>
      <c r="D211" s="46">
        <v>1</v>
      </c>
      <c r="E211" s="10"/>
      <c r="F211" s="4"/>
      <c r="G211" s="4"/>
      <c r="H211" s="4"/>
      <c r="I211" s="4"/>
      <c r="J211" s="4"/>
      <c r="K211" s="5"/>
    </row>
    <row r="212" spans="2:12" ht="31" x14ac:dyDescent="0.35">
      <c r="B212" s="25" t="s">
        <v>142</v>
      </c>
      <c r="C212" s="3" t="s">
        <v>112</v>
      </c>
      <c r="D212" s="46">
        <v>1</v>
      </c>
      <c r="E212" s="10"/>
      <c r="F212" s="4"/>
      <c r="G212" s="4"/>
      <c r="H212" s="4"/>
      <c r="I212" s="4"/>
      <c r="J212" s="4"/>
      <c r="K212" s="5"/>
    </row>
    <row r="213" spans="2:12" x14ac:dyDescent="0.35">
      <c r="B213" s="17" t="s">
        <v>141</v>
      </c>
      <c r="C213" s="3" t="s">
        <v>112</v>
      </c>
      <c r="D213" s="46">
        <v>1</v>
      </c>
      <c r="E213" s="10"/>
      <c r="F213" s="4"/>
      <c r="G213" s="4"/>
      <c r="H213" s="4"/>
      <c r="I213" s="4"/>
      <c r="J213" s="4"/>
      <c r="K213" s="5"/>
    </row>
    <row r="214" spans="2:12" ht="77.5" x14ac:dyDescent="0.35">
      <c r="B214" s="41" t="s">
        <v>90</v>
      </c>
      <c r="C214" s="3" t="s">
        <v>25</v>
      </c>
      <c r="D214" s="46">
        <f>((0.3+0.03+0.013)*3.14*1.9)+4.2+2.78+(1.615*0.12*4)+(1.615*1.615)</f>
        <v>12.409762999999998</v>
      </c>
      <c r="E214" s="10"/>
      <c r="F214" s="4"/>
      <c r="G214" s="4"/>
      <c r="H214" s="4"/>
      <c r="I214" s="4"/>
      <c r="J214" s="4"/>
      <c r="K214" s="5"/>
      <c r="L214" s="42" t="s">
        <v>89</v>
      </c>
    </row>
    <row r="215" spans="2:12" x14ac:dyDescent="0.35">
      <c r="B215" s="48" t="s">
        <v>113</v>
      </c>
      <c r="C215" s="3" t="s">
        <v>32</v>
      </c>
      <c r="D215" s="47">
        <v>1</v>
      </c>
      <c r="E215" s="44"/>
      <c r="F215" s="45"/>
      <c r="G215" s="45"/>
      <c r="H215" s="45"/>
      <c r="I215" s="45"/>
      <c r="J215" s="45"/>
      <c r="K215" s="5"/>
    </row>
    <row r="216" spans="2:12" x14ac:dyDescent="0.35">
      <c r="B216" s="17" t="s">
        <v>114</v>
      </c>
      <c r="C216" s="3" t="s">
        <v>31</v>
      </c>
      <c r="D216" s="47">
        <v>12.9</v>
      </c>
      <c r="E216" s="44"/>
      <c r="F216" s="45"/>
      <c r="G216" s="45"/>
      <c r="H216" s="45"/>
      <c r="I216" s="45"/>
      <c r="J216" s="45"/>
      <c r="K216" s="5"/>
    </row>
    <row r="217" spans="2:12" x14ac:dyDescent="0.35">
      <c r="B217" s="25" t="s">
        <v>95</v>
      </c>
      <c r="C217" s="3" t="s">
        <v>32</v>
      </c>
      <c r="D217" s="47">
        <v>3</v>
      </c>
      <c r="E217" s="44"/>
      <c r="F217" s="45"/>
      <c r="G217" s="45"/>
      <c r="H217" s="45"/>
      <c r="I217" s="45"/>
      <c r="J217" s="45"/>
      <c r="K217" s="5"/>
    </row>
    <row r="218" spans="2:12" ht="33" x14ac:dyDescent="0.35">
      <c r="B218" s="25" t="s">
        <v>96</v>
      </c>
      <c r="C218" s="3" t="s">
        <v>26</v>
      </c>
      <c r="D218" s="46">
        <f>D197+D198-(0.38+0.47+3.66+0.65)</f>
        <v>31.7</v>
      </c>
      <c r="E218" s="44"/>
      <c r="F218" s="45"/>
      <c r="G218" s="45"/>
      <c r="H218" s="45"/>
      <c r="I218" s="45"/>
      <c r="J218" s="45"/>
      <c r="K218" s="5"/>
    </row>
    <row r="219" spans="2:12" ht="30" x14ac:dyDescent="0.35">
      <c r="B219" s="23" t="s">
        <v>118</v>
      </c>
      <c r="C219" s="3"/>
      <c r="D219" s="46"/>
      <c r="E219" s="44"/>
      <c r="F219" s="45"/>
      <c r="G219" s="45"/>
      <c r="H219" s="45"/>
      <c r="I219" s="45"/>
      <c r="J219" s="45"/>
      <c r="K219" s="5"/>
    </row>
    <row r="220" spans="2:12" ht="30" x14ac:dyDescent="0.35">
      <c r="B220" s="24" t="s">
        <v>119</v>
      </c>
      <c r="C220" s="3" t="s">
        <v>27</v>
      </c>
      <c r="D220" s="46">
        <f>30.4+30.2+6.2+3</f>
        <v>69.8</v>
      </c>
      <c r="E220" s="44"/>
      <c r="F220" s="45"/>
      <c r="G220" s="45"/>
      <c r="H220" s="45"/>
      <c r="I220" s="45"/>
      <c r="J220" s="45"/>
      <c r="K220" s="5"/>
    </row>
    <row r="221" spans="2:12" x14ac:dyDescent="0.35">
      <c r="B221" s="25" t="s">
        <v>18</v>
      </c>
      <c r="C221" s="3" t="s">
        <v>26</v>
      </c>
      <c r="D221" s="29">
        <f>(4+2)/2*5*69.8</f>
        <v>1047</v>
      </c>
      <c r="E221" s="36"/>
      <c r="F221" s="36"/>
      <c r="G221" s="35"/>
      <c r="H221" s="35"/>
      <c r="I221" s="36"/>
      <c r="J221" s="36"/>
      <c r="K221" s="35"/>
      <c r="L221" s="14" t="s">
        <v>147</v>
      </c>
    </row>
    <row r="222" spans="2:12" x14ac:dyDescent="0.35">
      <c r="B222" s="25" t="s">
        <v>19</v>
      </c>
      <c r="C222" s="31" t="s">
        <v>26</v>
      </c>
      <c r="D222" s="46">
        <f>3+4+0.6+0.2</f>
        <v>7.8</v>
      </c>
      <c r="E222" s="44"/>
      <c r="F222" s="45"/>
      <c r="G222" s="45"/>
      <c r="H222" s="45"/>
      <c r="I222" s="45"/>
      <c r="J222" s="45"/>
      <c r="K222" s="5"/>
    </row>
    <row r="223" spans="2:12" ht="31" x14ac:dyDescent="0.35">
      <c r="B223" s="25" t="s">
        <v>120</v>
      </c>
      <c r="C223" s="31" t="s">
        <v>25</v>
      </c>
      <c r="D223" s="46">
        <f>(0.65*28.46)+(1.05*28)+(1.05*4.26)+(1.05*1.32)</f>
        <v>53.758000000000003</v>
      </c>
      <c r="E223" s="44"/>
      <c r="F223" s="45"/>
      <c r="G223" s="45"/>
      <c r="H223" s="45"/>
      <c r="I223" s="45"/>
      <c r="J223" s="45"/>
      <c r="K223" s="5"/>
    </row>
    <row r="224" spans="2:12" x14ac:dyDescent="0.35">
      <c r="B224" s="25" t="s">
        <v>20</v>
      </c>
      <c r="C224" s="31" t="s">
        <v>26</v>
      </c>
      <c r="D224" s="46">
        <f>D223*0.07</f>
        <v>3.7630600000000007</v>
      </c>
      <c r="E224" s="44"/>
      <c r="F224" s="45"/>
      <c r="G224" s="45"/>
      <c r="H224" s="45"/>
      <c r="I224" s="45"/>
      <c r="J224" s="45"/>
      <c r="K224" s="5"/>
    </row>
    <row r="225" spans="2:11" x14ac:dyDescent="0.35">
      <c r="B225" s="25" t="s">
        <v>28</v>
      </c>
      <c r="C225" s="31" t="s">
        <v>26</v>
      </c>
      <c r="D225" s="46">
        <f>1.34/10*28.46+2.28/10*(28+4.26+1.32)</f>
        <v>11.46988</v>
      </c>
      <c r="E225" s="44"/>
      <c r="F225" s="45"/>
      <c r="G225" s="45"/>
      <c r="H225" s="45"/>
      <c r="I225" s="45"/>
      <c r="J225" s="45"/>
      <c r="K225" s="5"/>
    </row>
    <row r="226" spans="2:11" x14ac:dyDescent="0.35">
      <c r="B226" s="32" t="s">
        <v>29</v>
      </c>
      <c r="C226" s="31" t="s">
        <v>26</v>
      </c>
      <c r="D226" s="46">
        <f>D225*1.02</f>
        <v>11.6992776</v>
      </c>
      <c r="E226" s="44"/>
      <c r="F226" s="45"/>
      <c r="G226" s="45"/>
      <c r="H226" s="45"/>
      <c r="I226" s="45"/>
      <c r="J226" s="45"/>
      <c r="K226" s="5"/>
    </row>
    <row r="227" spans="2:11" x14ac:dyDescent="0.35">
      <c r="B227" s="32" t="s">
        <v>30</v>
      </c>
      <c r="C227" s="31" t="s">
        <v>31</v>
      </c>
      <c r="D227" s="46">
        <f>(33.29/10*28.46+54.4/10*(28+4.26+1.32))*1.04</f>
        <v>288.51528159999998</v>
      </c>
      <c r="E227" s="44"/>
      <c r="F227" s="45"/>
      <c r="G227" s="45"/>
      <c r="H227" s="45"/>
      <c r="I227" s="45"/>
      <c r="J227" s="45"/>
      <c r="K227" s="5"/>
    </row>
    <row r="228" spans="2:11" x14ac:dyDescent="0.35">
      <c r="B228" s="25" t="s">
        <v>64</v>
      </c>
      <c r="C228" s="31" t="s">
        <v>27</v>
      </c>
      <c r="D228" s="46">
        <v>30.4</v>
      </c>
      <c r="E228" s="44"/>
      <c r="F228" s="45"/>
      <c r="G228" s="45"/>
      <c r="H228" s="45"/>
      <c r="I228" s="45"/>
      <c r="J228" s="45"/>
      <c r="K228" s="5"/>
    </row>
    <row r="229" spans="2:11" ht="31" x14ac:dyDescent="0.35">
      <c r="B229" s="32" t="s">
        <v>121</v>
      </c>
      <c r="C229" s="31" t="s">
        <v>27</v>
      </c>
      <c r="D229" s="46">
        <f>D228*1.1</f>
        <v>33.44</v>
      </c>
      <c r="E229" s="44"/>
      <c r="F229" s="45"/>
      <c r="G229" s="45"/>
      <c r="H229" s="45"/>
      <c r="I229" s="45"/>
      <c r="J229" s="45"/>
      <c r="K229" s="5"/>
    </row>
    <row r="230" spans="2:11" x14ac:dyDescent="0.35">
      <c r="B230" s="25" t="s">
        <v>123</v>
      </c>
      <c r="C230" s="31" t="s">
        <v>27</v>
      </c>
      <c r="D230" s="46">
        <f>30.2+6.2+3</f>
        <v>39.4</v>
      </c>
      <c r="E230" s="44"/>
      <c r="F230" s="45"/>
      <c r="G230" s="45"/>
      <c r="H230" s="45"/>
      <c r="I230" s="45"/>
      <c r="J230" s="45"/>
      <c r="K230" s="5"/>
    </row>
    <row r="231" spans="2:11" ht="31" x14ac:dyDescent="0.35">
      <c r="B231" s="32" t="s">
        <v>122</v>
      </c>
      <c r="C231" s="31" t="s">
        <v>27</v>
      </c>
      <c r="D231" s="46">
        <f>D230*1.1</f>
        <v>43.34</v>
      </c>
      <c r="E231" s="44"/>
      <c r="F231" s="45"/>
      <c r="G231" s="45"/>
      <c r="H231" s="45"/>
      <c r="I231" s="45"/>
      <c r="J231" s="45"/>
      <c r="K231" s="5"/>
    </row>
    <row r="232" spans="2:11" ht="33" x14ac:dyDescent="0.35">
      <c r="B232" s="25" t="s">
        <v>39</v>
      </c>
      <c r="C232" s="3" t="s">
        <v>26</v>
      </c>
      <c r="D232" s="46">
        <f>D221+D222-(0.125*28.46+1.34/10*28.46+0.47*(28+4.26+1.32)+2.28/10*(28+4.26+1.32))</f>
        <v>1023.99002</v>
      </c>
      <c r="E232" s="44"/>
      <c r="F232" s="45"/>
      <c r="G232" s="45"/>
      <c r="H232" s="45"/>
      <c r="I232" s="45"/>
      <c r="J232" s="45"/>
      <c r="K232" s="5"/>
    </row>
    <row r="233" spans="2:11" x14ac:dyDescent="0.35">
      <c r="B233" s="43" t="s">
        <v>124</v>
      </c>
      <c r="C233" s="3" t="s">
        <v>32</v>
      </c>
      <c r="D233" s="46">
        <v>1</v>
      </c>
      <c r="E233" s="10"/>
      <c r="F233" s="4"/>
      <c r="G233" s="4"/>
      <c r="H233" s="4"/>
      <c r="I233" s="4"/>
      <c r="J233" s="4"/>
      <c r="K233" s="5"/>
    </row>
    <row r="234" spans="2:11" x14ac:dyDescent="0.35">
      <c r="B234" s="48" t="s">
        <v>33</v>
      </c>
      <c r="C234" s="3" t="s">
        <v>26</v>
      </c>
      <c r="D234" s="46" t="s">
        <v>148</v>
      </c>
      <c r="E234" s="10"/>
      <c r="F234" s="4"/>
      <c r="G234" s="4"/>
      <c r="H234" s="4"/>
      <c r="I234" s="4"/>
      <c r="J234" s="4"/>
      <c r="K234" s="5"/>
    </row>
    <row r="235" spans="2:11" x14ac:dyDescent="0.35">
      <c r="B235" s="48" t="s">
        <v>19</v>
      </c>
      <c r="C235" s="3" t="s">
        <v>26</v>
      </c>
      <c r="D235" s="46">
        <v>0.38</v>
      </c>
      <c r="E235" s="10"/>
      <c r="F235" s="4"/>
      <c r="G235" s="4"/>
      <c r="H235" s="4"/>
      <c r="I235" s="4"/>
      <c r="J235" s="4"/>
      <c r="K235" s="5"/>
    </row>
    <row r="236" spans="2:11" x14ac:dyDescent="0.35">
      <c r="B236" s="48" t="s">
        <v>67</v>
      </c>
      <c r="C236" s="3" t="s">
        <v>25</v>
      </c>
      <c r="D236" s="46">
        <v>3.46</v>
      </c>
      <c r="E236" s="10"/>
      <c r="F236" s="4"/>
      <c r="G236" s="4"/>
      <c r="H236" s="4"/>
      <c r="I236" s="4"/>
      <c r="J236" s="4"/>
      <c r="K236" s="5"/>
    </row>
    <row r="237" spans="2:11" x14ac:dyDescent="0.35">
      <c r="B237" s="48" t="s">
        <v>68</v>
      </c>
      <c r="C237" s="3" t="s">
        <v>26</v>
      </c>
      <c r="D237" s="46">
        <v>0.35</v>
      </c>
      <c r="E237" s="10"/>
      <c r="F237" s="4"/>
      <c r="G237" s="4"/>
      <c r="H237" s="4"/>
      <c r="I237" s="4"/>
      <c r="J237" s="4"/>
      <c r="K237" s="5"/>
    </row>
    <row r="238" spans="2:11" ht="46.5" x14ac:dyDescent="0.35">
      <c r="B238" s="48" t="s">
        <v>70</v>
      </c>
      <c r="C238" s="3" t="s">
        <v>25</v>
      </c>
      <c r="D238" s="37" t="s">
        <v>125</v>
      </c>
      <c r="E238" s="10"/>
      <c r="F238" s="4"/>
      <c r="G238" s="4"/>
      <c r="H238" s="4"/>
      <c r="I238" s="4"/>
      <c r="J238" s="4"/>
      <c r="K238" s="5"/>
    </row>
    <row r="239" spans="2:11" ht="31" x14ac:dyDescent="0.35">
      <c r="B239" s="48" t="s">
        <v>126</v>
      </c>
      <c r="C239" s="3" t="s">
        <v>32</v>
      </c>
      <c r="D239" s="46">
        <v>1</v>
      </c>
      <c r="E239" s="10"/>
      <c r="F239" s="4"/>
      <c r="G239" s="4"/>
      <c r="H239" s="4"/>
      <c r="I239" s="4"/>
      <c r="J239" s="4"/>
      <c r="K239" s="5"/>
    </row>
    <row r="240" spans="2:11" x14ac:dyDescent="0.35">
      <c r="B240" s="17" t="s">
        <v>127</v>
      </c>
      <c r="C240" s="3" t="s">
        <v>32</v>
      </c>
      <c r="D240" s="46">
        <v>1</v>
      </c>
      <c r="E240" s="10"/>
      <c r="F240" s="4"/>
      <c r="G240" s="4"/>
      <c r="H240" s="4"/>
      <c r="I240" s="4"/>
      <c r="J240" s="4"/>
      <c r="K240" s="5"/>
    </row>
    <row r="241" spans="2:12" x14ac:dyDescent="0.35">
      <c r="B241" s="17" t="s">
        <v>101</v>
      </c>
      <c r="C241" s="3" t="s">
        <v>26</v>
      </c>
      <c r="D241" s="46">
        <v>6.0000000000000001E-3</v>
      </c>
      <c r="E241" s="10"/>
      <c r="F241" s="4"/>
      <c r="G241" s="4"/>
      <c r="H241" s="4"/>
      <c r="I241" s="4"/>
      <c r="J241" s="4"/>
      <c r="K241" s="5"/>
    </row>
    <row r="242" spans="2:12" x14ac:dyDescent="0.35">
      <c r="B242" s="25" t="s">
        <v>131</v>
      </c>
      <c r="C242" s="3" t="s">
        <v>26</v>
      </c>
      <c r="D242" s="46">
        <v>0.03</v>
      </c>
      <c r="E242" s="10"/>
      <c r="F242" s="4"/>
      <c r="G242" s="4"/>
      <c r="H242" s="4"/>
      <c r="I242" s="4"/>
      <c r="J242" s="4"/>
      <c r="K242" s="5"/>
      <c r="L242" s="50"/>
    </row>
    <row r="243" spans="2:12" x14ac:dyDescent="0.35">
      <c r="B243" s="17" t="s">
        <v>29</v>
      </c>
      <c r="C243" s="3" t="s">
        <v>26</v>
      </c>
      <c r="D243" s="46">
        <f>D242*1.02</f>
        <v>3.0599999999999999E-2</v>
      </c>
      <c r="E243" s="10"/>
      <c r="F243" s="4"/>
      <c r="G243" s="4"/>
      <c r="H243" s="4"/>
      <c r="I243" s="4"/>
      <c r="J243" s="4"/>
      <c r="K243" s="5"/>
      <c r="L243" s="50"/>
    </row>
    <row r="244" spans="2:12" ht="31" x14ac:dyDescent="0.35">
      <c r="B244" s="25" t="s">
        <v>78</v>
      </c>
      <c r="C244" s="3" t="s">
        <v>32</v>
      </c>
      <c r="D244" s="46">
        <f>SUM(D245:D246)</f>
        <v>3</v>
      </c>
      <c r="E244" s="10"/>
      <c r="F244" s="4"/>
      <c r="G244" s="4"/>
      <c r="H244" s="4"/>
      <c r="I244" s="4"/>
      <c r="J244" s="4"/>
      <c r="K244" s="5"/>
    </row>
    <row r="245" spans="2:12" x14ac:dyDescent="0.35">
      <c r="B245" s="17" t="s">
        <v>129</v>
      </c>
      <c r="C245" s="3" t="s">
        <v>32</v>
      </c>
      <c r="D245" s="46">
        <v>1</v>
      </c>
      <c r="E245" s="10"/>
      <c r="F245" s="4"/>
      <c r="G245" s="4"/>
      <c r="H245" s="4"/>
      <c r="I245" s="4"/>
      <c r="J245" s="4"/>
      <c r="K245" s="5"/>
    </row>
    <row r="246" spans="2:12" x14ac:dyDescent="0.35">
      <c r="B246" s="17" t="s">
        <v>128</v>
      </c>
      <c r="C246" s="3" t="s">
        <v>32</v>
      </c>
      <c r="D246" s="46">
        <v>2</v>
      </c>
      <c r="E246" s="10"/>
      <c r="F246" s="4"/>
      <c r="G246" s="4"/>
      <c r="H246" s="4"/>
      <c r="I246" s="4"/>
      <c r="J246" s="4"/>
      <c r="K246" s="5"/>
    </row>
    <row r="247" spans="2:12" ht="31" x14ac:dyDescent="0.35">
      <c r="B247" s="25" t="s">
        <v>85</v>
      </c>
      <c r="C247" s="3" t="s">
        <v>32</v>
      </c>
      <c r="D247" s="46">
        <v>1</v>
      </c>
      <c r="E247" s="10"/>
      <c r="F247" s="4"/>
      <c r="G247" s="4"/>
      <c r="H247" s="4"/>
      <c r="I247" s="4"/>
      <c r="J247" s="4"/>
      <c r="K247" s="5"/>
    </row>
    <row r="248" spans="2:12" x14ac:dyDescent="0.35">
      <c r="B248" s="17" t="s">
        <v>130</v>
      </c>
      <c r="C248" s="3" t="s">
        <v>32</v>
      </c>
      <c r="D248" s="46">
        <v>1</v>
      </c>
      <c r="E248" s="10"/>
      <c r="F248" s="4"/>
      <c r="G248" s="4"/>
      <c r="H248" s="4"/>
      <c r="I248" s="4"/>
      <c r="J248" s="4"/>
      <c r="K248" s="5"/>
    </row>
    <row r="249" spans="2:12" x14ac:dyDescent="0.35">
      <c r="B249" s="25" t="s">
        <v>132</v>
      </c>
      <c r="C249" s="3" t="s">
        <v>32</v>
      </c>
      <c r="D249" s="46">
        <v>1</v>
      </c>
      <c r="E249" s="10"/>
      <c r="F249" s="4"/>
      <c r="G249" s="4"/>
      <c r="H249" s="4"/>
      <c r="I249" s="4"/>
      <c r="J249" s="4"/>
      <c r="K249" s="5"/>
    </row>
    <row r="250" spans="2:12" x14ac:dyDescent="0.35">
      <c r="B250" s="39" t="s">
        <v>133</v>
      </c>
      <c r="C250" s="3" t="s">
        <v>32</v>
      </c>
      <c r="D250" s="46">
        <v>1</v>
      </c>
      <c r="E250" s="10"/>
      <c r="F250" s="4"/>
      <c r="G250" s="4"/>
      <c r="H250" s="4"/>
      <c r="I250" s="4"/>
      <c r="J250" s="4"/>
      <c r="K250" s="5"/>
    </row>
    <row r="251" spans="2:12" ht="77.5" x14ac:dyDescent="0.35">
      <c r="B251" s="41" t="s">
        <v>90</v>
      </c>
      <c r="C251" s="3" t="s">
        <v>25</v>
      </c>
      <c r="D251" s="49" t="s">
        <v>125</v>
      </c>
      <c r="E251" s="10"/>
      <c r="F251" s="4"/>
      <c r="G251" s="4"/>
      <c r="H251" s="4"/>
      <c r="I251" s="4"/>
      <c r="J251" s="4"/>
      <c r="K251" s="5"/>
      <c r="L251" s="42" t="s">
        <v>89</v>
      </c>
    </row>
    <row r="252" spans="2:12" x14ac:dyDescent="0.35">
      <c r="B252" s="25" t="s">
        <v>93</v>
      </c>
      <c r="C252" s="3" t="s">
        <v>32</v>
      </c>
      <c r="D252" s="47">
        <v>9</v>
      </c>
      <c r="E252" s="44"/>
      <c r="F252" s="45"/>
      <c r="G252" s="45"/>
      <c r="H252" s="45"/>
      <c r="I252" s="45"/>
      <c r="J252" s="45"/>
      <c r="K252" s="5"/>
    </row>
    <row r="253" spans="2:12" x14ac:dyDescent="0.35">
      <c r="B253" s="17" t="s">
        <v>94</v>
      </c>
      <c r="C253" s="3" t="s">
        <v>31</v>
      </c>
      <c r="D253" s="46">
        <f>0.85*9</f>
        <v>7.6499999999999995</v>
      </c>
      <c r="E253" s="44"/>
      <c r="F253" s="45"/>
      <c r="G253" s="45"/>
      <c r="H253" s="45"/>
      <c r="I253" s="45"/>
      <c r="J253" s="45"/>
      <c r="K253" s="5"/>
    </row>
    <row r="254" spans="2:12" x14ac:dyDescent="0.35">
      <c r="B254" s="25" t="s">
        <v>95</v>
      </c>
      <c r="C254" s="3" t="s">
        <v>32</v>
      </c>
      <c r="D254" s="47">
        <v>1</v>
      </c>
      <c r="E254" s="44"/>
      <c r="F254" s="45"/>
      <c r="G254" s="45"/>
      <c r="H254" s="45"/>
      <c r="I254" s="45"/>
      <c r="J254" s="45"/>
      <c r="K254" s="5"/>
    </row>
    <row r="255" spans="2:12" ht="33" x14ac:dyDescent="0.35">
      <c r="B255" s="25" t="s">
        <v>96</v>
      </c>
      <c r="C255" s="3" t="s">
        <v>26</v>
      </c>
      <c r="D255" s="46" t="e">
        <f>D234+D235-(3.026)</f>
        <v>#VALUE!</v>
      </c>
      <c r="E255" s="44"/>
      <c r="F255" s="45"/>
      <c r="G255" s="45"/>
      <c r="H255" s="45"/>
      <c r="I255" s="45"/>
      <c r="J255" s="45"/>
      <c r="K255" s="5"/>
    </row>
    <row r="256" spans="2:12" x14ac:dyDescent="0.35">
      <c r="B256" s="43" t="s">
        <v>134</v>
      </c>
      <c r="C256" s="3" t="s">
        <v>32</v>
      </c>
      <c r="D256" s="46">
        <v>1</v>
      </c>
      <c r="E256" s="10"/>
      <c r="F256" s="4"/>
      <c r="G256" s="4"/>
      <c r="H256" s="4"/>
      <c r="I256" s="4"/>
      <c r="J256" s="4"/>
      <c r="K256" s="5"/>
    </row>
    <row r="257" spans="2:12" x14ac:dyDescent="0.35">
      <c r="B257" s="48" t="s">
        <v>33</v>
      </c>
      <c r="C257" s="3" t="s">
        <v>26</v>
      </c>
      <c r="D257" s="46">
        <v>5.26</v>
      </c>
      <c r="E257" s="10"/>
      <c r="F257" s="4"/>
      <c r="G257" s="4"/>
      <c r="H257" s="4"/>
      <c r="I257" s="4"/>
      <c r="J257" s="4"/>
      <c r="K257" s="5"/>
    </row>
    <row r="258" spans="2:12" x14ac:dyDescent="0.35">
      <c r="B258" s="48" t="s">
        <v>19</v>
      </c>
      <c r="C258" s="3" t="s">
        <v>26</v>
      </c>
      <c r="D258" s="46">
        <v>0.38</v>
      </c>
      <c r="E258" s="10"/>
      <c r="F258" s="4"/>
      <c r="G258" s="4"/>
      <c r="H258" s="4"/>
      <c r="I258" s="4"/>
      <c r="J258" s="4"/>
      <c r="K258" s="5"/>
    </row>
    <row r="259" spans="2:12" x14ac:dyDescent="0.35">
      <c r="B259" s="48" t="s">
        <v>67</v>
      </c>
      <c r="C259" s="3" t="s">
        <v>25</v>
      </c>
      <c r="D259" s="46">
        <v>3.46</v>
      </c>
      <c r="E259" s="10"/>
      <c r="F259" s="4"/>
      <c r="G259" s="4"/>
      <c r="H259" s="4"/>
      <c r="I259" s="4"/>
      <c r="J259" s="4"/>
      <c r="K259" s="5"/>
    </row>
    <row r="260" spans="2:12" x14ac:dyDescent="0.35">
      <c r="B260" s="48" t="s">
        <v>68</v>
      </c>
      <c r="C260" s="3" t="s">
        <v>26</v>
      </c>
      <c r="D260" s="46">
        <v>0.35</v>
      </c>
      <c r="E260" s="10"/>
      <c r="F260" s="4"/>
      <c r="G260" s="4"/>
      <c r="H260" s="4"/>
      <c r="I260" s="4"/>
      <c r="J260" s="4"/>
      <c r="K260" s="5"/>
    </row>
    <row r="261" spans="2:12" ht="46.5" x14ac:dyDescent="0.35">
      <c r="B261" s="48" t="s">
        <v>70</v>
      </c>
      <c r="C261" s="3" t="s">
        <v>25</v>
      </c>
      <c r="D261" s="37" t="s">
        <v>125</v>
      </c>
      <c r="E261" s="10"/>
      <c r="F261" s="4"/>
      <c r="G261" s="4"/>
      <c r="H261" s="4"/>
      <c r="I261" s="4"/>
      <c r="J261" s="4"/>
      <c r="K261" s="5"/>
    </row>
    <row r="262" spans="2:12" ht="31" x14ac:dyDescent="0.35">
      <c r="B262" s="48" t="s">
        <v>126</v>
      </c>
      <c r="C262" s="3" t="s">
        <v>32</v>
      </c>
      <c r="D262" s="46">
        <v>1</v>
      </c>
      <c r="E262" s="10"/>
      <c r="F262" s="4"/>
      <c r="G262" s="4"/>
      <c r="H262" s="4"/>
      <c r="I262" s="4"/>
      <c r="J262" s="4"/>
      <c r="K262" s="5"/>
    </row>
    <row r="263" spans="2:12" x14ac:dyDescent="0.35">
      <c r="B263" s="17" t="s">
        <v>127</v>
      </c>
      <c r="C263" s="3" t="s">
        <v>32</v>
      </c>
      <c r="D263" s="46">
        <v>1</v>
      </c>
      <c r="E263" s="10"/>
      <c r="F263" s="4"/>
      <c r="G263" s="4"/>
      <c r="H263" s="4"/>
      <c r="I263" s="4"/>
      <c r="J263" s="4"/>
      <c r="K263" s="5"/>
    </row>
    <row r="264" spans="2:12" x14ac:dyDescent="0.35">
      <c r="B264" s="17" t="s">
        <v>101</v>
      </c>
      <c r="C264" s="3" t="s">
        <v>26</v>
      </c>
      <c r="D264" s="46">
        <v>6.0000000000000001E-3</v>
      </c>
      <c r="E264" s="10"/>
      <c r="F264" s="4"/>
      <c r="G264" s="4"/>
      <c r="H264" s="4"/>
      <c r="I264" s="4"/>
      <c r="J264" s="4"/>
      <c r="K264" s="5"/>
    </row>
    <row r="265" spans="2:12" x14ac:dyDescent="0.35">
      <c r="B265" s="25" t="s">
        <v>131</v>
      </c>
      <c r="C265" s="3" t="s">
        <v>26</v>
      </c>
      <c r="D265" s="46">
        <v>0.03</v>
      </c>
      <c r="E265" s="10"/>
      <c r="F265" s="4"/>
      <c r="G265" s="4"/>
      <c r="H265" s="4"/>
      <c r="I265" s="4"/>
      <c r="J265" s="4"/>
      <c r="K265" s="5"/>
      <c r="L265" s="50"/>
    </row>
    <row r="266" spans="2:12" x14ac:dyDescent="0.35">
      <c r="B266" s="17" t="s">
        <v>29</v>
      </c>
      <c r="C266" s="3" t="s">
        <v>26</v>
      </c>
      <c r="D266" s="46">
        <f>D265*1.02</f>
        <v>3.0599999999999999E-2</v>
      </c>
      <c r="E266" s="10"/>
      <c r="F266" s="4"/>
      <c r="G266" s="4"/>
      <c r="H266" s="4"/>
      <c r="I266" s="4"/>
      <c r="J266" s="4"/>
      <c r="K266" s="5"/>
      <c r="L266" s="50"/>
    </row>
    <row r="267" spans="2:12" ht="31" x14ac:dyDescent="0.35">
      <c r="B267" s="25" t="s">
        <v>78</v>
      </c>
      <c r="C267" s="3" t="s">
        <v>32</v>
      </c>
      <c r="D267" s="46">
        <f>SUM(D268:D268)</f>
        <v>2</v>
      </c>
      <c r="E267" s="10"/>
      <c r="F267" s="4"/>
      <c r="G267" s="4"/>
      <c r="H267" s="4"/>
      <c r="I267" s="4"/>
      <c r="J267" s="4"/>
      <c r="K267" s="5"/>
    </row>
    <row r="268" spans="2:12" x14ac:dyDescent="0.35">
      <c r="B268" s="17" t="s">
        <v>80</v>
      </c>
      <c r="C268" s="3" t="s">
        <v>32</v>
      </c>
      <c r="D268" s="46">
        <v>2</v>
      </c>
      <c r="E268" s="10"/>
      <c r="F268" s="4"/>
      <c r="G268" s="4"/>
      <c r="H268" s="4"/>
      <c r="I268" s="4"/>
      <c r="J268" s="4"/>
      <c r="K268" s="5"/>
    </row>
    <row r="269" spans="2:12" ht="31" x14ac:dyDescent="0.35">
      <c r="B269" s="25" t="s">
        <v>85</v>
      </c>
      <c r="C269" s="3" t="s">
        <v>32</v>
      </c>
      <c r="D269" s="46">
        <v>1</v>
      </c>
      <c r="E269" s="10"/>
      <c r="F269" s="4"/>
      <c r="G269" s="4"/>
      <c r="H269" s="4"/>
      <c r="I269" s="4"/>
      <c r="J269" s="4"/>
      <c r="K269" s="5"/>
    </row>
    <row r="270" spans="2:12" x14ac:dyDescent="0.35">
      <c r="B270" s="17" t="s">
        <v>130</v>
      </c>
      <c r="C270" s="3" t="s">
        <v>32</v>
      </c>
      <c r="D270" s="46">
        <v>1</v>
      </c>
      <c r="E270" s="10"/>
      <c r="F270" s="4"/>
      <c r="G270" s="4"/>
      <c r="H270" s="4"/>
      <c r="I270" s="4"/>
      <c r="J270" s="4"/>
      <c r="K270" s="5"/>
    </row>
    <row r="271" spans="2:12" x14ac:dyDescent="0.35">
      <c r="B271" s="25" t="s">
        <v>132</v>
      </c>
      <c r="C271" s="3" t="s">
        <v>32</v>
      </c>
      <c r="D271" s="46">
        <v>1</v>
      </c>
      <c r="E271" s="10"/>
      <c r="F271" s="4"/>
      <c r="G271" s="4"/>
      <c r="H271" s="4"/>
      <c r="I271" s="4"/>
      <c r="J271" s="4"/>
      <c r="K271" s="5"/>
    </row>
    <row r="272" spans="2:12" x14ac:dyDescent="0.35">
      <c r="B272" s="39" t="s">
        <v>133</v>
      </c>
      <c r="C272" s="3" t="s">
        <v>32</v>
      </c>
      <c r="D272" s="46">
        <v>1</v>
      </c>
      <c r="E272" s="10"/>
      <c r="F272" s="4"/>
      <c r="G272" s="4"/>
      <c r="H272" s="4"/>
      <c r="I272" s="4"/>
      <c r="J272" s="4"/>
      <c r="K272" s="5"/>
    </row>
    <row r="273" spans="2:12" ht="77.5" x14ac:dyDescent="0.35">
      <c r="B273" s="41" t="s">
        <v>90</v>
      </c>
      <c r="C273" s="3" t="s">
        <v>25</v>
      </c>
      <c r="D273" s="49" t="s">
        <v>125</v>
      </c>
      <c r="E273" s="10"/>
      <c r="F273" s="4"/>
      <c r="G273" s="4"/>
      <c r="H273" s="4"/>
      <c r="I273" s="4"/>
      <c r="J273" s="4"/>
      <c r="K273" s="5"/>
      <c r="L273" s="42" t="s">
        <v>89</v>
      </c>
    </row>
    <row r="274" spans="2:12" ht="31" x14ac:dyDescent="0.35">
      <c r="B274" s="51" t="s">
        <v>93</v>
      </c>
      <c r="C274" s="52" t="s">
        <v>32</v>
      </c>
      <c r="D274" s="53" t="s">
        <v>135</v>
      </c>
      <c r="E274" s="44"/>
      <c r="F274" s="45"/>
      <c r="G274" s="45"/>
      <c r="H274" s="45"/>
      <c r="I274" s="45"/>
      <c r="J274" s="45"/>
      <c r="K274" s="5"/>
      <c r="L274" s="50"/>
    </row>
    <row r="275" spans="2:12" ht="31" x14ac:dyDescent="0.35">
      <c r="B275" s="40" t="s">
        <v>94</v>
      </c>
      <c r="C275" s="52" t="s">
        <v>31</v>
      </c>
      <c r="D275" s="53" t="s">
        <v>135</v>
      </c>
      <c r="E275" s="44"/>
      <c r="F275" s="45"/>
      <c r="G275" s="45"/>
      <c r="H275" s="45"/>
      <c r="I275" s="45"/>
      <c r="J275" s="45"/>
      <c r="K275" s="5"/>
      <c r="L275" s="50"/>
    </row>
    <row r="276" spans="2:12" x14ac:dyDescent="0.35">
      <c r="B276" s="25" t="s">
        <v>95</v>
      </c>
      <c r="C276" s="3" t="s">
        <v>32</v>
      </c>
      <c r="D276" s="47">
        <v>1</v>
      </c>
      <c r="E276" s="44"/>
      <c r="F276" s="45"/>
      <c r="G276" s="45"/>
      <c r="H276" s="45"/>
      <c r="I276" s="45"/>
      <c r="J276" s="45"/>
      <c r="K276" s="5"/>
    </row>
    <row r="277" spans="2:12" ht="33" x14ac:dyDescent="0.35">
      <c r="B277" s="25" t="s">
        <v>96</v>
      </c>
      <c r="C277" s="3" t="s">
        <v>26</v>
      </c>
      <c r="D277" s="46">
        <f>D257+D258-(0.45)</f>
        <v>5.1899999999999995</v>
      </c>
      <c r="E277" s="44"/>
      <c r="F277" s="45"/>
      <c r="G277" s="45"/>
      <c r="H277" s="45"/>
      <c r="I277" s="45"/>
      <c r="J277" s="45"/>
      <c r="K277" s="5"/>
    </row>
    <row r="278" spans="2:12" x14ac:dyDescent="0.35">
      <c r="B278" s="43" t="s">
        <v>136</v>
      </c>
      <c r="C278" s="3" t="s">
        <v>32</v>
      </c>
      <c r="D278" s="46">
        <v>1</v>
      </c>
      <c r="E278" s="10"/>
      <c r="F278" s="4"/>
      <c r="G278" s="4"/>
      <c r="H278" s="4"/>
      <c r="I278" s="4"/>
      <c r="J278" s="4"/>
      <c r="K278" s="5"/>
    </row>
    <row r="279" spans="2:12" x14ac:dyDescent="0.35">
      <c r="B279" s="48" t="s">
        <v>33</v>
      </c>
      <c r="C279" s="3" t="s">
        <v>26</v>
      </c>
      <c r="D279" s="46">
        <v>335.053</v>
      </c>
      <c r="E279" s="10"/>
      <c r="F279" s="4"/>
      <c r="G279" s="4"/>
      <c r="H279" s="4"/>
      <c r="I279" s="4"/>
      <c r="J279" s="4"/>
      <c r="K279" s="5"/>
    </row>
    <row r="280" spans="2:12" x14ac:dyDescent="0.35">
      <c r="B280" s="48" t="s">
        <v>19</v>
      </c>
      <c r="C280" s="3" t="s">
        <v>26</v>
      </c>
      <c r="D280" s="46">
        <v>1.1299999999999999</v>
      </c>
      <c r="E280" s="10"/>
      <c r="F280" s="4"/>
      <c r="G280" s="4"/>
      <c r="H280" s="4"/>
      <c r="I280" s="4"/>
      <c r="J280" s="4"/>
      <c r="K280" s="5"/>
    </row>
    <row r="281" spans="2:12" x14ac:dyDescent="0.35">
      <c r="B281" s="48" t="s">
        <v>67</v>
      </c>
      <c r="C281" s="3" t="s">
        <v>25</v>
      </c>
      <c r="D281" s="46">
        <v>5.72</v>
      </c>
      <c r="E281" s="10"/>
      <c r="F281" s="4"/>
      <c r="G281" s="4"/>
      <c r="H281" s="4"/>
      <c r="I281" s="4"/>
      <c r="J281" s="4"/>
      <c r="K281" s="5"/>
    </row>
    <row r="282" spans="2:12" x14ac:dyDescent="0.35">
      <c r="B282" s="48" t="s">
        <v>68</v>
      </c>
      <c r="C282" s="3" t="s">
        <v>26</v>
      </c>
      <c r="D282" s="46">
        <v>0.56999999999999995</v>
      </c>
      <c r="E282" s="10"/>
      <c r="F282" s="4"/>
      <c r="G282" s="4"/>
      <c r="H282" s="4"/>
      <c r="I282" s="4"/>
      <c r="J282" s="4"/>
      <c r="K282" s="5"/>
    </row>
    <row r="283" spans="2:12" ht="46.5" x14ac:dyDescent="0.35">
      <c r="B283" s="48" t="s">
        <v>70</v>
      </c>
      <c r="C283" s="3" t="s">
        <v>25</v>
      </c>
      <c r="D283" s="46">
        <v>4.91</v>
      </c>
      <c r="E283" s="10"/>
      <c r="F283" s="4"/>
      <c r="G283" s="4"/>
      <c r="H283" s="4"/>
      <c r="I283" s="4"/>
      <c r="J283" s="4"/>
      <c r="K283" s="5"/>
    </row>
    <row r="284" spans="2:12" ht="31" x14ac:dyDescent="0.35">
      <c r="B284" s="48" t="s">
        <v>69</v>
      </c>
      <c r="C284" s="3" t="s">
        <v>32</v>
      </c>
      <c r="D284" s="46">
        <v>1</v>
      </c>
      <c r="E284" s="10"/>
      <c r="F284" s="4"/>
      <c r="G284" s="4"/>
      <c r="H284" s="4"/>
      <c r="I284" s="4"/>
      <c r="J284" s="4"/>
      <c r="K284" s="5"/>
    </row>
    <row r="285" spans="2:12" x14ac:dyDescent="0.35">
      <c r="B285" s="17" t="s">
        <v>71</v>
      </c>
      <c r="C285" s="3" t="s">
        <v>32</v>
      </c>
      <c r="D285" s="46">
        <v>1</v>
      </c>
      <c r="E285" s="10"/>
      <c r="F285" s="4"/>
      <c r="G285" s="4"/>
      <c r="H285" s="4"/>
      <c r="I285" s="4"/>
      <c r="J285" s="4"/>
      <c r="K285" s="5"/>
    </row>
    <row r="286" spans="2:12" x14ac:dyDescent="0.35">
      <c r="B286" s="17" t="s">
        <v>101</v>
      </c>
      <c r="C286" s="3" t="s">
        <v>26</v>
      </c>
      <c r="D286" s="46">
        <f>0.05*1.02</f>
        <v>5.1000000000000004E-2</v>
      </c>
      <c r="E286" s="10"/>
      <c r="F286" s="4"/>
      <c r="G286" s="4"/>
      <c r="H286" s="4"/>
      <c r="I286" s="4"/>
      <c r="J286" s="4"/>
      <c r="K286" s="5"/>
    </row>
    <row r="287" spans="2:12" ht="31" x14ac:dyDescent="0.35">
      <c r="B287" s="25" t="s">
        <v>74</v>
      </c>
      <c r="C287" s="3" t="s">
        <v>26</v>
      </c>
      <c r="D287" s="37">
        <v>1.2</v>
      </c>
      <c r="E287" s="10"/>
      <c r="F287" s="4"/>
      <c r="G287" s="4"/>
      <c r="H287" s="4"/>
      <c r="I287" s="4"/>
      <c r="J287" s="4"/>
      <c r="K287" s="5"/>
      <c r="L287" s="38" t="s">
        <v>73</v>
      </c>
    </row>
    <row r="288" spans="2:12" x14ac:dyDescent="0.35">
      <c r="B288" s="17" t="s">
        <v>75</v>
      </c>
      <c r="C288" s="3" t="s">
        <v>26</v>
      </c>
      <c r="D288" s="37">
        <f>D287*1.02</f>
        <v>1.224</v>
      </c>
      <c r="E288" s="10"/>
      <c r="F288" s="4"/>
      <c r="G288" s="4"/>
      <c r="H288" s="4"/>
      <c r="I288" s="4"/>
      <c r="J288" s="4"/>
      <c r="K288" s="5"/>
      <c r="L288" s="38"/>
    </row>
    <row r="289" spans="2:12" ht="31" x14ac:dyDescent="0.35">
      <c r="B289" s="25" t="s">
        <v>78</v>
      </c>
      <c r="C289" s="3" t="s">
        <v>32</v>
      </c>
      <c r="D289" s="46">
        <f>SUM(D290:D293)</f>
        <v>6</v>
      </c>
      <c r="E289" s="10"/>
      <c r="F289" s="4"/>
      <c r="G289" s="4"/>
      <c r="H289" s="4"/>
      <c r="I289" s="4"/>
      <c r="J289" s="4"/>
      <c r="K289" s="5"/>
    </row>
    <row r="290" spans="2:12" x14ac:dyDescent="0.35">
      <c r="B290" s="17" t="s">
        <v>76</v>
      </c>
      <c r="C290" s="3" t="s">
        <v>32</v>
      </c>
      <c r="D290" s="46">
        <v>3</v>
      </c>
      <c r="E290" s="10"/>
      <c r="F290" s="4"/>
      <c r="G290" s="4"/>
      <c r="H290" s="4"/>
      <c r="I290" s="4"/>
      <c r="J290" s="4"/>
      <c r="K290" s="5"/>
    </row>
    <row r="291" spans="2:12" x14ac:dyDescent="0.35">
      <c r="B291" s="17" t="s">
        <v>77</v>
      </c>
      <c r="C291" s="3" t="s">
        <v>32</v>
      </c>
      <c r="D291" s="46">
        <v>1</v>
      </c>
      <c r="E291" s="10"/>
      <c r="F291" s="4"/>
      <c r="G291" s="4"/>
      <c r="H291" s="4"/>
      <c r="I291" s="4"/>
      <c r="J291" s="4"/>
      <c r="K291" s="5"/>
    </row>
    <row r="292" spans="2:12" x14ac:dyDescent="0.35">
      <c r="B292" s="17" t="s">
        <v>80</v>
      </c>
      <c r="C292" s="3" t="s">
        <v>32</v>
      </c>
      <c r="D292" s="46">
        <v>1</v>
      </c>
      <c r="E292" s="10"/>
      <c r="F292" s="4"/>
      <c r="G292" s="4"/>
      <c r="H292" s="4"/>
      <c r="I292" s="4"/>
      <c r="J292" s="4"/>
      <c r="K292" s="5"/>
    </row>
    <row r="293" spans="2:12" x14ac:dyDescent="0.35">
      <c r="B293" s="40" t="s">
        <v>98</v>
      </c>
      <c r="C293" s="3" t="s">
        <v>32</v>
      </c>
      <c r="D293" s="37">
        <v>1</v>
      </c>
      <c r="E293" s="10"/>
      <c r="F293" s="4"/>
      <c r="G293" s="4"/>
      <c r="H293" s="4"/>
      <c r="I293" s="4"/>
      <c r="J293" s="4"/>
      <c r="K293" s="5"/>
      <c r="L293" s="38" t="s">
        <v>83</v>
      </c>
    </row>
    <row r="294" spans="2:12" ht="31" x14ac:dyDescent="0.35">
      <c r="B294" s="25" t="s">
        <v>85</v>
      </c>
      <c r="C294" s="3" t="s">
        <v>32</v>
      </c>
      <c r="D294" s="46">
        <v>1</v>
      </c>
      <c r="E294" s="10"/>
      <c r="F294" s="4"/>
      <c r="G294" s="4"/>
      <c r="H294" s="4"/>
      <c r="I294" s="4"/>
      <c r="J294" s="4"/>
      <c r="K294" s="5"/>
    </row>
    <row r="295" spans="2:12" x14ac:dyDescent="0.35">
      <c r="B295" s="17" t="s">
        <v>137</v>
      </c>
      <c r="C295" s="3" t="s">
        <v>32</v>
      </c>
      <c r="D295" s="46">
        <v>1</v>
      </c>
      <c r="E295" s="10"/>
      <c r="F295" s="4"/>
      <c r="G295" s="4"/>
      <c r="H295" s="4"/>
      <c r="I295" s="4"/>
      <c r="J295" s="4"/>
      <c r="K295" s="5"/>
    </row>
    <row r="296" spans="2:12" ht="31" x14ac:dyDescent="0.35">
      <c r="B296" s="25" t="s">
        <v>142</v>
      </c>
      <c r="C296" s="3" t="s">
        <v>112</v>
      </c>
      <c r="D296" s="46">
        <v>1</v>
      </c>
      <c r="E296" s="10"/>
      <c r="F296" s="4"/>
      <c r="G296" s="4"/>
      <c r="H296" s="4"/>
      <c r="I296" s="4"/>
      <c r="J296" s="4"/>
      <c r="K296" s="5"/>
    </row>
    <row r="297" spans="2:12" x14ac:dyDescent="0.35">
      <c r="B297" s="17" t="s">
        <v>141</v>
      </c>
      <c r="C297" s="3" t="s">
        <v>112</v>
      </c>
      <c r="D297" s="46">
        <v>1</v>
      </c>
      <c r="E297" s="10"/>
      <c r="F297" s="4"/>
      <c r="G297" s="4"/>
      <c r="H297" s="4"/>
      <c r="I297" s="4"/>
      <c r="J297" s="4"/>
      <c r="K297" s="5"/>
    </row>
    <row r="298" spans="2:12" ht="77.5" x14ac:dyDescent="0.35">
      <c r="B298" s="41" t="s">
        <v>90</v>
      </c>
      <c r="C298" s="3" t="s">
        <v>25</v>
      </c>
      <c r="D298" s="46">
        <f>((0.95+0.03+0.82)*3.14*2.4)+16.77+3.71+1.27+3.4</f>
        <v>38.714799999999997</v>
      </c>
      <c r="E298" s="10"/>
      <c r="F298" s="4"/>
      <c r="G298" s="4"/>
      <c r="H298" s="4"/>
      <c r="I298" s="4"/>
      <c r="J298" s="4"/>
      <c r="K298" s="5"/>
      <c r="L298" s="42" t="s">
        <v>89</v>
      </c>
    </row>
    <row r="299" spans="2:12" x14ac:dyDescent="0.35">
      <c r="B299" s="48" t="s">
        <v>138</v>
      </c>
      <c r="C299" s="3" t="s">
        <v>32</v>
      </c>
      <c r="D299" s="47">
        <v>1</v>
      </c>
      <c r="E299" s="44"/>
      <c r="F299" s="45"/>
      <c r="G299" s="45"/>
      <c r="H299" s="45"/>
      <c r="I299" s="45"/>
      <c r="J299" s="45"/>
      <c r="K299" s="5"/>
    </row>
    <row r="300" spans="2:12" x14ac:dyDescent="0.35">
      <c r="B300" s="17" t="s">
        <v>139</v>
      </c>
      <c r="C300" s="3" t="s">
        <v>31</v>
      </c>
      <c r="D300" s="47">
        <v>32.4</v>
      </c>
      <c r="E300" s="44"/>
      <c r="F300" s="45"/>
      <c r="G300" s="45"/>
      <c r="H300" s="45"/>
      <c r="I300" s="45"/>
      <c r="J300" s="45"/>
      <c r="K300" s="5"/>
    </row>
    <row r="301" spans="2:12" x14ac:dyDescent="0.35">
      <c r="B301" s="25" t="s">
        <v>93</v>
      </c>
      <c r="C301" s="3" t="s">
        <v>32</v>
      </c>
      <c r="D301" s="47">
        <v>1</v>
      </c>
      <c r="E301" s="44"/>
      <c r="F301" s="45"/>
      <c r="G301" s="45"/>
      <c r="H301" s="45"/>
      <c r="I301" s="45"/>
      <c r="J301" s="45"/>
      <c r="K301" s="5"/>
      <c r="L301" s="11"/>
    </row>
    <row r="302" spans="2:12" x14ac:dyDescent="0.35">
      <c r="B302" s="17" t="s">
        <v>94</v>
      </c>
      <c r="C302" s="3" t="s">
        <v>31</v>
      </c>
      <c r="D302" s="46">
        <v>0.8</v>
      </c>
      <c r="E302" s="44"/>
      <c r="F302" s="45"/>
      <c r="G302" s="45"/>
      <c r="H302" s="45"/>
      <c r="I302" s="45"/>
      <c r="J302" s="45"/>
      <c r="K302" s="5"/>
    </row>
    <row r="303" spans="2:12" x14ac:dyDescent="0.35">
      <c r="B303" s="25" t="s">
        <v>95</v>
      </c>
      <c r="C303" s="3" t="s">
        <v>32</v>
      </c>
      <c r="D303" s="47">
        <v>3</v>
      </c>
      <c r="E303" s="44"/>
      <c r="F303" s="45"/>
      <c r="G303" s="45"/>
      <c r="H303" s="45"/>
      <c r="I303" s="45"/>
      <c r="J303" s="45"/>
      <c r="K303" s="5"/>
    </row>
    <row r="304" spans="2:12" ht="33" x14ac:dyDescent="0.35">
      <c r="B304" s="25" t="s">
        <v>96</v>
      </c>
      <c r="C304" s="3" t="s">
        <v>26</v>
      </c>
      <c r="D304" s="46">
        <f>D279+D280-(0.57+0.59+13.11+0.4)</f>
        <v>321.51299999999998</v>
      </c>
      <c r="E304" s="44"/>
      <c r="F304" s="45"/>
      <c r="G304" s="45"/>
      <c r="H304" s="45"/>
      <c r="I304" s="45"/>
      <c r="J304" s="45"/>
      <c r="K304" s="5"/>
    </row>
    <row r="305" spans="2:12" x14ac:dyDescent="0.35">
      <c r="B305" s="43" t="s">
        <v>140</v>
      </c>
      <c r="C305" s="3" t="s">
        <v>32</v>
      </c>
      <c r="D305" s="46">
        <v>1</v>
      </c>
      <c r="E305" s="10"/>
      <c r="F305" s="4"/>
      <c r="G305" s="4"/>
      <c r="H305" s="4"/>
      <c r="I305" s="4"/>
      <c r="J305" s="4"/>
      <c r="K305" s="5"/>
    </row>
    <row r="306" spans="2:12" x14ac:dyDescent="0.35">
      <c r="B306" s="48" t="s">
        <v>33</v>
      </c>
      <c r="C306" s="3" t="s">
        <v>26</v>
      </c>
      <c r="D306" s="46">
        <v>161</v>
      </c>
      <c r="E306" s="10"/>
      <c r="F306" s="4"/>
      <c r="G306" s="4"/>
      <c r="H306" s="4"/>
      <c r="I306" s="4"/>
      <c r="J306" s="4"/>
      <c r="K306" s="5"/>
    </row>
    <row r="307" spans="2:12" x14ac:dyDescent="0.35">
      <c r="B307" s="48" t="s">
        <v>19</v>
      </c>
      <c r="C307" s="3" t="s">
        <v>26</v>
      </c>
      <c r="D307" s="46">
        <v>1.1299999999999999</v>
      </c>
      <c r="E307" s="10"/>
      <c r="F307" s="4"/>
      <c r="G307" s="4"/>
      <c r="H307" s="4"/>
      <c r="I307" s="4"/>
      <c r="J307" s="4"/>
      <c r="K307" s="5"/>
    </row>
    <row r="308" spans="2:12" x14ac:dyDescent="0.35">
      <c r="B308" s="48" t="s">
        <v>67</v>
      </c>
      <c r="C308" s="3" t="s">
        <v>25</v>
      </c>
      <c r="D308" s="46">
        <v>5.72</v>
      </c>
      <c r="E308" s="10"/>
      <c r="F308" s="4"/>
      <c r="G308" s="4"/>
      <c r="H308" s="4"/>
      <c r="I308" s="4"/>
      <c r="J308" s="4"/>
      <c r="K308" s="5"/>
    </row>
    <row r="309" spans="2:12" x14ac:dyDescent="0.35">
      <c r="B309" s="48" t="s">
        <v>68</v>
      </c>
      <c r="C309" s="3" t="s">
        <v>26</v>
      </c>
      <c r="D309" s="46">
        <v>0.56999999999999995</v>
      </c>
      <c r="E309" s="10"/>
      <c r="F309" s="4"/>
      <c r="G309" s="4"/>
      <c r="H309" s="4"/>
      <c r="I309" s="4"/>
      <c r="J309" s="4"/>
      <c r="K309" s="5"/>
    </row>
    <row r="310" spans="2:12" ht="46.5" x14ac:dyDescent="0.35">
      <c r="B310" s="48" t="s">
        <v>70</v>
      </c>
      <c r="C310" s="3" t="s">
        <v>25</v>
      </c>
      <c r="D310" s="46">
        <v>4.91</v>
      </c>
      <c r="E310" s="10"/>
      <c r="F310" s="4"/>
      <c r="G310" s="4"/>
      <c r="H310" s="4"/>
      <c r="I310" s="4"/>
      <c r="J310" s="4"/>
      <c r="K310" s="5"/>
    </row>
    <row r="311" spans="2:12" ht="31" x14ac:dyDescent="0.35">
      <c r="B311" s="48" t="s">
        <v>69</v>
      </c>
      <c r="C311" s="3" t="s">
        <v>32</v>
      </c>
      <c r="D311" s="46">
        <v>1</v>
      </c>
      <c r="E311" s="10"/>
      <c r="F311" s="4"/>
      <c r="G311" s="4"/>
      <c r="H311" s="4"/>
      <c r="I311" s="4"/>
      <c r="J311" s="4"/>
      <c r="K311" s="5"/>
    </row>
    <row r="312" spans="2:12" x14ac:dyDescent="0.35">
      <c r="B312" s="17" t="s">
        <v>71</v>
      </c>
      <c r="C312" s="3" t="s">
        <v>32</v>
      </c>
      <c r="D312" s="46">
        <v>1</v>
      </c>
      <c r="E312" s="10"/>
      <c r="F312" s="4"/>
      <c r="G312" s="4"/>
      <c r="H312" s="4"/>
      <c r="I312" s="4"/>
      <c r="J312" s="4"/>
      <c r="K312" s="5"/>
    </row>
    <row r="313" spans="2:12" x14ac:dyDescent="0.35">
      <c r="B313" s="17" t="s">
        <v>101</v>
      </c>
      <c r="C313" s="3" t="s">
        <v>26</v>
      </c>
      <c r="D313" s="46">
        <f>0.05*1.02</f>
        <v>5.1000000000000004E-2</v>
      </c>
      <c r="E313" s="10"/>
      <c r="F313" s="4"/>
      <c r="G313" s="4"/>
      <c r="H313" s="4"/>
      <c r="I313" s="4"/>
      <c r="J313" s="4"/>
      <c r="K313" s="5"/>
    </row>
    <row r="314" spans="2:12" ht="31" x14ac:dyDescent="0.35">
      <c r="B314" s="25" t="s">
        <v>74</v>
      </c>
      <c r="C314" s="3" t="s">
        <v>26</v>
      </c>
      <c r="D314" s="37">
        <v>1.2</v>
      </c>
      <c r="E314" s="10"/>
      <c r="F314" s="4"/>
      <c r="G314" s="4"/>
      <c r="H314" s="4"/>
      <c r="I314" s="4"/>
      <c r="J314" s="4"/>
      <c r="K314" s="5"/>
      <c r="L314" s="38" t="s">
        <v>73</v>
      </c>
    </row>
    <row r="315" spans="2:12" x14ac:dyDescent="0.35">
      <c r="B315" s="17" t="s">
        <v>75</v>
      </c>
      <c r="C315" s="3" t="s">
        <v>26</v>
      </c>
      <c r="D315" s="37">
        <f>D314*1.02</f>
        <v>1.224</v>
      </c>
      <c r="E315" s="10"/>
      <c r="F315" s="4"/>
      <c r="G315" s="4"/>
      <c r="H315" s="4"/>
      <c r="I315" s="4"/>
      <c r="J315" s="4"/>
      <c r="K315" s="5"/>
      <c r="L315" s="38"/>
    </row>
    <row r="316" spans="2:12" ht="31" x14ac:dyDescent="0.35">
      <c r="B316" s="25" t="s">
        <v>78</v>
      </c>
      <c r="C316" s="3" t="s">
        <v>32</v>
      </c>
      <c r="D316" s="46">
        <f>SUM(D317:D319)</f>
        <v>4</v>
      </c>
      <c r="E316" s="10"/>
      <c r="F316" s="4"/>
      <c r="G316" s="4"/>
      <c r="H316" s="4"/>
      <c r="I316" s="4"/>
      <c r="J316" s="4"/>
      <c r="K316" s="5"/>
    </row>
    <row r="317" spans="2:12" x14ac:dyDescent="0.35">
      <c r="B317" s="17" t="s">
        <v>76</v>
      </c>
      <c r="C317" s="3" t="s">
        <v>32</v>
      </c>
      <c r="D317" s="46">
        <v>2</v>
      </c>
      <c r="E317" s="10"/>
      <c r="F317" s="4"/>
      <c r="G317" s="4"/>
      <c r="H317" s="4"/>
      <c r="I317" s="4"/>
      <c r="J317" s="4"/>
      <c r="K317" s="5"/>
    </row>
    <row r="318" spans="2:12" x14ac:dyDescent="0.35">
      <c r="B318" s="40" t="s">
        <v>81</v>
      </c>
      <c r="C318" s="3" t="s">
        <v>32</v>
      </c>
      <c r="D318" s="37">
        <v>1</v>
      </c>
      <c r="E318" s="10"/>
      <c r="F318" s="4"/>
      <c r="G318" s="4"/>
      <c r="H318" s="4"/>
      <c r="I318" s="4"/>
      <c r="J318" s="4"/>
      <c r="K318" s="5"/>
      <c r="L318" s="38" t="s">
        <v>83</v>
      </c>
    </row>
    <row r="319" spans="2:12" x14ac:dyDescent="0.35">
      <c r="B319" s="40" t="s">
        <v>98</v>
      </c>
      <c r="C319" s="3" t="s">
        <v>32</v>
      </c>
      <c r="D319" s="37">
        <v>1</v>
      </c>
      <c r="E319" s="10"/>
      <c r="F319" s="4"/>
      <c r="G319" s="4"/>
      <c r="H319" s="4"/>
      <c r="I319" s="4"/>
      <c r="J319" s="4"/>
      <c r="K319" s="5"/>
      <c r="L319" s="38" t="s">
        <v>83</v>
      </c>
    </row>
    <row r="320" spans="2:12" ht="31" x14ac:dyDescent="0.35">
      <c r="B320" s="25" t="s">
        <v>85</v>
      </c>
      <c r="C320" s="3" t="s">
        <v>32</v>
      </c>
      <c r="D320" s="46">
        <v>1</v>
      </c>
      <c r="E320" s="10"/>
      <c r="F320" s="4"/>
      <c r="G320" s="4"/>
      <c r="H320" s="4"/>
      <c r="I320" s="4"/>
      <c r="J320" s="4"/>
      <c r="K320" s="5"/>
    </row>
    <row r="321" spans="2:12" x14ac:dyDescent="0.35">
      <c r="B321" s="17" t="s">
        <v>137</v>
      </c>
      <c r="C321" s="3" t="s">
        <v>32</v>
      </c>
      <c r="D321" s="46">
        <v>1</v>
      </c>
      <c r="E321" s="10"/>
      <c r="F321" s="4"/>
      <c r="G321" s="4"/>
      <c r="H321" s="4"/>
      <c r="I321" s="4"/>
      <c r="J321" s="4"/>
      <c r="K321" s="5"/>
    </row>
    <row r="322" spans="2:12" ht="31" x14ac:dyDescent="0.35">
      <c r="B322" s="25" t="s">
        <v>142</v>
      </c>
      <c r="C322" s="3" t="s">
        <v>112</v>
      </c>
      <c r="D322" s="46">
        <v>1</v>
      </c>
      <c r="E322" s="10"/>
      <c r="F322" s="4"/>
      <c r="G322" s="4"/>
      <c r="H322" s="4"/>
      <c r="I322" s="4"/>
      <c r="J322" s="4"/>
      <c r="K322" s="5"/>
    </row>
    <row r="323" spans="2:12" x14ac:dyDescent="0.35">
      <c r="B323" s="17" t="s">
        <v>141</v>
      </c>
      <c r="C323" s="3" t="s">
        <v>112</v>
      </c>
      <c r="D323" s="46">
        <v>1</v>
      </c>
      <c r="E323" s="10"/>
      <c r="F323" s="4"/>
      <c r="G323" s="4"/>
      <c r="H323" s="4"/>
      <c r="I323" s="4"/>
      <c r="J323" s="4"/>
      <c r="K323" s="5"/>
    </row>
    <row r="324" spans="2:12" ht="77.5" x14ac:dyDescent="0.35">
      <c r="B324" s="41" t="s">
        <v>90</v>
      </c>
      <c r="C324" s="3" t="s">
        <v>25</v>
      </c>
      <c r="D324" s="46">
        <f>((0.95+0.03+0.82)*3.14*2.4)+11.18+1.27+3.4</f>
        <v>29.414799999999996</v>
      </c>
      <c r="E324" s="10"/>
      <c r="F324" s="4"/>
      <c r="G324" s="4"/>
      <c r="H324" s="4"/>
      <c r="I324" s="4"/>
      <c r="J324" s="4"/>
      <c r="K324" s="5"/>
      <c r="L324" s="42" t="s">
        <v>89</v>
      </c>
    </row>
    <row r="325" spans="2:12" x14ac:dyDescent="0.35">
      <c r="B325" s="48" t="s">
        <v>143</v>
      </c>
      <c r="C325" s="3" t="s">
        <v>32</v>
      </c>
      <c r="D325" s="47">
        <v>1</v>
      </c>
      <c r="E325" s="44"/>
      <c r="F325" s="45"/>
      <c r="G325" s="45"/>
      <c r="H325" s="45"/>
      <c r="I325" s="45"/>
      <c r="J325" s="45"/>
      <c r="K325" s="5"/>
    </row>
    <row r="326" spans="2:12" x14ac:dyDescent="0.35">
      <c r="B326" s="17" t="s">
        <v>144</v>
      </c>
      <c r="C326" s="3" t="s">
        <v>31</v>
      </c>
      <c r="D326" s="47">
        <v>16.2</v>
      </c>
      <c r="E326" s="44"/>
      <c r="F326" s="45"/>
      <c r="G326" s="45"/>
      <c r="H326" s="45"/>
      <c r="I326" s="45"/>
      <c r="J326" s="45"/>
      <c r="K326" s="5"/>
    </row>
    <row r="327" spans="2:12" x14ac:dyDescent="0.35">
      <c r="B327" s="25" t="s">
        <v>93</v>
      </c>
      <c r="C327" s="3" t="s">
        <v>32</v>
      </c>
      <c r="D327" s="47">
        <v>1</v>
      </c>
      <c r="E327" s="44"/>
      <c r="F327" s="45"/>
      <c r="G327" s="45"/>
      <c r="H327" s="45"/>
      <c r="I327" s="45"/>
      <c r="J327" s="45"/>
      <c r="K327" s="5"/>
      <c r="L327" s="11"/>
    </row>
    <row r="328" spans="2:12" x14ac:dyDescent="0.35">
      <c r="B328" s="17" t="s">
        <v>94</v>
      </c>
      <c r="C328" s="3" t="s">
        <v>31</v>
      </c>
      <c r="D328" s="46">
        <v>0.8</v>
      </c>
      <c r="E328" s="44"/>
      <c r="F328" s="45"/>
      <c r="G328" s="45"/>
      <c r="H328" s="45"/>
      <c r="I328" s="45"/>
      <c r="J328" s="45"/>
      <c r="K328" s="5"/>
    </row>
    <row r="329" spans="2:12" x14ac:dyDescent="0.35">
      <c r="B329" s="25" t="s">
        <v>95</v>
      </c>
      <c r="C329" s="3" t="s">
        <v>32</v>
      </c>
      <c r="D329" s="47">
        <v>3</v>
      </c>
      <c r="E329" s="44"/>
      <c r="F329" s="45"/>
      <c r="G329" s="45"/>
      <c r="H329" s="45"/>
      <c r="I329" s="45"/>
      <c r="J329" s="45"/>
      <c r="K329" s="5"/>
    </row>
    <row r="330" spans="2:12" ht="33" x14ac:dyDescent="0.35">
      <c r="B330" s="25" t="s">
        <v>96</v>
      </c>
      <c r="C330" s="3" t="s">
        <v>26</v>
      </c>
      <c r="D330" s="46">
        <f>D306+D307-(0.57+0.59+7.4+0.32)</f>
        <v>153.25</v>
      </c>
      <c r="E330" s="44"/>
      <c r="F330" s="45"/>
      <c r="G330" s="45"/>
      <c r="H330" s="45"/>
      <c r="I330" s="45"/>
      <c r="J330" s="45"/>
      <c r="K330" s="5"/>
    </row>
    <row r="331" spans="2:12" x14ac:dyDescent="0.35">
      <c r="B331" s="43" t="s">
        <v>145</v>
      </c>
      <c r="C331" s="3" t="s">
        <v>32</v>
      </c>
      <c r="D331" s="46">
        <v>1</v>
      </c>
      <c r="E331" s="10"/>
      <c r="F331" s="4"/>
      <c r="G331" s="4"/>
      <c r="H331" s="4"/>
      <c r="I331" s="4"/>
      <c r="J331" s="4"/>
      <c r="K331" s="5"/>
    </row>
    <row r="332" spans="2:12" x14ac:dyDescent="0.35">
      <c r="B332" s="48" t="s">
        <v>33</v>
      </c>
      <c r="C332" s="3" t="s">
        <v>26</v>
      </c>
      <c r="D332" s="46">
        <v>118.81</v>
      </c>
      <c r="E332" s="10"/>
      <c r="F332" s="4"/>
      <c r="G332" s="4"/>
      <c r="H332" s="4"/>
      <c r="I332" s="4"/>
      <c r="J332" s="4"/>
      <c r="K332" s="5"/>
    </row>
    <row r="333" spans="2:12" x14ac:dyDescent="0.35">
      <c r="B333" s="48" t="s">
        <v>19</v>
      </c>
      <c r="C333" s="3" t="s">
        <v>26</v>
      </c>
      <c r="D333" s="46">
        <v>0.85</v>
      </c>
      <c r="E333" s="10"/>
      <c r="F333" s="4"/>
      <c r="G333" s="4"/>
      <c r="H333" s="4"/>
      <c r="I333" s="4"/>
      <c r="J333" s="4"/>
      <c r="K333" s="5"/>
    </row>
    <row r="334" spans="2:12" x14ac:dyDescent="0.35">
      <c r="B334" s="48" t="s">
        <v>67</v>
      </c>
      <c r="C334" s="3" t="s">
        <v>25</v>
      </c>
      <c r="D334" s="46">
        <v>3.8</v>
      </c>
      <c r="E334" s="10"/>
      <c r="F334" s="4"/>
      <c r="G334" s="4"/>
      <c r="H334" s="4"/>
      <c r="I334" s="4"/>
      <c r="J334" s="4"/>
      <c r="K334" s="5"/>
    </row>
    <row r="335" spans="2:12" x14ac:dyDescent="0.35">
      <c r="B335" s="48" t="s">
        <v>68</v>
      </c>
      <c r="C335" s="3" t="s">
        <v>26</v>
      </c>
      <c r="D335" s="46">
        <v>0.38</v>
      </c>
      <c r="E335" s="10"/>
      <c r="F335" s="4"/>
      <c r="G335" s="4"/>
      <c r="H335" s="4"/>
      <c r="I335" s="4"/>
      <c r="J335" s="4"/>
      <c r="K335" s="5"/>
    </row>
    <row r="336" spans="2:12" ht="46.5" x14ac:dyDescent="0.35">
      <c r="B336" s="48" t="s">
        <v>70</v>
      </c>
      <c r="C336" s="3" t="s">
        <v>25</v>
      </c>
      <c r="D336" s="46">
        <v>3.14</v>
      </c>
      <c r="E336" s="10"/>
      <c r="F336" s="4"/>
      <c r="G336" s="4"/>
      <c r="H336" s="4"/>
      <c r="I336" s="4"/>
      <c r="J336" s="4"/>
      <c r="K336" s="5"/>
    </row>
    <row r="337" spans="2:12" ht="31" x14ac:dyDescent="0.35">
      <c r="B337" s="48" t="s">
        <v>107</v>
      </c>
      <c r="C337" s="3" t="s">
        <v>32</v>
      </c>
      <c r="D337" s="46">
        <v>1</v>
      </c>
      <c r="E337" s="10"/>
      <c r="F337" s="4"/>
      <c r="G337" s="4"/>
      <c r="H337" s="4"/>
      <c r="I337" s="4"/>
      <c r="J337" s="4"/>
      <c r="K337" s="5"/>
    </row>
    <row r="338" spans="2:12" x14ac:dyDescent="0.35">
      <c r="B338" s="17" t="s">
        <v>108</v>
      </c>
      <c r="C338" s="3" t="s">
        <v>32</v>
      </c>
      <c r="D338" s="46">
        <v>1</v>
      </c>
      <c r="E338" s="10"/>
      <c r="F338" s="4"/>
      <c r="G338" s="4"/>
      <c r="H338" s="4"/>
      <c r="I338" s="4"/>
      <c r="J338" s="4"/>
      <c r="K338" s="5"/>
    </row>
    <row r="339" spans="2:12" x14ac:dyDescent="0.35">
      <c r="B339" s="17" t="s">
        <v>101</v>
      </c>
      <c r="C339" s="3" t="s">
        <v>26</v>
      </c>
      <c r="D339" s="46">
        <f>0.03*1.02</f>
        <v>3.0599999999999999E-2</v>
      </c>
      <c r="E339" s="10"/>
      <c r="F339" s="4"/>
      <c r="G339" s="4"/>
      <c r="H339" s="4"/>
      <c r="I339" s="4"/>
      <c r="J339" s="4"/>
      <c r="K339" s="5"/>
    </row>
    <row r="340" spans="2:12" ht="31" x14ac:dyDescent="0.35">
      <c r="B340" s="25" t="s">
        <v>74</v>
      </c>
      <c r="C340" s="3" t="s">
        <v>26</v>
      </c>
      <c r="D340" s="37">
        <v>1.2</v>
      </c>
      <c r="E340" s="10"/>
      <c r="F340" s="4"/>
      <c r="G340" s="4"/>
      <c r="H340" s="4"/>
      <c r="I340" s="4"/>
      <c r="J340" s="4"/>
      <c r="K340" s="5"/>
      <c r="L340" s="38" t="s">
        <v>73</v>
      </c>
    </row>
    <row r="341" spans="2:12" x14ac:dyDescent="0.35">
      <c r="B341" s="17" t="s">
        <v>75</v>
      </c>
      <c r="C341" s="3" t="s">
        <v>26</v>
      </c>
      <c r="D341" s="37">
        <f>D340*1.02</f>
        <v>1.224</v>
      </c>
      <c r="E341" s="10"/>
      <c r="F341" s="4"/>
      <c r="G341" s="4"/>
      <c r="H341" s="4"/>
      <c r="I341" s="4"/>
      <c r="J341" s="4"/>
      <c r="K341" s="5"/>
      <c r="L341" s="38"/>
    </row>
    <row r="342" spans="2:12" ht="31" x14ac:dyDescent="0.35">
      <c r="B342" s="25" t="s">
        <v>78</v>
      </c>
      <c r="C342" s="3" t="s">
        <v>32</v>
      </c>
      <c r="D342" s="46">
        <f>SUM(D343:D344)</f>
        <v>4</v>
      </c>
      <c r="E342" s="10"/>
      <c r="F342" s="4"/>
      <c r="G342" s="4"/>
      <c r="H342" s="4"/>
      <c r="I342" s="4"/>
      <c r="J342" s="4"/>
      <c r="K342" s="5"/>
    </row>
    <row r="343" spans="2:12" x14ac:dyDescent="0.35">
      <c r="B343" s="17" t="s">
        <v>109</v>
      </c>
      <c r="C343" s="3" t="s">
        <v>32</v>
      </c>
      <c r="D343" s="46">
        <v>2</v>
      </c>
      <c r="E343" s="10"/>
      <c r="F343" s="4"/>
      <c r="G343" s="4"/>
      <c r="H343" s="4"/>
      <c r="I343" s="4"/>
      <c r="J343" s="4"/>
      <c r="K343" s="5"/>
    </row>
    <row r="344" spans="2:12" x14ac:dyDescent="0.35">
      <c r="B344" s="40" t="s">
        <v>98</v>
      </c>
      <c r="C344" s="3" t="s">
        <v>32</v>
      </c>
      <c r="D344" s="37">
        <v>2</v>
      </c>
      <c r="E344" s="10"/>
      <c r="F344" s="4"/>
      <c r="G344" s="4"/>
      <c r="H344" s="4"/>
      <c r="I344" s="4"/>
      <c r="J344" s="4"/>
      <c r="K344" s="5"/>
      <c r="L344" s="38" t="s">
        <v>83</v>
      </c>
    </row>
    <row r="345" spans="2:12" ht="31" x14ac:dyDescent="0.35">
      <c r="B345" s="25" t="s">
        <v>85</v>
      </c>
      <c r="C345" s="3" t="s">
        <v>32</v>
      </c>
      <c r="D345" s="46">
        <v>1</v>
      </c>
      <c r="E345" s="10"/>
      <c r="F345" s="4"/>
      <c r="G345" s="4"/>
      <c r="H345" s="4"/>
      <c r="I345" s="4"/>
      <c r="J345" s="4"/>
      <c r="K345" s="5"/>
    </row>
    <row r="346" spans="2:12" x14ac:dyDescent="0.35">
      <c r="B346" s="17" t="s">
        <v>111</v>
      </c>
      <c r="C346" s="3" t="s">
        <v>32</v>
      </c>
      <c r="D346" s="46">
        <v>1</v>
      </c>
      <c r="E346" s="10"/>
      <c r="F346" s="4"/>
      <c r="G346" s="4"/>
      <c r="H346" s="4"/>
      <c r="I346" s="4"/>
      <c r="J346" s="4"/>
      <c r="K346" s="5"/>
    </row>
    <row r="347" spans="2:12" ht="31" x14ac:dyDescent="0.35">
      <c r="B347" s="25" t="s">
        <v>142</v>
      </c>
      <c r="C347" s="3" t="s">
        <v>112</v>
      </c>
      <c r="D347" s="46">
        <v>1</v>
      </c>
      <c r="E347" s="10"/>
      <c r="F347" s="4"/>
      <c r="G347" s="4"/>
      <c r="H347" s="4"/>
      <c r="I347" s="4"/>
      <c r="J347" s="4"/>
      <c r="K347" s="5"/>
    </row>
    <row r="348" spans="2:12" x14ac:dyDescent="0.35">
      <c r="B348" s="17" t="s">
        <v>141</v>
      </c>
      <c r="C348" s="3" t="s">
        <v>112</v>
      </c>
      <c r="D348" s="46">
        <v>1</v>
      </c>
      <c r="E348" s="10"/>
      <c r="F348" s="4"/>
      <c r="G348" s="4"/>
      <c r="H348" s="4"/>
      <c r="I348" s="4"/>
      <c r="J348" s="4"/>
      <c r="K348" s="5"/>
    </row>
    <row r="349" spans="2:12" ht="77.5" x14ac:dyDescent="0.35">
      <c r="B349" s="41" t="s">
        <v>90</v>
      </c>
      <c r="C349" s="3" t="s">
        <v>25</v>
      </c>
      <c r="D349" s="46">
        <f>((0.95+0.03+0.082)*3.14*1.9)+8.38+0.64+2.78+(1.615*0.12*4)+(1.615*1.615)</f>
        <v>21.519317000000004</v>
      </c>
      <c r="E349" s="10"/>
      <c r="F349" s="4"/>
      <c r="G349" s="4"/>
      <c r="H349" s="4"/>
      <c r="I349" s="4"/>
      <c r="J349" s="4"/>
      <c r="K349" s="5"/>
      <c r="L349" s="42" t="s">
        <v>89</v>
      </c>
    </row>
    <row r="350" spans="2:12" x14ac:dyDescent="0.35">
      <c r="B350" s="48" t="s">
        <v>143</v>
      </c>
      <c r="C350" s="3" t="s">
        <v>32</v>
      </c>
      <c r="D350" s="47">
        <v>1</v>
      </c>
      <c r="E350" s="44"/>
      <c r="F350" s="45"/>
      <c r="G350" s="45"/>
      <c r="H350" s="45"/>
      <c r="I350" s="45"/>
      <c r="J350" s="45"/>
      <c r="K350" s="5"/>
    </row>
    <row r="351" spans="2:12" x14ac:dyDescent="0.35">
      <c r="B351" s="17" t="s">
        <v>144</v>
      </c>
      <c r="C351" s="3" t="s">
        <v>31</v>
      </c>
      <c r="D351" s="47">
        <v>16.2</v>
      </c>
      <c r="E351" s="44"/>
      <c r="F351" s="45"/>
      <c r="G351" s="45"/>
      <c r="H351" s="45"/>
      <c r="I351" s="45"/>
      <c r="J351" s="45"/>
      <c r="K351" s="5"/>
    </row>
    <row r="352" spans="2:12" x14ac:dyDescent="0.35">
      <c r="B352" s="25" t="s">
        <v>95</v>
      </c>
      <c r="C352" s="3" t="s">
        <v>32</v>
      </c>
      <c r="D352" s="47">
        <v>2</v>
      </c>
      <c r="E352" s="44"/>
      <c r="F352" s="45"/>
      <c r="G352" s="45"/>
      <c r="H352" s="45"/>
      <c r="I352" s="45"/>
      <c r="J352" s="45"/>
      <c r="K352" s="5"/>
    </row>
    <row r="353" spans="2:11" ht="33" x14ac:dyDescent="0.35">
      <c r="B353" s="25" t="s">
        <v>96</v>
      </c>
      <c r="C353" s="3" t="s">
        <v>26</v>
      </c>
      <c r="D353" s="46">
        <f>D332+D333-(0.38+0.38+4.3+0.28)</f>
        <v>114.32</v>
      </c>
      <c r="E353" s="44"/>
      <c r="F353" s="45"/>
      <c r="G353" s="45"/>
      <c r="H353" s="45"/>
      <c r="I353" s="45"/>
      <c r="J353" s="45"/>
      <c r="K353" s="5"/>
    </row>
  </sheetData>
  <autoFilter ref="A10:Q330" xr:uid="{00000000-0001-0000-0000-000000000000}"/>
  <mergeCells count="11">
    <mergeCell ref="A6:N6"/>
    <mergeCell ref="A5:N5"/>
    <mergeCell ref="H7:J7"/>
    <mergeCell ref="K7:K9"/>
    <mergeCell ref="E8:G8"/>
    <mergeCell ref="H8:J8"/>
    <mergeCell ref="A7:A9"/>
    <mergeCell ref="B7:B9"/>
    <mergeCell ref="C7:C9"/>
    <mergeCell ref="D7:D9"/>
    <mergeCell ref="E7:G7"/>
  </mergeCells>
  <phoneticPr fontId="1" type="noConversion"/>
  <pageMargins left="0.25" right="0.25" top="0.75" bottom="0.75" header="0.3" footer="0.3"/>
  <pageSetup paperSize="9" scale="9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A1618-B985-410D-A134-3D628BFE448A}">
  <dimension ref="C8:F36"/>
  <sheetViews>
    <sheetView workbookViewId="0">
      <selection activeCell="K23" sqref="K23"/>
    </sheetView>
  </sheetViews>
  <sheetFormatPr defaultRowHeight="14.5" x14ac:dyDescent="0.35"/>
  <cols>
    <col min="3" max="3" width="14.90625" customWidth="1"/>
  </cols>
  <sheetData>
    <row r="8" spans="3:6" x14ac:dyDescent="0.35">
      <c r="C8" t="s">
        <v>21</v>
      </c>
      <c r="D8" t="s">
        <v>15</v>
      </c>
      <c r="E8" t="s">
        <v>22</v>
      </c>
      <c r="F8" t="s">
        <v>23</v>
      </c>
    </row>
    <row r="9" spans="3:6" x14ac:dyDescent="0.35">
      <c r="C9">
        <v>5.6</v>
      </c>
      <c r="D9">
        <f>C9*E9</f>
        <v>9.5200000000000007E-2</v>
      </c>
      <c r="E9">
        <v>1.7000000000000001E-2</v>
      </c>
      <c r="F9">
        <f>SQRT(((C9*C9)+(D9*D9)))</f>
        <v>5.6008091415437464</v>
      </c>
    </row>
    <row r="10" spans="3:6" x14ac:dyDescent="0.35">
      <c r="D10">
        <f t="shared" ref="D10:D36" si="0">C10*E10</f>
        <v>0</v>
      </c>
      <c r="F10">
        <f t="shared" ref="F10:F36" si="1">SQRT(((C10*C10)+(D10*D10)))</f>
        <v>0</v>
      </c>
    </row>
    <row r="11" spans="3:6" x14ac:dyDescent="0.35">
      <c r="D11">
        <f t="shared" si="0"/>
        <v>0</v>
      </c>
      <c r="F11">
        <f t="shared" si="1"/>
        <v>0</v>
      </c>
    </row>
    <row r="12" spans="3:6" x14ac:dyDescent="0.35">
      <c r="D12">
        <f t="shared" si="0"/>
        <v>0</v>
      </c>
      <c r="F12">
        <f t="shared" si="1"/>
        <v>0</v>
      </c>
    </row>
    <row r="13" spans="3:6" x14ac:dyDescent="0.35">
      <c r="D13">
        <f t="shared" si="0"/>
        <v>0</v>
      </c>
      <c r="F13">
        <f t="shared" si="1"/>
        <v>0</v>
      </c>
    </row>
    <row r="14" spans="3:6" x14ac:dyDescent="0.35">
      <c r="D14">
        <f t="shared" si="0"/>
        <v>0</v>
      </c>
      <c r="F14">
        <f t="shared" si="1"/>
        <v>0</v>
      </c>
    </row>
    <row r="15" spans="3:6" x14ac:dyDescent="0.35">
      <c r="D15">
        <f t="shared" si="0"/>
        <v>0</v>
      </c>
      <c r="F15">
        <f t="shared" si="1"/>
        <v>0</v>
      </c>
    </row>
    <row r="16" spans="3:6" x14ac:dyDescent="0.35">
      <c r="D16">
        <f t="shared" si="0"/>
        <v>0</v>
      </c>
      <c r="F16">
        <f t="shared" si="1"/>
        <v>0</v>
      </c>
    </row>
    <row r="17" spans="4:6" x14ac:dyDescent="0.35">
      <c r="D17">
        <f t="shared" si="0"/>
        <v>0</v>
      </c>
      <c r="F17">
        <f t="shared" si="1"/>
        <v>0</v>
      </c>
    </row>
    <row r="18" spans="4:6" x14ac:dyDescent="0.35">
      <c r="D18">
        <f t="shared" si="0"/>
        <v>0</v>
      </c>
      <c r="F18">
        <f t="shared" si="1"/>
        <v>0</v>
      </c>
    </row>
    <row r="19" spans="4:6" x14ac:dyDescent="0.35">
      <c r="D19">
        <f t="shared" si="0"/>
        <v>0</v>
      </c>
      <c r="F19">
        <f t="shared" si="1"/>
        <v>0</v>
      </c>
    </row>
    <row r="20" spans="4:6" x14ac:dyDescent="0.35">
      <c r="D20">
        <f t="shared" si="0"/>
        <v>0</v>
      </c>
      <c r="F20">
        <f t="shared" si="1"/>
        <v>0</v>
      </c>
    </row>
    <row r="21" spans="4:6" x14ac:dyDescent="0.35">
      <c r="D21">
        <f t="shared" si="0"/>
        <v>0</v>
      </c>
      <c r="F21">
        <f t="shared" si="1"/>
        <v>0</v>
      </c>
    </row>
    <row r="22" spans="4:6" x14ac:dyDescent="0.35">
      <c r="D22">
        <f t="shared" si="0"/>
        <v>0</v>
      </c>
      <c r="F22">
        <f t="shared" si="1"/>
        <v>0</v>
      </c>
    </row>
    <row r="23" spans="4:6" x14ac:dyDescent="0.35">
      <c r="D23">
        <f t="shared" si="0"/>
        <v>0</v>
      </c>
      <c r="F23">
        <f t="shared" si="1"/>
        <v>0</v>
      </c>
    </row>
    <row r="24" spans="4:6" x14ac:dyDescent="0.35">
      <c r="D24">
        <f t="shared" si="0"/>
        <v>0</v>
      </c>
      <c r="F24">
        <f t="shared" si="1"/>
        <v>0</v>
      </c>
    </row>
    <row r="25" spans="4:6" x14ac:dyDescent="0.35">
      <c r="D25">
        <f t="shared" si="0"/>
        <v>0</v>
      </c>
      <c r="F25">
        <f t="shared" si="1"/>
        <v>0</v>
      </c>
    </row>
    <row r="26" spans="4:6" x14ac:dyDescent="0.35">
      <c r="D26">
        <f t="shared" si="0"/>
        <v>0</v>
      </c>
      <c r="F26">
        <f t="shared" si="1"/>
        <v>0</v>
      </c>
    </row>
    <row r="27" spans="4:6" x14ac:dyDescent="0.35">
      <c r="D27">
        <f t="shared" si="0"/>
        <v>0</v>
      </c>
      <c r="F27">
        <f t="shared" si="1"/>
        <v>0</v>
      </c>
    </row>
    <row r="28" spans="4:6" x14ac:dyDescent="0.35">
      <c r="D28">
        <f t="shared" si="0"/>
        <v>0</v>
      </c>
      <c r="F28">
        <f t="shared" si="1"/>
        <v>0</v>
      </c>
    </row>
    <row r="29" spans="4:6" x14ac:dyDescent="0.35">
      <c r="D29">
        <f t="shared" si="0"/>
        <v>0</v>
      </c>
      <c r="F29">
        <f t="shared" si="1"/>
        <v>0</v>
      </c>
    </row>
    <row r="30" spans="4:6" x14ac:dyDescent="0.35">
      <c r="D30">
        <f t="shared" si="0"/>
        <v>0</v>
      </c>
      <c r="F30">
        <f t="shared" si="1"/>
        <v>0</v>
      </c>
    </row>
    <row r="31" spans="4:6" x14ac:dyDescent="0.35">
      <c r="D31">
        <f t="shared" si="0"/>
        <v>0</v>
      </c>
      <c r="F31">
        <f t="shared" si="1"/>
        <v>0</v>
      </c>
    </row>
    <row r="32" spans="4:6" x14ac:dyDescent="0.35">
      <c r="D32">
        <f t="shared" si="0"/>
        <v>0</v>
      </c>
      <c r="F32">
        <f t="shared" si="1"/>
        <v>0</v>
      </c>
    </row>
    <row r="33" spans="4:6" x14ac:dyDescent="0.35">
      <c r="D33">
        <f t="shared" si="0"/>
        <v>0</v>
      </c>
      <c r="F33">
        <f t="shared" si="1"/>
        <v>0</v>
      </c>
    </row>
    <row r="34" spans="4:6" x14ac:dyDescent="0.35">
      <c r="D34">
        <f t="shared" si="0"/>
        <v>0</v>
      </c>
      <c r="F34">
        <f t="shared" si="1"/>
        <v>0</v>
      </c>
    </row>
    <row r="35" spans="4:6" x14ac:dyDescent="0.35">
      <c r="D35">
        <f t="shared" si="0"/>
        <v>0</v>
      </c>
      <c r="F35">
        <f t="shared" si="1"/>
        <v>0</v>
      </c>
    </row>
    <row r="36" spans="4:6" x14ac:dyDescent="0.35">
      <c r="D36">
        <f t="shared" si="0"/>
        <v>0</v>
      </c>
      <c r="F36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№1 ВОР  24.12 (2)</vt:lpstr>
      <vt:lpstr>№1 ВОР  24.12</vt:lpstr>
      <vt:lpstr>Ведомость материалов</vt:lpstr>
      <vt:lpstr>№1 ВОР </vt:lpstr>
      <vt:lpstr>Лист1</vt:lpstr>
      <vt:lpstr>'№1 ВОР '!Область_печати</vt:lpstr>
      <vt:lpstr>'№1 ВОР  24.12'!Область_печати</vt:lpstr>
      <vt:lpstr>'№1 ВОР  24.12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2025-01-24T13:40:07Z</cp:lastPrinted>
  <dcterms:created xsi:type="dcterms:W3CDTF">2015-06-05T18:19:34Z</dcterms:created>
  <dcterms:modified xsi:type="dcterms:W3CDTF">2025-01-24T13:40:10Z</dcterms:modified>
</cp:coreProperties>
</file>