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2935" yWindow="-105" windowWidth="23250" windowHeight="12570"/>
  </bookViews>
  <sheets>
    <sheet name="Sheet1 (2)" sheetId="2" r:id="rId1"/>
  </sheets>
  <calcPr calcId="125725" refMode="R1C1"/>
</workbook>
</file>

<file path=xl/calcChain.xml><?xml version="1.0" encoding="utf-8"?>
<calcChain xmlns="http://schemas.openxmlformats.org/spreadsheetml/2006/main">
  <c r="F375" i="2"/>
  <c r="I371"/>
  <c r="I360"/>
  <c r="I353"/>
  <c r="D342"/>
  <c r="D341"/>
  <c r="D340"/>
  <c r="D339"/>
  <c r="D338"/>
  <c r="D337"/>
  <c r="D330"/>
  <c r="D329"/>
  <c r="D328"/>
  <c r="D327"/>
  <c r="D326"/>
  <c r="D325"/>
  <c r="E320"/>
  <c r="E319"/>
  <c r="D320"/>
  <c r="D319"/>
  <c r="E302"/>
  <c r="D302"/>
  <c r="E301"/>
  <c r="D301"/>
  <c r="E287"/>
  <c r="E286"/>
  <c r="E285"/>
  <c r="G274"/>
  <c r="G273"/>
  <c r="G272"/>
  <c r="G271"/>
  <c r="G270"/>
  <c r="G269"/>
  <c r="G268"/>
  <c r="G267"/>
  <c r="G256"/>
  <c r="G255"/>
  <c r="G254"/>
  <c r="F256"/>
  <c r="F255"/>
  <c r="F254"/>
  <c r="E256"/>
  <c r="E255"/>
  <c r="E254"/>
  <c r="D256"/>
  <c r="D255"/>
  <c r="D254"/>
  <c r="G200"/>
  <c r="G199"/>
  <c r="G198"/>
  <c r="G197"/>
  <c r="G196"/>
  <c r="G195"/>
  <c r="G194"/>
  <c r="G193"/>
  <c r="G192"/>
  <c r="G191"/>
  <c r="F200"/>
  <c r="F199"/>
  <c r="F198"/>
  <c r="F197"/>
  <c r="F196"/>
  <c r="F195"/>
  <c r="F194"/>
  <c r="F193"/>
  <c r="F192"/>
  <c r="F191"/>
  <c r="E200"/>
  <c r="E199"/>
  <c r="E198"/>
  <c r="E197"/>
  <c r="E196"/>
  <c r="E195"/>
  <c r="E194"/>
  <c r="E193"/>
  <c r="E192"/>
  <c r="E191"/>
  <c r="D200"/>
  <c r="D199"/>
  <c r="D198"/>
  <c r="D197"/>
  <c r="D196"/>
  <c r="D195"/>
  <c r="D194"/>
  <c r="D193"/>
  <c r="D192"/>
  <c r="D191"/>
  <c r="E179"/>
  <c r="E178"/>
  <c r="E177"/>
  <c r="E176"/>
  <c r="E175"/>
  <c r="E174"/>
  <c r="E173"/>
  <c r="E172"/>
  <c r="D179"/>
  <c r="D178"/>
  <c r="D177"/>
  <c r="D176"/>
  <c r="D175"/>
  <c r="D174"/>
  <c r="D173"/>
  <c r="D172"/>
  <c r="E162"/>
  <c r="E161"/>
  <c r="E160"/>
  <c r="E159"/>
  <c r="E158"/>
  <c r="E157"/>
  <c r="E156"/>
  <c r="E155"/>
  <c r="D162"/>
  <c r="D161"/>
  <c r="D160"/>
  <c r="D159"/>
  <c r="D158"/>
  <c r="D157"/>
  <c r="D156"/>
  <c r="D155"/>
  <c r="I162" l="1"/>
  <c r="I179"/>
  <c r="I200"/>
  <c r="I256"/>
  <c r="I274"/>
  <c r="I287"/>
  <c r="I330"/>
  <c r="I342"/>
  <c r="I302"/>
  <c r="I320"/>
  <c r="E123"/>
  <c r="E147"/>
  <c r="E146"/>
  <c r="E145"/>
  <c r="E144"/>
  <c r="E143"/>
  <c r="E142"/>
  <c r="F125"/>
  <c r="F124"/>
  <c r="F123"/>
  <c r="F122"/>
  <c r="F121"/>
  <c r="F120"/>
  <c r="F119"/>
  <c r="E125"/>
  <c r="E124"/>
  <c r="E122"/>
  <c r="E121"/>
  <c r="E120"/>
  <c r="E119"/>
  <c r="D110"/>
  <c r="I110" s="1"/>
  <c r="I125" l="1"/>
  <c r="I147"/>
  <c r="G234"/>
  <c r="G233"/>
  <c r="F234"/>
  <c r="F233"/>
  <c r="E234"/>
  <c r="E233"/>
  <c r="D234"/>
  <c r="D233"/>
  <c r="G222"/>
  <c r="G221"/>
  <c r="F222"/>
  <c r="F221"/>
  <c r="E222"/>
  <c r="E221"/>
  <c r="D222"/>
  <c r="D221"/>
  <c r="I222" l="1"/>
  <c r="I234"/>
  <c r="E98"/>
  <c r="E97"/>
  <c r="E96"/>
  <c r="E95"/>
  <c r="E94"/>
  <c r="E93"/>
  <c r="E92"/>
  <c r="E91"/>
  <c r="D98"/>
  <c r="D97"/>
  <c r="D96"/>
  <c r="D95"/>
  <c r="D94"/>
  <c r="D93"/>
  <c r="D92"/>
  <c r="D91"/>
  <c r="E90"/>
  <c r="D90"/>
  <c r="D81"/>
  <c r="D80"/>
  <c r="D79"/>
  <c r="D78"/>
  <c r="D77"/>
  <c r="D76"/>
  <c r="D75"/>
  <c r="D68"/>
  <c r="D67"/>
  <c r="D66"/>
  <c r="D65"/>
  <c r="D64"/>
  <c r="D63"/>
  <c r="D62"/>
  <c r="D61"/>
  <c r="D60"/>
  <c r="E65"/>
  <c r="E64"/>
  <c r="E63"/>
  <c r="E62"/>
  <c r="E61"/>
  <c r="E60"/>
  <c r="E59"/>
  <c r="E58"/>
  <c r="E57"/>
  <c r="D59"/>
  <c r="D58"/>
  <c r="D57"/>
  <c r="E47"/>
  <c r="E46"/>
  <c r="E45"/>
  <c r="E44"/>
  <c r="E43"/>
  <c r="E42"/>
  <c r="E41"/>
  <c r="E40"/>
  <c r="E39"/>
  <c r="E38"/>
  <c r="E37"/>
  <c r="D47"/>
  <c r="D46"/>
  <c r="D45"/>
  <c r="D44"/>
  <c r="D43"/>
  <c r="D42"/>
  <c r="D41"/>
  <c r="D40"/>
  <c r="D39"/>
  <c r="D38"/>
  <c r="D37"/>
  <c r="D20"/>
  <c r="I20" s="1"/>
  <c r="D8"/>
  <c r="I8" s="1"/>
  <c r="I47" l="1"/>
  <c r="I81"/>
  <c r="I68"/>
  <c r="I98"/>
  <c r="I374" l="1"/>
  <c r="I375" s="1"/>
</calcChain>
</file>

<file path=xl/sharedStrings.xml><?xml version="1.0" encoding="utf-8"?>
<sst xmlns="http://schemas.openxmlformats.org/spreadsheetml/2006/main" count="557" uniqueCount="358">
  <si>
    <t>1.1</t>
  </si>
  <si>
    <t>2.1</t>
  </si>
  <si>
    <t>В таблице 1  учтены стоимость оборудования (коммутационное</t>
  </si>
  <si>
    <t>Монтаж ячейки двухобмоточного трансформатора 6 - 35 кВ</t>
  </si>
  <si>
    <t>сухой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</si>
  <si>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</si>
  <si>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</si>
  <si>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</si>
  <si>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</si>
  <si>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</si>
  <si>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</si>
  <si>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</si>
  <si>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</si>
  <si>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</si>
  <si>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</si>
  <si>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</si>
  <si>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</si>
  <si>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</si>
  <si>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</si>
  <si>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</si>
  <si>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</si>
  <si>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</si>
  <si>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</si>
  <si>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</si>
  <si>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</si>
  <si>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Монтаж КТП мачтового (шкафного, столбового) типа с одним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</si>
  <si>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</si>
  <si>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</si>
  <si>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</si>
  <si>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</si>
  <si>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</si>
  <si>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</si>
  <si>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</si>
  <si>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</si>
  <si>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</si>
  <si>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В таблицах 4-6 учтены стоимость оборудования (КТП, в том числе</t>
  </si>
  <si>
    <t>Норматив цены для отдельных элементов в составе расценки, тыс, руб</t>
  </si>
  <si>
    <t>7.1</t>
  </si>
  <si>
    <t>Номер расценок</t>
  </si>
  <si>
    <t>Монтаж КЛ 6 - 10 кВ (с алюминиевой жилой)</t>
  </si>
  <si>
    <t>Монтаж ячейки выключателя РП, СП, ТП, РТП типа КСО 6 - 10 кВ</t>
  </si>
  <si>
    <t>6-10</t>
  </si>
  <si>
    <t>Монтаж КТП блочного типа (бетонные, сэндвич-панели) 6 - 10 кВ</t>
  </si>
  <si>
    <t>трансформатором 6 - 10 кВ</t>
  </si>
  <si>
    <t>Монтаж КТП киоскового типа 6 - 10 кВ</t>
  </si>
  <si>
    <t>6(10)/НН</t>
  </si>
  <si>
    <t>Монтаж автоматического пункта секционирования 6 - 10 кВ</t>
  </si>
  <si>
    <t>Норматив цены для отдельных элементов в составе расценки, тыс. руб</t>
  </si>
  <si>
    <t>Монтаж КЛ 6 - 10 кВ (с медной жилой)</t>
  </si>
  <si>
    <t>8.1</t>
  </si>
  <si>
    <t>8.2</t>
  </si>
  <si>
    <t>8.3</t>
  </si>
  <si>
    <t>8.4</t>
  </si>
  <si>
    <t>8.5</t>
  </si>
  <si>
    <t>8.6</t>
  </si>
  <si>
    <t>8.7</t>
  </si>
  <si>
    <t>Монтаж КЛ 0,4 кВ</t>
  </si>
  <si>
    <t>9.1</t>
  </si>
  <si>
    <t>9.2</t>
  </si>
  <si>
    <t>9.3</t>
  </si>
  <si>
    <t>9.4</t>
  </si>
  <si>
    <t>9.5</t>
  </si>
  <si>
    <t>9.6</t>
  </si>
  <si>
    <t>10.1</t>
  </si>
  <si>
    <t>10.2</t>
  </si>
  <si>
    <t>благоустройство по трассе без учета восстановления газонов</t>
  </si>
  <si>
    <t>благоустройство по трассе с учета восстановления газонов</t>
  </si>
  <si>
    <t>Напряжение, кВ</t>
  </si>
  <si>
    <t>11.1</t>
  </si>
  <si>
    <t>11.2</t>
  </si>
  <si>
    <t>Устройство траншеи КЛ с и восстановление благоустройства по трассе</t>
  </si>
  <si>
    <t>Устройство траншеи КЛ с укладкой труб и восстановление благоустройства по трассе</t>
  </si>
  <si>
    <t>Норматив цены, тыс. руб</t>
  </si>
  <si>
    <t>Класс напряжения обмоток ВН/НН, кВ</t>
  </si>
  <si>
    <t>Мощность, кВА</t>
  </si>
  <si>
    <t>Вид трансформатора</t>
  </si>
  <si>
    <t>масляный</t>
  </si>
  <si>
    <t>16</t>
  </si>
  <si>
    <t>25</t>
  </si>
  <si>
    <t>40</t>
  </si>
  <si>
    <t>63</t>
  </si>
  <si>
    <t>100</t>
  </si>
  <si>
    <t>160</t>
  </si>
  <si>
    <t>250</t>
  </si>
  <si>
    <t>630</t>
  </si>
  <si>
    <t>1000</t>
  </si>
  <si>
    <t>1250</t>
  </si>
  <si>
    <t>1600</t>
  </si>
  <si>
    <t>2000</t>
  </si>
  <si>
    <t>2500</t>
  </si>
  <si>
    <t>3150</t>
  </si>
  <si>
    <t>1</t>
  </si>
  <si>
    <t>2</t>
  </si>
  <si>
    <t>Количество трансформаторов, шт.</t>
  </si>
  <si>
    <t>400</t>
  </si>
  <si>
    <t>4000</t>
  </si>
  <si>
    <t>Номинальный ток, А</t>
  </si>
  <si>
    <t>3</t>
  </si>
  <si>
    <t>Номинальный ток отключения, кА</t>
  </si>
  <si>
    <t>20</t>
  </si>
  <si>
    <t>35</t>
  </si>
  <si>
    <t>4</t>
  </si>
  <si>
    <t>алюминиевая (медная) жила</t>
  </si>
  <si>
    <t>алюминий</t>
  </si>
  <si>
    <t>медь</t>
  </si>
  <si>
    <t>Количество жил, шт.</t>
  </si>
  <si>
    <t>5</t>
  </si>
  <si>
    <t>50</t>
  </si>
  <si>
    <t>75</t>
  </si>
  <si>
    <t>95</t>
  </si>
  <si>
    <t>120</t>
  </si>
  <si>
    <t>150</t>
  </si>
  <si>
    <t>185</t>
  </si>
  <si>
    <t>240</t>
  </si>
  <si>
    <t>0,4</t>
  </si>
  <si>
    <t>Количество прокладываемых цепей КЛ</t>
  </si>
  <si>
    <t>одна цепь</t>
  </si>
  <si>
    <t>две цепи</t>
  </si>
  <si>
    <t>6-15</t>
  </si>
  <si>
    <t>Измеритель: 1 ячейка</t>
  </si>
  <si>
    <t>устройство, ОПН, трансформаторы собственных нужд, шкаф управления с</t>
  </si>
  <si>
    <t>микропроцессорным устройством, РЗА), стоимость строительно-монтажных работ с</t>
  </si>
  <si>
    <t>учетом стоимости используемого материала (установка металлоконструкций,</t>
  </si>
  <si>
    <t>ошиновки, заземления), а также сопутствующие затраты.</t>
  </si>
  <si>
    <t>Измеритель: 1 ед.</t>
  </si>
  <si>
    <t>КТП встроенного типа, приборы измерения, линейный разъединитель, силовые сборки),</t>
  </si>
  <si>
    <t>стоимость строительно-монтажных работ с учетом стоимости используемого материала</t>
  </si>
  <si>
    <t>(устройство фундаментов, монтаж здания с инженерными системами, устройство</t>
  </si>
  <si>
    <t>заземления), стоимость подготовки и устройства территории, а также сопутствующие</t>
  </si>
  <si>
    <t>стоимость оборудования (ячейка с выключателем, оборудование РЗА, приборы</t>
  </si>
  <si>
    <t>учета и измерения электрической энергии), стоимость монтажных работ с учетом</t>
  </si>
  <si>
    <t>стоимости используемого материала (в том числе устройство металлоконструкций,</t>
  </si>
  <si>
    <t>ошиновки, кабельного хозяйства, заземления), а также сопутствующие затраты,</t>
  </si>
  <si>
    <t>оборудование РЗА с применением одного терминала защиты и автоматики</t>
  </si>
  <si>
    <t>отходящих линий 6 - 35 кВ (расценка И11-140 из таблицы И11) на одно присоединение.</t>
  </si>
  <si>
    <t>Учет применения большего количества терминалов защит на одно присоединение</t>
  </si>
  <si>
    <t>осуществляется путем выбора дополнительных расценок УНЦ РЗА (таблица И11) для</t>
  </si>
  <si>
    <t>Измеритель: 1 км по трассе</t>
  </si>
  <si>
    <t>6</t>
  </si>
  <si>
    <t>70</t>
  </si>
  <si>
    <r>
      <t>Сечение жилы, мм</t>
    </r>
    <r>
      <rPr>
        <vertAlign val="superscript"/>
        <sz val="12"/>
        <rFont val="Times New Roman"/>
        <family val="1"/>
        <charset val="204"/>
      </rPr>
      <t>2</t>
    </r>
  </si>
  <si>
    <t>стоимость кабельной арматуры (концевых и соединительных муфт), стоимость</t>
  </si>
  <si>
    <t>строительно-монтажных работ по прокладке кабеля (в том числе прокладка по</t>
  </si>
  <si>
    <t>металлоконструкциям) и установке кабельной арматуры, а также сопутствующие</t>
  </si>
  <si>
    <t>затраты.</t>
  </si>
  <si>
    <t>перемычки) на 3 фазы.</t>
  </si>
  <si>
    <t>крепление траншей инвентарными щитами, подсыпка и присыпка песчано-гравийной</t>
  </si>
  <si>
    <t>смесью, покрытие кабеля кирпичом или плитой для закрытия кабеля, засыпка траншеи,</t>
  </si>
  <si>
    <t>уплотнение грунта, перевозка грунта, вырубка кустарников и мелколесья), затраты на</t>
  </si>
  <si>
    <t>вывоз мусора, затраты по прокладке труб для защиты кабеля, затраты по креплению</t>
  </si>
  <si>
    <t>траншеи забирками, а также сопутствующие затраты.</t>
  </si>
  <si>
    <t>Измеритель: 1 км</t>
  </si>
  <si>
    <t>материалов, затраты по прокладке труб для защиты кабеля, а также сопутствующие</t>
  </si>
  <si>
    <t>Измеритель: 1 м по трассе</t>
  </si>
  <si>
    <t>' прокладки трехфазных кабелей с учетом стоимости материалов, а также сопутствующие</t>
  </si>
  <si>
    <t>укладки защитной термостойкой трубы с учетом стоимости материалов, а также</t>
  </si>
  <si>
    <t>сопутствующие затраты.</t>
  </si>
  <si>
    <t>Измеритель: 1 км ВЛ</t>
  </si>
  <si>
    <t>сооружаемой ВЛ с учетом стоимости используемого материала (устройство</t>
  </si>
  <si>
    <t>фундаментов опор, гирлянд изоляторов, арматуры и крепления, устройств защиты от</t>
  </si>
  <si>
    <t>стоимости используемого материала, а также сопутствующие затраты.</t>
  </si>
  <si>
    <t>110</t>
  </si>
  <si>
    <t>Измеритель: 1 объект</t>
  </si>
  <si>
    <t>12.1</t>
  </si>
  <si>
    <t>12.2</t>
  </si>
  <si>
    <t>которые следует отдельно</t>
  </si>
  <si>
    <t>Выполнения специального перехода кабельной линии методом ГНБ</t>
  </si>
  <si>
    <t>Диаметр трубы, мм</t>
  </si>
  <si>
    <t>Количество труб, шт.</t>
  </si>
  <si>
    <t>225</t>
  </si>
  <si>
    <t>13.1</t>
  </si>
  <si>
    <t>13.2</t>
  </si>
  <si>
    <t>Устройство кабельных сооружений для прокладки кабельной линии</t>
  </si>
  <si>
    <t>Наименование</t>
  </si>
  <si>
    <t>Металлические лотки и короба</t>
  </si>
  <si>
    <t>Железобетонные лотки</t>
  </si>
  <si>
    <t>Кабельные каналы</t>
  </si>
  <si>
    <t>Кабельная эстакада (галерея, туннель)</t>
  </si>
  <si>
    <t>Кабельный коллектор размерами 2,5 х 3,0 м неглубокого заложения</t>
  </si>
  <si>
    <t>Кабельный коллектор диаметром 1,5 м глубокого заложения</t>
  </si>
  <si>
    <t>Кабельный коллектор диаметром 3,25 м глубокого заложения</t>
  </si>
  <si>
    <t>Кабельный коллектор диаметром 4,1 м глубокого заложения</t>
  </si>
  <si>
    <t>14.1</t>
  </si>
  <si>
    <t>14.2</t>
  </si>
  <si>
    <t>Устройство кабельного сооружения с трубами</t>
  </si>
  <si>
    <t>90-140</t>
  </si>
  <si>
    <t>160-200</t>
  </si>
  <si>
    <t>15.1</t>
  </si>
  <si>
    <t>15.2</t>
  </si>
  <si>
    <t>225-300</t>
  </si>
  <si>
    <t>Монтаж ВЛ 0,4 - 10 кВ на строительно-монтажные работы без опор и провода</t>
  </si>
  <si>
    <t>16.1</t>
  </si>
  <si>
    <t>16.2</t>
  </si>
  <si>
    <t>Норматив цены для отдельных элементов в составе расценки, тыс. руб.</t>
  </si>
  <si>
    <t>Тип опор и количество цепей</t>
  </si>
  <si>
    <t>одноцепная, все типы опор за исключением многогранных</t>
  </si>
  <si>
    <t>двухцепная, все типы опор за исключением многогранных</t>
  </si>
  <si>
    <t>перенапряжений для ВЛ, установка и заземление опор), а также сопутствующие затраты.</t>
  </si>
  <si>
    <t>17.1</t>
  </si>
  <si>
    <t>17.2</t>
  </si>
  <si>
    <t>до 70</t>
  </si>
  <si>
    <r>
      <t>Сечение фазного провода, мм</t>
    </r>
    <r>
      <rPr>
        <vertAlign val="superscript"/>
        <sz val="12"/>
        <rFont val="Times New Roman"/>
        <family val="1"/>
        <charset val="204"/>
      </rPr>
      <t>2</t>
    </r>
  </si>
  <si>
    <t>Монтаж провода ВЛ 0,4 - 10 кВ сталеалюминиевого типа</t>
  </si>
  <si>
    <t>18.1</t>
  </si>
  <si>
    <t>18.2</t>
  </si>
  <si>
    <t>0,4-10</t>
  </si>
  <si>
    <t>Протяженность, км</t>
  </si>
  <si>
    <t>234,03</t>
  </si>
  <si>
    <t>795,69</t>
  </si>
  <si>
    <t>3 289,12</t>
  </si>
  <si>
    <t>19.1</t>
  </si>
  <si>
    <t>19.2</t>
  </si>
  <si>
    <t>Разработка проектных и изыскательских работ по ВЛ 0,4-10 кВ</t>
  </si>
  <si>
    <t xml:space="preserve">    Сечение жилы,    мм2</t>
  </si>
  <si>
    <t xml:space="preserve">    Сечение жилы,     мм2</t>
  </si>
  <si>
    <t>Разработка проектных и изыскательских работ для КЛ 0,4-10кВ</t>
  </si>
  <si>
    <t>0,4-20</t>
  </si>
  <si>
    <t>866,60</t>
  </si>
  <si>
    <t xml:space="preserve">         Норматив цены,          тыс. руб</t>
  </si>
  <si>
    <t>20.1</t>
  </si>
  <si>
    <t>20.2</t>
  </si>
  <si>
    <t>20.3</t>
  </si>
  <si>
    <t>20.4</t>
  </si>
  <si>
    <t>21.1</t>
  </si>
  <si>
    <t>22.1</t>
  </si>
  <si>
    <t>Разработка проектных и изыскательских работ для отдельных элементов</t>
  </si>
  <si>
    <t>Затраты по монтажным работам, млн. руб.</t>
  </si>
  <si>
    <t>до 0,03</t>
  </si>
  <si>
    <t>от 0,031 до 0,05</t>
  </si>
  <si>
    <t>от 0,051 до 0,2</t>
  </si>
  <si>
    <t>от 0,21 до 0,6</t>
  </si>
  <si>
    <t>от 0,61 до 1,1</t>
  </si>
  <si>
    <t>от 1,1 до 6</t>
  </si>
  <si>
    <t>12.3</t>
  </si>
  <si>
    <t>16.3</t>
  </si>
  <si>
    <t>16.4</t>
  </si>
  <si>
    <t>16.5</t>
  </si>
  <si>
    <t>16.6</t>
  </si>
  <si>
    <t>22.2</t>
  </si>
  <si>
    <t>22.3</t>
  </si>
  <si>
    <t>22.4</t>
  </si>
  <si>
    <t>коэффициент пересчета УНЦ от базового к субъекту РФ (Севастополь)</t>
  </si>
  <si>
    <t xml:space="preserve">Монтаж ячейки выключателя КРУ 6 </t>
  </si>
  <si>
    <t>В таблице 2  учтены стоимость оборудования (ячейка с выключателем</t>
  </si>
  <si>
    <t>приборы учета и измерения, РЗА(в том числе защита от дуговых замыканий</t>
  </si>
  <si>
    <t>стоимость строительно-монтажных работ с</t>
  </si>
  <si>
    <t>№ таблицы согласно приказа 131</t>
  </si>
  <si>
    <t>В6</t>
  </si>
  <si>
    <t>В3</t>
  </si>
  <si>
    <t>Т5</t>
  </si>
  <si>
    <t>Э1</t>
  </si>
  <si>
    <t>4.10</t>
  </si>
  <si>
    <t>4.11</t>
  </si>
  <si>
    <t>4.12</t>
  </si>
  <si>
    <t xml:space="preserve">Э2 </t>
  </si>
  <si>
    <t>Э3</t>
  </si>
  <si>
    <t>Монтаж здания РП(СП, РТП, ТП) блочного типа 6-20кВ</t>
  </si>
  <si>
    <t>Измеритель: 1 ед</t>
  </si>
  <si>
    <t>Наименование, тип</t>
  </si>
  <si>
    <t>РП на 7ячеек или РТП с одним тр-ром</t>
  </si>
  <si>
    <t>Э4</t>
  </si>
  <si>
    <t>В8</t>
  </si>
  <si>
    <t>Монтаж АИИС КУЭ, ПКУ, технический учет э/э</t>
  </si>
  <si>
    <t>А1</t>
  </si>
  <si>
    <t>наименование</t>
  </si>
  <si>
    <t xml:space="preserve">измеритель </t>
  </si>
  <si>
    <t>Установка 1-фазного ПУ на опоре</t>
  </si>
  <si>
    <t>1 точка учета</t>
  </si>
  <si>
    <t>Установка 3-фазного ПУ на опоре</t>
  </si>
  <si>
    <t>Установка шкафа с 1-фазным ПУ на стене здания</t>
  </si>
  <si>
    <t>Установка  шкафа с 3-фазным ПУ на стене здания</t>
  </si>
  <si>
    <t>Установка 3-фазного ПУ в ТП (РП, РТП)</t>
  </si>
  <si>
    <t>Установка 3-фазного ПУ в РУ-0,4кВ</t>
  </si>
  <si>
    <t>К1</t>
  </si>
  <si>
    <t>2 точка учета</t>
  </si>
  <si>
    <t>3 точка учета</t>
  </si>
  <si>
    <t>4 точка учета</t>
  </si>
  <si>
    <t>5 точка учета</t>
  </si>
  <si>
    <t>6 точка учета</t>
  </si>
  <si>
    <t>К2</t>
  </si>
  <si>
    <t>К3</t>
  </si>
  <si>
    <t>Б2</t>
  </si>
  <si>
    <t>-</t>
  </si>
  <si>
    <t>Б2.1</t>
  </si>
  <si>
    <t>Н1</t>
  </si>
  <si>
    <t>Н2</t>
  </si>
  <si>
    <t>Н4</t>
  </si>
  <si>
    <t>Л1-0,4кВ</t>
  </si>
  <si>
    <t>Л1-6кВ</t>
  </si>
  <si>
    <t>Л5</t>
  </si>
  <si>
    <t xml:space="preserve">Монтаж опор ВЛ 0,4 - 10 кВ </t>
  </si>
  <si>
    <t>Л3</t>
  </si>
  <si>
    <t xml:space="preserve">Монтаж провода СИП ВЛ 0,4 - 10 кВ </t>
  </si>
  <si>
    <t>Л7</t>
  </si>
  <si>
    <t>П3</t>
  </si>
  <si>
    <t>П5</t>
  </si>
  <si>
    <t>П6</t>
  </si>
  <si>
    <t>Наименование таблиц УНЦ</t>
  </si>
  <si>
    <t>В таблице 8 учтены:</t>
  </si>
  <si>
    <t>10.3</t>
  </si>
  <si>
    <t>10.4</t>
  </si>
  <si>
    <t>10.5</t>
  </si>
  <si>
    <t>10.6</t>
  </si>
  <si>
    <t>10.7</t>
  </si>
  <si>
    <t>10.8</t>
  </si>
  <si>
    <t>11.3</t>
  </si>
  <si>
    <t>11.4</t>
  </si>
  <si>
    <t>11.5</t>
  </si>
  <si>
    <t>11.6</t>
  </si>
  <si>
    <t>11.7</t>
  </si>
  <si>
    <t>11.8</t>
  </si>
  <si>
    <t>12.4</t>
  </si>
  <si>
    <t>12.5</t>
  </si>
  <si>
    <t>12.6</t>
  </si>
  <si>
    <t>12.7</t>
  </si>
  <si>
    <t>12.8</t>
  </si>
  <si>
    <t>12.9</t>
  </si>
  <si>
    <t>12.10</t>
  </si>
  <si>
    <t>В таблицах 10-12 учтены стоимость кабеля с учетом 10% запаса,</t>
  </si>
  <si>
    <t>В таблицах 10-12 в УНЦ учтены затраты для одной цепи КЛ (кабельной</t>
  </si>
  <si>
    <t>В таблицах 13-14 учтены земляные работы (разработка грунта,</t>
  </si>
  <si>
    <t>В таблицах 13-14 в УНЦ не учтены стоимости труб и работ по их монтажу,</t>
  </si>
  <si>
    <t>15.3</t>
  </si>
  <si>
    <t>В таблице 15 в УНЦ учтены стоимость строительно-монтажных работ с учетом</t>
  </si>
  <si>
    <t>16.7</t>
  </si>
  <si>
    <t>16.8</t>
  </si>
  <si>
    <t>В таблице 16 учтены стоимость строительно-монтажных работ для</t>
  </si>
  <si>
    <t>17.3</t>
  </si>
  <si>
    <t>В таблице 17 учтены стоимость строительно-монтажных работ для</t>
  </si>
  <si>
    <t>В таблице 18 учтены затраты на 1 км одной ВЛ.</t>
  </si>
  <si>
    <t>В таблице 18 учтены стоимость строительно-монтажных работ</t>
  </si>
  <si>
    <t>20.5</t>
  </si>
  <si>
    <t>20.6</t>
  </si>
  <si>
    <t>В таблице 20 в УНЦ учтены стоимость строительно-монтажных работ с учетом</t>
  </si>
  <si>
    <t>21.2</t>
  </si>
  <si>
    <t>21.3</t>
  </si>
  <si>
    <t>21.4</t>
  </si>
  <si>
    <t>21.5</t>
  </si>
  <si>
    <t>21.6</t>
  </si>
  <si>
    <t>23.1</t>
  </si>
  <si>
    <t>24.1</t>
  </si>
  <si>
    <t>24.2</t>
  </si>
  <si>
    <t>24.3</t>
  </si>
  <si>
    <t>24.4</t>
  </si>
  <si>
    <t>24.5</t>
  </si>
  <si>
    <t>24.6</t>
  </si>
  <si>
    <t>Итого без НДС на 01.01.2023 (тыс. руб)</t>
  </si>
  <si>
    <t>Итого без НДС на 2025 с учетом дефлятора  (тыс. руб)</t>
  </si>
  <si>
    <t>дефлятор К=к23*к24*к25</t>
  </si>
  <si>
    <t>к23</t>
  </si>
  <si>
    <t>к24</t>
  </si>
  <si>
    <t>к25</t>
  </si>
  <si>
    <t>Итого с НДС</t>
  </si>
  <si>
    <t>НДС 20%</t>
  </si>
  <si>
    <t xml:space="preserve">Расчет максимальной цены за единицу выполненных работ, составленный на основании приказа № 131 от 26.02.2024 г. Министерства энергетики Российской федерации "Об утверждении укрупненных нормативов цены типовых технологических решений капитального строительства  объектов электроэнергетики в части объектов электросетевого хозяйства"
</t>
  </si>
  <si>
    <t>сумма по таблице, тыс.руб</t>
  </si>
  <si>
    <t>Директор по капитальному строительству ООО "Севастопольэнерго"</t>
  </si>
  <si>
    <t>Д П. Киктенко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</si>
</sst>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 vertical="top" indent="2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indent="2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0" fillId="2" borderId="0" xfId="0" applyFill="1"/>
    <xf numFmtId="2" fontId="2" fillId="0" borderId="13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0" xfId="0" applyNumberFormat="1" applyFont="1"/>
    <xf numFmtId="2" fontId="2" fillId="0" borderId="8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5" fillId="0" borderId="0" xfId="0" applyFont="1"/>
    <xf numFmtId="49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3" borderId="0" xfId="0" applyFill="1"/>
    <xf numFmtId="2" fontId="0" fillId="0" borderId="0" xfId="0" applyNumberFormat="1"/>
    <xf numFmtId="164" fontId="2" fillId="0" borderId="0" xfId="0" applyNumberFormat="1" applyFont="1"/>
    <xf numFmtId="0" fontId="4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2" xfId="0" applyFont="1" applyBorder="1"/>
    <xf numFmtId="0" fontId="2" fillId="0" borderId="0" xfId="0" applyFont="1" applyAlignment="1"/>
    <xf numFmtId="0" fontId="2" fillId="0" borderId="4" xfId="0" applyFont="1" applyBorder="1" applyAlignment="1">
      <alignment horizontal="center" wrapText="1"/>
    </xf>
    <xf numFmtId="0" fontId="5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79"/>
  <sheetViews>
    <sheetView tabSelected="1" topLeftCell="A362" zoomScale="120" zoomScaleNormal="120" workbookViewId="0">
      <selection activeCell="F366" sqref="F366"/>
    </sheetView>
  </sheetViews>
  <sheetFormatPr defaultRowHeight="15.75"/>
  <cols>
    <col min="1" max="1" width="4.7109375" style="2" customWidth="1"/>
    <col min="2" max="2" width="19.28515625" style="2" customWidth="1"/>
    <col min="3" max="3" width="18.7109375" style="2" customWidth="1"/>
    <col min="4" max="4" width="25.28515625" style="2" customWidth="1"/>
    <col min="5" max="5" width="19.42578125" style="2" customWidth="1"/>
    <col min="6" max="6" width="11.7109375" style="2" customWidth="1"/>
    <col min="7" max="7" width="16.5703125" style="2" customWidth="1"/>
    <col min="8" max="8" width="11" style="43" customWidth="1"/>
    <col min="9" max="9" width="13.28515625" customWidth="1"/>
  </cols>
  <sheetData>
    <row r="2" spans="1:9" ht="60.75" customHeight="1">
      <c r="B2" s="136" t="s">
        <v>354</v>
      </c>
      <c r="C2" s="136"/>
      <c r="D2" s="136"/>
      <c r="E2" s="136"/>
      <c r="F2" s="136"/>
      <c r="G2" s="136"/>
      <c r="H2" s="136"/>
      <c r="I2" s="136"/>
    </row>
    <row r="3" spans="1:9" s="81" customFormat="1" ht="45.75">
      <c r="A3" s="78"/>
      <c r="B3" s="91" t="s">
        <v>297</v>
      </c>
      <c r="C3" s="91"/>
      <c r="D3" s="91"/>
      <c r="E3" s="78"/>
      <c r="F3" s="79" t="s">
        <v>246</v>
      </c>
      <c r="G3" s="79" t="s">
        <v>241</v>
      </c>
      <c r="H3" s="80"/>
      <c r="I3" s="79" t="s">
        <v>355</v>
      </c>
    </row>
    <row r="4" spans="1:9">
      <c r="A4" s="2">
        <v>1</v>
      </c>
      <c r="B4" s="3" t="s">
        <v>46</v>
      </c>
      <c r="F4" s="2" t="s">
        <v>247</v>
      </c>
      <c r="G4" s="2">
        <v>1.42</v>
      </c>
    </row>
    <row r="5" spans="1:9">
      <c r="B5" s="3" t="s">
        <v>119</v>
      </c>
    </row>
    <row r="6" spans="1:9" ht="16.5" thickBot="1"/>
    <row r="7" spans="1:9" ht="31.5">
      <c r="B7" s="4" t="s">
        <v>38</v>
      </c>
      <c r="C7" s="5" t="s">
        <v>67</v>
      </c>
      <c r="D7" s="6" t="s">
        <v>72</v>
      </c>
    </row>
    <row r="8" spans="1:9" ht="16.5" thickBot="1">
      <c r="B8" s="7" t="s">
        <v>0</v>
      </c>
      <c r="C8" s="8" t="s">
        <v>41</v>
      </c>
      <c r="D8" s="44">
        <f>2246.7*G4</f>
        <v>3190.3139999999994</v>
      </c>
      <c r="I8" s="82">
        <f>D8</f>
        <v>3190.3139999999994</v>
      </c>
    </row>
    <row r="10" spans="1:9">
      <c r="B10" s="3" t="s">
        <v>2</v>
      </c>
    </row>
    <row r="11" spans="1:9">
      <c r="B11" s="3" t="s">
        <v>120</v>
      </c>
    </row>
    <row r="12" spans="1:9">
      <c r="B12" s="3" t="s">
        <v>121</v>
      </c>
    </row>
    <row r="13" spans="1:9">
      <c r="B13" s="3" t="s">
        <v>122</v>
      </c>
    </row>
    <row r="14" spans="1:9">
      <c r="B14" s="3" t="s">
        <v>123</v>
      </c>
    </row>
    <row r="16" spans="1:9">
      <c r="A16" s="2">
        <v>2</v>
      </c>
      <c r="B16" s="3" t="s">
        <v>242</v>
      </c>
      <c r="F16" s="2" t="s">
        <v>248</v>
      </c>
      <c r="G16" s="2">
        <v>1.42</v>
      </c>
    </row>
    <row r="17" spans="1:9">
      <c r="B17" s="3" t="s">
        <v>119</v>
      </c>
    </row>
    <row r="18" spans="1:9" ht="16.5" thickBot="1"/>
    <row r="19" spans="1:9" ht="31.5">
      <c r="B19" s="59" t="s">
        <v>38</v>
      </c>
      <c r="C19" s="61" t="s">
        <v>67</v>
      </c>
      <c r="D19" s="58" t="s">
        <v>72</v>
      </c>
    </row>
    <row r="20" spans="1:9" ht="16.5" thickBot="1">
      <c r="B20" s="7" t="s">
        <v>1</v>
      </c>
      <c r="C20" s="8" t="s">
        <v>118</v>
      </c>
      <c r="D20" s="44">
        <f>2222.1*G16</f>
        <v>3155.3819999999996</v>
      </c>
      <c r="I20" s="82">
        <f>D20</f>
        <v>3155.3819999999996</v>
      </c>
    </row>
    <row r="22" spans="1:9">
      <c r="B22" s="3" t="s">
        <v>243</v>
      </c>
    </row>
    <row r="23" spans="1:9">
      <c r="B23" s="3" t="s">
        <v>244</v>
      </c>
    </row>
    <row r="24" spans="1:9">
      <c r="B24" s="3" t="s">
        <v>245</v>
      </c>
    </row>
    <row r="25" spans="1:9">
      <c r="B25" s="3" t="s">
        <v>122</v>
      </c>
    </row>
    <row r="26" spans="1:9">
      <c r="B26" s="3" t="s">
        <v>123</v>
      </c>
    </row>
    <row r="27" spans="1:9">
      <c r="B27" s="34"/>
    </row>
    <row r="28" spans="1:9">
      <c r="A28" s="2">
        <v>3</v>
      </c>
      <c r="B28" s="3" t="s">
        <v>3</v>
      </c>
      <c r="F28" s="2" t="s">
        <v>249</v>
      </c>
      <c r="G28" s="2">
        <v>1.42</v>
      </c>
    </row>
    <row r="29" spans="1:9">
      <c r="B29" s="3" t="s">
        <v>119</v>
      </c>
    </row>
    <row r="30" spans="1:9" ht="16.5" thickBot="1"/>
    <row r="31" spans="1:9">
      <c r="B31" s="13"/>
      <c r="C31" s="14"/>
      <c r="D31" s="87" t="s">
        <v>47</v>
      </c>
      <c r="E31" s="88"/>
    </row>
    <row r="32" spans="1:9">
      <c r="B32" s="15"/>
      <c r="C32" s="16"/>
      <c r="D32" s="17">
        <v>1</v>
      </c>
      <c r="E32" s="18">
        <v>2</v>
      </c>
    </row>
    <row r="33" spans="2:9">
      <c r="B33" s="15"/>
      <c r="C33" s="16"/>
      <c r="D33" s="110" t="s">
        <v>73</v>
      </c>
      <c r="E33" s="111"/>
    </row>
    <row r="34" spans="2:9">
      <c r="B34" s="21" t="s">
        <v>38</v>
      </c>
      <c r="C34" s="22" t="s">
        <v>74</v>
      </c>
      <c r="D34" s="23" t="s">
        <v>45</v>
      </c>
      <c r="E34" s="24" t="s">
        <v>45</v>
      </c>
    </row>
    <row r="35" spans="2:9">
      <c r="B35" s="15"/>
      <c r="C35" s="16"/>
      <c r="D35" s="89" t="s">
        <v>75</v>
      </c>
      <c r="E35" s="90"/>
    </row>
    <row r="36" spans="2:9">
      <c r="B36" s="15"/>
      <c r="C36" s="16"/>
      <c r="D36" s="17" t="s">
        <v>76</v>
      </c>
      <c r="E36" s="18" t="s">
        <v>4</v>
      </c>
    </row>
    <row r="37" spans="2:9">
      <c r="B37" s="25" t="s">
        <v>5</v>
      </c>
      <c r="C37" s="19" t="s">
        <v>81</v>
      </c>
      <c r="D37" s="45">
        <f>G28*367.67</f>
        <v>522.09140000000002</v>
      </c>
      <c r="E37" s="46">
        <f>G28*473.95</f>
        <v>673.0089999999999</v>
      </c>
    </row>
    <row r="38" spans="2:9">
      <c r="B38" s="25" t="s">
        <v>6</v>
      </c>
      <c r="C38" s="19" t="s">
        <v>82</v>
      </c>
      <c r="D38" s="45">
        <f>G28*460.85</f>
        <v>654.40700000000004</v>
      </c>
      <c r="E38" s="46">
        <f>G28*657.07</f>
        <v>933.0394</v>
      </c>
    </row>
    <row r="39" spans="2:9">
      <c r="B39" s="25" t="s">
        <v>7</v>
      </c>
      <c r="C39" s="23" t="s">
        <v>83</v>
      </c>
      <c r="D39" s="45">
        <f>G28*606.63</f>
        <v>861.41459999999995</v>
      </c>
      <c r="E39" s="46">
        <f>G28*2360.05</f>
        <v>3351.2710000000002</v>
      </c>
    </row>
    <row r="40" spans="2:9">
      <c r="B40" s="25" t="s">
        <v>8</v>
      </c>
      <c r="C40" s="19">
        <v>400</v>
      </c>
      <c r="D40" s="45">
        <f>G28*780.72</f>
        <v>1108.6224</v>
      </c>
      <c r="E40" s="46">
        <f>G28*2590.48</f>
        <v>3678.4815999999996</v>
      </c>
    </row>
    <row r="41" spans="2:9">
      <c r="B41" s="25" t="s">
        <v>9</v>
      </c>
      <c r="C41" s="23" t="s">
        <v>84</v>
      </c>
      <c r="D41" s="45">
        <f>G28*1058.83</f>
        <v>1503.5385999999999</v>
      </c>
      <c r="E41" s="46">
        <f>G28*2996.02</f>
        <v>4254.3483999999999</v>
      </c>
    </row>
    <row r="42" spans="2:9">
      <c r="B42" s="25" t="s">
        <v>10</v>
      </c>
      <c r="C42" s="19" t="s">
        <v>85</v>
      </c>
      <c r="D42" s="45">
        <f>G28*1778.09</f>
        <v>2524.8878</v>
      </c>
      <c r="E42" s="46">
        <f>G28*3394.95</f>
        <v>4820.8289999999997</v>
      </c>
    </row>
    <row r="43" spans="2:9" ht="16.899999999999999" customHeight="1">
      <c r="B43" s="25" t="s">
        <v>11</v>
      </c>
      <c r="C43" s="23" t="s">
        <v>86</v>
      </c>
      <c r="D43" s="45">
        <f>G28*2389.22</f>
        <v>3392.6923999999995</v>
      </c>
      <c r="E43" s="46">
        <f>G28*3903.25</f>
        <v>5542.6149999999998</v>
      </c>
    </row>
    <row r="44" spans="2:9">
      <c r="B44" s="25" t="s">
        <v>12</v>
      </c>
      <c r="C44" s="19" t="s">
        <v>87</v>
      </c>
      <c r="D44" s="45">
        <f>G28*3484.95</f>
        <v>4948.6289999999999</v>
      </c>
      <c r="E44" s="46">
        <f>G28*7266.1</f>
        <v>10317.861999999999</v>
      </c>
    </row>
    <row r="45" spans="2:9">
      <c r="B45" s="25" t="s">
        <v>13</v>
      </c>
      <c r="C45" s="19" t="s">
        <v>88</v>
      </c>
      <c r="D45" s="45">
        <f>G28*4095.2</f>
        <v>5815.1839999999993</v>
      </c>
      <c r="E45" s="46">
        <f>G28*7974.51</f>
        <v>11323.8042</v>
      </c>
    </row>
    <row r="46" spans="2:9">
      <c r="B46" s="25" t="s">
        <v>14</v>
      </c>
      <c r="C46" s="23" t="s">
        <v>89</v>
      </c>
      <c r="D46" s="45">
        <f>G28*4814.19</f>
        <v>6836.1497999999992</v>
      </c>
      <c r="E46" s="46">
        <f>G28*8329.23</f>
        <v>11827.506599999999</v>
      </c>
    </row>
    <row r="47" spans="2:9" ht="16.5" thickBot="1">
      <c r="B47" s="25" t="s">
        <v>15</v>
      </c>
      <c r="C47" s="27" t="s">
        <v>90</v>
      </c>
      <c r="D47" s="47">
        <f>G28*7181.48</f>
        <v>10197.701599999999</v>
      </c>
      <c r="E47" s="44">
        <f>G28*8811.41</f>
        <v>12512.2022</v>
      </c>
      <c r="I47" s="82">
        <f>D37+D38+D39+D40+D41+D42+D43+D44+D45+D46+D47+E37+E38+E39+E40+E41+E42+E43+E44+E45+E46+E47</f>
        <v>107600.28699999998</v>
      </c>
    </row>
    <row r="50" spans="1:7">
      <c r="A50" s="2">
        <v>4</v>
      </c>
      <c r="B50" s="3" t="s">
        <v>44</v>
      </c>
      <c r="F50" s="2" t="s">
        <v>250</v>
      </c>
      <c r="G50" s="2">
        <v>1.42</v>
      </c>
    </row>
    <row r="51" spans="1:7">
      <c r="B51" s="3" t="s">
        <v>124</v>
      </c>
    </row>
    <row r="52" spans="1:7" ht="16.5" thickBot="1"/>
    <row r="53" spans="1:7">
      <c r="B53" s="106" t="s">
        <v>38</v>
      </c>
      <c r="C53" s="85" t="s">
        <v>74</v>
      </c>
      <c r="D53" s="87" t="s">
        <v>47</v>
      </c>
      <c r="E53" s="88"/>
    </row>
    <row r="54" spans="1:7">
      <c r="B54" s="107"/>
      <c r="C54" s="86"/>
      <c r="D54" s="17" t="s">
        <v>91</v>
      </c>
      <c r="E54" s="18" t="s">
        <v>92</v>
      </c>
    </row>
    <row r="55" spans="1:7">
      <c r="B55" s="107"/>
      <c r="C55" s="86"/>
      <c r="D55" s="89" t="s">
        <v>93</v>
      </c>
      <c r="E55" s="90"/>
    </row>
    <row r="56" spans="1:7">
      <c r="B56" s="107"/>
      <c r="C56" s="86"/>
      <c r="D56" s="17" t="s">
        <v>91</v>
      </c>
      <c r="E56" s="18" t="s">
        <v>92</v>
      </c>
    </row>
    <row r="57" spans="1:7">
      <c r="B57" s="25" t="s">
        <v>16</v>
      </c>
      <c r="C57" s="62">
        <v>25</v>
      </c>
      <c r="D57" s="49">
        <f>1077.59*G50</f>
        <v>1530.1777999999997</v>
      </c>
      <c r="E57" s="50">
        <f>2579.26*G50</f>
        <v>3662.5491999999999</v>
      </c>
    </row>
    <row r="58" spans="1:7">
      <c r="B58" s="25" t="s">
        <v>17</v>
      </c>
      <c r="C58" s="62">
        <v>40</v>
      </c>
      <c r="D58" s="49">
        <f>1092.51*G50</f>
        <v>1551.3642</v>
      </c>
      <c r="E58" s="50">
        <f>2897.48*G50</f>
        <v>4114.4215999999997</v>
      </c>
    </row>
    <row r="59" spans="1:7">
      <c r="B59" s="25" t="s">
        <v>18</v>
      </c>
      <c r="C59" s="62">
        <v>63</v>
      </c>
      <c r="D59" s="62">
        <f>1124*G50</f>
        <v>1596.08</v>
      </c>
      <c r="E59" s="50">
        <f>3010.18*G50</f>
        <v>4274.4555999999993</v>
      </c>
    </row>
    <row r="60" spans="1:7">
      <c r="B60" s="25" t="s">
        <v>19</v>
      </c>
      <c r="C60" s="19" t="s">
        <v>81</v>
      </c>
      <c r="D60" s="45">
        <f>G50*1204.38</f>
        <v>1710.2196000000001</v>
      </c>
      <c r="E60" s="46">
        <f>G50*3280.33</f>
        <v>4658.0685999999996</v>
      </c>
    </row>
    <row r="61" spans="1:7">
      <c r="B61" s="25" t="s">
        <v>20</v>
      </c>
      <c r="C61" s="19" t="s">
        <v>82</v>
      </c>
      <c r="D61" s="45">
        <f>G50*1288.91</f>
        <v>1830.2522000000001</v>
      </c>
      <c r="E61" s="46">
        <f>G50*3449.39</f>
        <v>4898.1337999999996</v>
      </c>
    </row>
    <row r="62" spans="1:7">
      <c r="B62" s="25" t="s">
        <v>21</v>
      </c>
      <c r="C62" s="23" t="s">
        <v>83</v>
      </c>
      <c r="D62" s="45">
        <f>G50*1338.63</f>
        <v>1900.8546000000001</v>
      </c>
      <c r="E62" s="46">
        <f>G50*4344.38</f>
        <v>6169.0195999999996</v>
      </c>
    </row>
    <row r="63" spans="1:7">
      <c r="B63" s="25" t="s">
        <v>22</v>
      </c>
      <c r="C63" s="23" t="s">
        <v>94</v>
      </c>
      <c r="D63" s="45">
        <f>G50*1786.74</f>
        <v>2537.1707999999999</v>
      </c>
      <c r="E63" s="46">
        <f>G50*5081.92</f>
        <v>7216.3263999999999</v>
      </c>
    </row>
    <row r="64" spans="1:7">
      <c r="B64" s="25" t="s">
        <v>23</v>
      </c>
      <c r="C64" s="23" t="s">
        <v>84</v>
      </c>
      <c r="D64" s="45">
        <f>G50*3571.53</f>
        <v>5071.5726000000004</v>
      </c>
      <c r="E64" s="46">
        <f>G50*5360.36</f>
        <v>7611.7111999999988</v>
      </c>
    </row>
    <row r="65" spans="1:9">
      <c r="B65" s="25" t="s">
        <v>24</v>
      </c>
      <c r="C65" s="19" t="s">
        <v>85</v>
      </c>
      <c r="D65" s="45">
        <f>G50*3840.03</f>
        <v>5452.8425999999999</v>
      </c>
      <c r="E65" s="46">
        <f>G50*5897.36</f>
        <v>8374.2511999999988</v>
      </c>
    </row>
    <row r="66" spans="1:9">
      <c r="B66" s="25" t="s">
        <v>251</v>
      </c>
      <c r="C66" s="19" t="s">
        <v>86</v>
      </c>
      <c r="D66" s="48">
        <f>G50*4557.48</f>
        <v>6471.6215999999995</v>
      </c>
      <c r="E66" s="46"/>
    </row>
    <row r="67" spans="1:9">
      <c r="B67" s="25" t="s">
        <v>252</v>
      </c>
      <c r="C67" s="19" t="s">
        <v>87</v>
      </c>
      <c r="D67" s="49">
        <f>5203.86*G50</f>
        <v>7389.4811999999993</v>
      </c>
      <c r="E67" s="46"/>
    </row>
    <row r="68" spans="1:9" ht="16.5" thickBot="1">
      <c r="B68" s="25" t="s">
        <v>253</v>
      </c>
      <c r="C68" s="27" t="s">
        <v>89</v>
      </c>
      <c r="D68" s="47">
        <f>G50*6596.07</f>
        <v>9366.4193999999989</v>
      </c>
      <c r="E68" s="46"/>
      <c r="I68" s="82">
        <f>D57+D58+D59+D60+D61+D62+D63+D64+D65+D66+D67+D68+E57+E58+E59+E60+E61+E62+E63+E64+E65</f>
        <v>97386.993800000011</v>
      </c>
    </row>
    <row r="70" spans="1:9">
      <c r="A70" s="2">
        <v>5</v>
      </c>
      <c r="B70" s="3" t="s">
        <v>25</v>
      </c>
      <c r="F70" s="2" t="s">
        <v>254</v>
      </c>
      <c r="G70" s="2">
        <v>1.42</v>
      </c>
    </row>
    <row r="71" spans="1:9">
      <c r="B71" s="3" t="s">
        <v>43</v>
      </c>
    </row>
    <row r="72" spans="1:9">
      <c r="B72" s="3" t="s">
        <v>124</v>
      </c>
    </row>
    <row r="73" spans="1:9" ht="16.5" thickBot="1"/>
    <row r="74" spans="1:9">
      <c r="B74" s="10" t="s">
        <v>38</v>
      </c>
      <c r="C74" s="11" t="s">
        <v>74</v>
      </c>
      <c r="D74" s="12" t="s">
        <v>72</v>
      </c>
    </row>
    <row r="75" spans="1:9" ht="15" customHeight="1">
      <c r="B75" s="25" t="s">
        <v>26</v>
      </c>
      <c r="C75" s="19" t="s">
        <v>77</v>
      </c>
      <c r="D75" s="50">
        <f>G70*940.56</f>
        <v>1335.5951999999997</v>
      </c>
    </row>
    <row r="76" spans="1:9">
      <c r="B76" s="25" t="s">
        <v>27</v>
      </c>
      <c r="C76" s="17" t="s">
        <v>78</v>
      </c>
      <c r="D76" s="50">
        <f>G70*970.4</f>
        <v>1377.9679999999998</v>
      </c>
    </row>
    <row r="77" spans="1:9">
      <c r="B77" s="25" t="s">
        <v>28</v>
      </c>
      <c r="C77" s="17" t="s">
        <v>79</v>
      </c>
      <c r="D77" s="50">
        <f>G70*1010.18</f>
        <v>1434.4555999999998</v>
      </c>
    </row>
    <row r="78" spans="1:9">
      <c r="B78" s="25" t="s">
        <v>29</v>
      </c>
      <c r="C78" s="17" t="s">
        <v>80</v>
      </c>
      <c r="D78" s="50">
        <f>G70*1049.95</f>
        <v>1490.9290000000001</v>
      </c>
    </row>
    <row r="79" spans="1:9">
      <c r="B79" s="25" t="s">
        <v>30</v>
      </c>
      <c r="C79" s="19" t="s">
        <v>81</v>
      </c>
      <c r="D79" s="50">
        <f>G70*1244.21</f>
        <v>1766.7782</v>
      </c>
    </row>
    <row r="80" spans="1:9">
      <c r="B80" s="25" t="s">
        <v>31</v>
      </c>
      <c r="C80" s="17" t="s">
        <v>82</v>
      </c>
      <c r="D80" s="50">
        <f>G70*1279.01</f>
        <v>1816.1941999999999</v>
      </c>
    </row>
    <row r="81" spans="1:9" ht="16.5" thickBot="1">
      <c r="B81" s="26" t="s">
        <v>32</v>
      </c>
      <c r="C81" s="28" t="s">
        <v>83</v>
      </c>
      <c r="D81" s="51">
        <f>G70*1512.7</f>
        <v>2148.0340000000001</v>
      </c>
      <c r="I81" s="82">
        <f>D75+D76+D77+D78+D79+D80+D81</f>
        <v>11369.9542</v>
      </c>
    </row>
    <row r="83" spans="1:9">
      <c r="A83" s="2">
        <v>6</v>
      </c>
      <c r="B83" s="3" t="s">
        <v>42</v>
      </c>
      <c r="F83" s="2" t="s">
        <v>255</v>
      </c>
      <c r="G83" s="2">
        <v>1.42</v>
      </c>
    </row>
    <row r="84" spans="1:9">
      <c r="B84" s="3" t="s">
        <v>124</v>
      </c>
    </row>
    <row r="85" spans="1:9" ht="16.5" thickBot="1"/>
    <row r="86" spans="1:9">
      <c r="B86" s="106" t="s">
        <v>38</v>
      </c>
      <c r="C86" s="85" t="s">
        <v>74</v>
      </c>
      <c r="D86" s="124" t="s">
        <v>47</v>
      </c>
      <c r="E86" s="125"/>
    </row>
    <row r="87" spans="1:9">
      <c r="B87" s="107"/>
      <c r="C87" s="86"/>
      <c r="D87" s="126"/>
      <c r="E87" s="127"/>
    </row>
    <row r="88" spans="1:9">
      <c r="B88" s="107"/>
      <c r="C88" s="86"/>
      <c r="D88" s="110" t="s">
        <v>93</v>
      </c>
      <c r="E88" s="111"/>
    </row>
    <row r="89" spans="1:9">
      <c r="B89" s="107"/>
      <c r="C89" s="86"/>
      <c r="D89" s="19" t="s">
        <v>91</v>
      </c>
      <c r="E89" s="20" t="s">
        <v>92</v>
      </c>
    </row>
    <row r="90" spans="1:9">
      <c r="B90" s="25" t="s">
        <v>26</v>
      </c>
      <c r="C90" s="19" t="s">
        <v>81</v>
      </c>
      <c r="D90" s="49">
        <f>G83*6552.21</f>
        <v>9304.1381999999994</v>
      </c>
      <c r="E90" s="50">
        <f>G83*10104.57</f>
        <v>14348.489399999999</v>
      </c>
    </row>
    <row r="91" spans="1:9">
      <c r="B91" s="25" t="s">
        <v>27</v>
      </c>
      <c r="C91" s="19" t="s">
        <v>82</v>
      </c>
      <c r="D91" s="49">
        <f>G83*8143.31</f>
        <v>11563.5002</v>
      </c>
      <c r="E91" s="50">
        <f>G83*12450.41</f>
        <v>17679.582199999997</v>
      </c>
    </row>
    <row r="92" spans="1:9">
      <c r="B92" s="25" t="s">
        <v>28</v>
      </c>
      <c r="C92" s="17" t="s">
        <v>83</v>
      </c>
      <c r="D92" s="49">
        <f>G83*8541.08</f>
        <v>12128.3336</v>
      </c>
      <c r="E92" s="50">
        <f>G83*12744.04</f>
        <v>18096.536800000002</v>
      </c>
    </row>
    <row r="93" spans="1:9">
      <c r="B93" s="25" t="s">
        <v>29</v>
      </c>
      <c r="C93" s="17" t="s">
        <v>94</v>
      </c>
      <c r="D93" s="49">
        <f>G83*8889.14</f>
        <v>12622.578799999999</v>
      </c>
      <c r="E93" s="50">
        <f>G83*15877.84</f>
        <v>22546.532800000001</v>
      </c>
    </row>
    <row r="94" spans="1:9">
      <c r="B94" s="25" t="s">
        <v>30</v>
      </c>
      <c r="C94" s="17" t="s">
        <v>84</v>
      </c>
      <c r="D94" s="49">
        <f>G83*9684.68</f>
        <v>13752.2456</v>
      </c>
      <c r="E94" s="50">
        <f>G83*17548.49</f>
        <v>24918.855800000001</v>
      </c>
    </row>
    <row r="95" spans="1:9">
      <c r="B95" s="25" t="s">
        <v>31</v>
      </c>
      <c r="C95" s="19" t="s">
        <v>85</v>
      </c>
      <c r="D95" s="49">
        <f>G83*10579.68</f>
        <v>15023.1456</v>
      </c>
      <c r="E95" s="50">
        <f>G83*19427.98</f>
        <v>27587.731599999999</v>
      </c>
    </row>
    <row r="96" spans="1:9">
      <c r="B96" s="25" t="s">
        <v>32</v>
      </c>
      <c r="C96" s="17" t="s">
        <v>86</v>
      </c>
      <c r="D96" s="49">
        <f>G83*10778.56</f>
        <v>15305.555199999999</v>
      </c>
      <c r="E96" s="50">
        <f>G83*19845.64</f>
        <v>28180.808799999999</v>
      </c>
    </row>
    <row r="97" spans="1:9">
      <c r="B97" s="25" t="s">
        <v>33</v>
      </c>
      <c r="C97" s="19" t="s">
        <v>87</v>
      </c>
      <c r="D97" s="49">
        <f>G83*13553.04</f>
        <v>19245.316800000001</v>
      </c>
      <c r="E97" s="50">
        <f>G83*25597.74</f>
        <v>36348.790800000002</v>
      </c>
    </row>
    <row r="98" spans="1:9" ht="16.5" thickBot="1">
      <c r="B98" s="26" t="s">
        <v>34</v>
      </c>
      <c r="C98" s="28" t="s">
        <v>89</v>
      </c>
      <c r="D98" s="52">
        <f>G83*15522.02</f>
        <v>22041.268400000001</v>
      </c>
      <c r="E98" s="51">
        <f>G83*29806.9</f>
        <v>42325.798000000003</v>
      </c>
      <c r="I98" s="82">
        <f>D90+D91+D92+D93+D94+D95+D96+D97+D98+E90+E91+E92+E93+E94+E95+E96+E97+E98</f>
        <v>363019.20860000001</v>
      </c>
    </row>
    <row r="99" spans="1:9" ht="31.5" customHeight="1">
      <c r="G99"/>
    </row>
    <row r="100" spans="1:9">
      <c r="B100" s="3" t="s">
        <v>35</v>
      </c>
      <c r="G100"/>
    </row>
    <row r="101" spans="1:9">
      <c r="B101" s="3" t="s">
        <v>125</v>
      </c>
      <c r="G101"/>
    </row>
    <row r="102" spans="1:9">
      <c r="B102" s="3" t="s">
        <v>126</v>
      </c>
      <c r="G102"/>
    </row>
    <row r="103" spans="1:9">
      <c r="B103" s="3" t="s">
        <v>127</v>
      </c>
      <c r="G103"/>
    </row>
    <row r="104" spans="1:9">
      <c r="B104" s="3" t="s">
        <v>128</v>
      </c>
      <c r="G104"/>
    </row>
    <row r="105" spans="1:9">
      <c r="G105"/>
    </row>
    <row r="106" spans="1:9">
      <c r="A106" s="2">
        <v>7</v>
      </c>
      <c r="B106" s="3" t="s">
        <v>256</v>
      </c>
      <c r="F106" s="2" t="s">
        <v>260</v>
      </c>
      <c r="G106">
        <v>1.42</v>
      </c>
    </row>
    <row r="107" spans="1:9">
      <c r="B107" s="3" t="s">
        <v>257</v>
      </c>
      <c r="G107"/>
    </row>
    <row r="108" spans="1:9" ht="16.5" thickBot="1">
      <c r="G108"/>
    </row>
    <row r="109" spans="1:9" ht="31.5">
      <c r="B109" s="59" t="s">
        <v>38</v>
      </c>
      <c r="C109" s="61" t="s">
        <v>258</v>
      </c>
      <c r="D109" s="58" t="s">
        <v>72</v>
      </c>
      <c r="G109"/>
    </row>
    <row r="110" spans="1:9" ht="23.25" thickBot="1">
      <c r="B110" s="7" t="s">
        <v>37</v>
      </c>
      <c r="C110" s="69" t="s">
        <v>259</v>
      </c>
      <c r="D110" s="44">
        <f>2968.29*G106</f>
        <v>4214.9717999999993</v>
      </c>
      <c r="I110" s="82">
        <f>D110</f>
        <v>4214.9717999999993</v>
      </c>
    </row>
    <row r="112" spans="1:9">
      <c r="A112" s="2">
        <v>8</v>
      </c>
      <c r="B112" s="3" t="s">
        <v>40</v>
      </c>
      <c r="F112" s="2" t="s">
        <v>261</v>
      </c>
      <c r="G112" s="2">
        <v>1.42</v>
      </c>
    </row>
    <row r="113" spans="2:9">
      <c r="B113" s="3" t="s">
        <v>119</v>
      </c>
    </row>
    <row r="114" spans="2:9" ht="16.5" thickBot="1"/>
    <row r="115" spans="2:9" ht="78.75">
      <c r="B115" s="130" t="s">
        <v>38</v>
      </c>
      <c r="C115" s="108" t="s">
        <v>67</v>
      </c>
      <c r="D115" s="108" t="s">
        <v>96</v>
      </c>
      <c r="E115" s="66" t="s">
        <v>47</v>
      </c>
      <c r="F115" s="67"/>
    </row>
    <row r="116" spans="2:9">
      <c r="B116" s="131"/>
      <c r="C116" s="109"/>
      <c r="D116" s="109"/>
      <c r="E116" s="17" t="s">
        <v>91</v>
      </c>
      <c r="F116" s="18" t="s">
        <v>92</v>
      </c>
    </row>
    <row r="117" spans="2:9">
      <c r="B117" s="131"/>
      <c r="C117" s="109"/>
      <c r="D117" s="109"/>
      <c r="E117" s="92" t="s">
        <v>98</v>
      </c>
      <c r="F117" s="93"/>
    </row>
    <row r="118" spans="2:9">
      <c r="B118" s="131"/>
      <c r="C118" s="109"/>
      <c r="D118" s="109"/>
      <c r="E118" s="17" t="s">
        <v>99</v>
      </c>
      <c r="F118" s="24" t="s">
        <v>78</v>
      </c>
    </row>
    <row r="119" spans="2:9">
      <c r="B119" s="25" t="s">
        <v>49</v>
      </c>
      <c r="C119" s="31" t="s">
        <v>41</v>
      </c>
      <c r="D119" s="17" t="s">
        <v>85</v>
      </c>
      <c r="E119" s="49">
        <f>G112*1495.46</f>
        <v>2123.5531999999998</v>
      </c>
      <c r="F119" s="50">
        <f>G112*1495.46</f>
        <v>2123.5531999999998</v>
      </c>
    </row>
    <row r="120" spans="2:9">
      <c r="B120" s="25" t="s">
        <v>50</v>
      </c>
      <c r="C120" s="31" t="s">
        <v>41</v>
      </c>
      <c r="D120" s="17" t="s">
        <v>86</v>
      </c>
      <c r="E120" s="49">
        <f>G112*1495.32</f>
        <v>2123.3543999999997</v>
      </c>
      <c r="F120" s="50">
        <f>G112*1495.46</f>
        <v>2123.5531999999998</v>
      </c>
    </row>
    <row r="121" spans="2:9">
      <c r="B121" s="25" t="s">
        <v>51</v>
      </c>
      <c r="C121" s="31" t="s">
        <v>41</v>
      </c>
      <c r="D121" s="17" t="s">
        <v>87</v>
      </c>
      <c r="E121" s="49">
        <f>G112*1495.46</f>
        <v>2123.5531999999998</v>
      </c>
      <c r="F121" s="50">
        <f>G112*1495.46</f>
        <v>2123.5531999999998</v>
      </c>
    </row>
    <row r="122" spans="2:9">
      <c r="B122" s="25" t="s">
        <v>52</v>
      </c>
      <c r="C122" s="31" t="s">
        <v>41</v>
      </c>
      <c r="D122" s="17" t="s">
        <v>88</v>
      </c>
      <c r="E122" s="49">
        <f>G112*1540.34</f>
        <v>2187.2828</v>
      </c>
      <c r="F122" s="50">
        <f>G112*1540.34</f>
        <v>2187.2828</v>
      </c>
    </row>
    <row r="123" spans="2:9">
      <c r="B123" s="25" t="s">
        <v>53</v>
      </c>
      <c r="C123" s="31" t="s">
        <v>41</v>
      </c>
      <c r="D123" s="17" t="s">
        <v>89</v>
      </c>
      <c r="E123" s="49">
        <f>G112*2383.44</f>
        <v>3384.4847999999997</v>
      </c>
      <c r="F123" s="50">
        <f>G112*2383.44</f>
        <v>3384.4847999999997</v>
      </c>
    </row>
    <row r="124" spans="2:9">
      <c r="B124" s="25" t="s">
        <v>54</v>
      </c>
      <c r="C124" s="31" t="s">
        <v>41</v>
      </c>
      <c r="D124" s="17" t="s">
        <v>90</v>
      </c>
      <c r="E124" s="49">
        <f>G112*2781.95</f>
        <v>3950.3689999999997</v>
      </c>
      <c r="F124" s="50">
        <f>G112*2781.95</f>
        <v>3950.3689999999997</v>
      </c>
    </row>
    <row r="125" spans="2:9" ht="16.5" thickBot="1">
      <c r="B125" s="26" t="s">
        <v>55</v>
      </c>
      <c r="C125" s="37" t="s">
        <v>41</v>
      </c>
      <c r="D125" s="28" t="s">
        <v>95</v>
      </c>
      <c r="E125" s="52">
        <f>G112*3044.23</f>
        <v>4322.8065999999999</v>
      </c>
      <c r="F125" s="51">
        <f>G112*3044.23</f>
        <v>4322.8065999999999</v>
      </c>
      <c r="I125" s="82">
        <f>E119+E120+E121+E122+E123+E124+E125+F119+F120+F121+F122+F123+F124+F125</f>
        <v>40431.006799999988</v>
      </c>
    </row>
    <row r="127" spans="2:9" ht="27" customHeight="1">
      <c r="B127" s="3" t="s">
        <v>298</v>
      </c>
    </row>
    <row r="128" spans="2:9" ht="15.6" customHeight="1"/>
    <row r="129" spans="1:7">
      <c r="B129" s="3" t="s">
        <v>129</v>
      </c>
    </row>
    <row r="130" spans="1:7">
      <c r="B130" s="3" t="s">
        <v>130</v>
      </c>
    </row>
    <row r="131" spans="1:7">
      <c r="B131" s="3" t="s">
        <v>131</v>
      </c>
    </row>
    <row r="132" spans="1:7">
      <c r="B132" s="3" t="s">
        <v>132</v>
      </c>
    </row>
    <row r="134" spans="1:7">
      <c r="B134" s="3" t="s">
        <v>133</v>
      </c>
    </row>
    <row r="135" spans="1:7">
      <c r="B135" s="3" t="s">
        <v>134</v>
      </c>
    </row>
    <row r="136" spans="1:7">
      <c r="B136" s="3" t="s">
        <v>135</v>
      </c>
    </row>
    <row r="137" spans="1:7">
      <c r="B137" s="3" t="s">
        <v>136</v>
      </c>
    </row>
    <row r="139" spans="1:7">
      <c r="A139" s="2">
        <v>9</v>
      </c>
      <c r="B139" s="3" t="s">
        <v>262</v>
      </c>
      <c r="F139" s="2" t="s">
        <v>263</v>
      </c>
      <c r="G139" s="2">
        <v>1.42</v>
      </c>
    </row>
    <row r="140" spans="1:7">
      <c r="B140" s="34"/>
    </row>
    <row r="141" spans="1:7">
      <c r="B141" s="70" t="s">
        <v>38</v>
      </c>
      <c r="C141" s="71" t="s">
        <v>264</v>
      </c>
      <c r="D141" s="72" t="s">
        <v>265</v>
      </c>
      <c r="E141" s="73" t="s">
        <v>72</v>
      </c>
    </row>
    <row r="142" spans="1:7" ht="23.25">
      <c r="B142" s="25" t="s">
        <v>57</v>
      </c>
      <c r="C142" s="74" t="s">
        <v>266</v>
      </c>
      <c r="D142" s="49" t="s">
        <v>267</v>
      </c>
      <c r="E142" s="50">
        <f>57.24*G139</f>
        <v>81.280799999999999</v>
      </c>
    </row>
    <row r="143" spans="1:7" ht="23.25">
      <c r="B143" s="25" t="s">
        <v>58</v>
      </c>
      <c r="C143" s="74" t="s">
        <v>268</v>
      </c>
      <c r="D143" s="49" t="s">
        <v>274</v>
      </c>
      <c r="E143" s="50">
        <f>62.16*G139</f>
        <v>88.267199999999988</v>
      </c>
    </row>
    <row r="144" spans="1:7" ht="34.5">
      <c r="B144" s="25" t="s">
        <v>59</v>
      </c>
      <c r="C144" s="74" t="s">
        <v>269</v>
      </c>
      <c r="D144" s="49" t="s">
        <v>275</v>
      </c>
      <c r="E144" s="50">
        <f>43*G139</f>
        <v>61.059999999999995</v>
      </c>
    </row>
    <row r="145" spans="1:9" ht="34.5">
      <c r="B145" s="25" t="s">
        <v>60</v>
      </c>
      <c r="C145" s="74" t="s">
        <v>270</v>
      </c>
      <c r="D145" s="49" t="s">
        <v>276</v>
      </c>
      <c r="E145" s="50">
        <f>49.19*G139</f>
        <v>69.849799999999988</v>
      </c>
    </row>
    <row r="146" spans="1:9" ht="23.25">
      <c r="B146" s="25" t="s">
        <v>61</v>
      </c>
      <c r="C146" s="74" t="s">
        <v>272</v>
      </c>
      <c r="D146" s="49" t="s">
        <v>277</v>
      </c>
      <c r="E146" s="50">
        <f>94.69*G139</f>
        <v>134.4598</v>
      </c>
    </row>
    <row r="147" spans="1:9" ht="23.25">
      <c r="B147" s="25" t="s">
        <v>62</v>
      </c>
      <c r="C147" s="74" t="s">
        <v>271</v>
      </c>
      <c r="D147" s="49" t="s">
        <v>278</v>
      </c>
      <c r="E147" s="50">
        <f>97.99*G139</f>
        <v>139.14579999999998</v>
      </c>
      <c r="I147" s="82">
        <f>E142+E143+E144+E145+E147</f>
        <v>439.60360000000003</v>
      </c>
    </row>
    <row r="149" spans="1:9">
      <c r="A149" s="2">
        <v>10</v>
      </c>
      <c r="B149" s="3" t="s">
        <v>39</v>
      </c>
      <c r="F149" s="2" t="s">
        <v>273</v>
      </c>
      <c r="G149" s="2">
        <v>1.41</v>
      </c>
    </row>
    <row r="150" spans="1:9">
      <c r="B150" s="3" t="s">
        <v>137</v>
      </c>
    </row>
    <row r="151" spans="1:9" ht="16.5" thickBot="1"/>
    <row r="152" spans="1:9">
      <c r="B152" s="106" t="s">
        <v>38</v>
      </c>
      <c r="C152" s="108" t="s">
        <v>213</v>
      </c>
      <c r="D152" s="87" t="s">
        <v>36</v>
      </c>
      <c r="E152" s="88"/>
    </row>
    <row r="153" spans="1:9">
      <c r="B153" s="107"/>
      <c r="C153" s="109"/>
      <c r="D153" s="89" t="s">
        <v>67</v>
      </c>
      <c r="E153" s="90"/>
    </row>
    <row r="154" spans="1:9">
      <c r="B154" s="107"/>
      <c r="C154" s="109"/>
      <c r="D154" s="23">
        <v>6</v>
      </c>
      <c r="E154" s="20">
        <v>10</v>
      </c>
    </row>
    <row r="155" spans="1:9" ht="15.6" customHeight="1">
      <c r="B155" s="25" t="s">
        <v>63</v>
      </c>
      <c r="C155" s="17" t="s">
        <v>100</v>
      </c>
      <c r="D155" s="49">
        <f>1557.19*G149</f>
        <v>2195.6379000000002</v>
      </c>
      <c r="E155" s="50">
        <f>1637.76*G149</f>
        <v>2309.2415999999998</v>
      </c>
    </row>
    <row r="156" spans="1:9">
      <c r="B156" s="25" t="s">
        <v>64</v>
      </c>
      <c r="C156" s="19">
        <v>50</v>
      </c>
      <c r="D156" s="49">
        <f>1972.97*G149</f>
        <v>2781.8876999999998</v>
      </c>
      <c r="E156" s="50">
        <f>2076.05*G149</f>
        <v>2927.2305000000001</v>
      </c>
    </row>
    <row r="157" spans="1:9">
      <c r="B157" s="25" t="s">
        <v>299</v>
      </c>
      <c r="C157" s="23">
        <v>70</v>
      </c>
      <c r="D157" s="49">
        <f>2952.39*G149</f>
        <v>4162.8698999999997</v>
      </c>
      <c r="E157" s="50">
        <f>2861.77*G149</f>
        <v>4035.0956999999999</v>
      </c>
    </row>
    <row r="158" spans="1:9">
      <c r="B158" s="25" t="s">
        <v>300</v>
      </c>
      <c r="C158" s="19">
        <v>95</v>
      </c>
      <c r="D158" s="49">
        <f>3227.57*G149</f>
        <v>4550.8737000000001</v>
      </c>
      <c r="E158" s="50">
        <f>3296.01*G149</f>
        <v>4647.3741</v>
      </c>
    </row>
    <row r="159" spans="1:9">
      <c r="B159" s="25" t="s">
        <v>301</v>
      </c>
      <c r="C159" s="23">
        <v>120</v>
      </c>
      <c r="D159" s="49">
        <f>3337.82*G149</f>
        <v>4706.3261999999995</v>
      </c>
      <c r="E159" s="50">
        <f>3411.85*G149</f>
        <v>4810.7084999999997</v>
      </c>
    </row>
    <row r="160" spans="1:9">
      <c r="B160" s="25" t="s">
        <v>302</v>
      </c>
      <c r="C160" s="19">
        <v>150</v>
      </c>
      <c r="D160" s="49">
        <f>3451.82*G149</f>
        <v>4867.0662000000002</v>
      </c>
      <c r="E160" s="50">
        <f>3599.39*G149</f>
        <v>5075.1398999999992</v>
      </c>
    </row>
    <row r="161" spans="1:9">
      <c r="B161" s="25" t="s">
        <v>303</v>
      </c>
      <c r="C161" s="23">
        <v>185</v>
      </c>
      <c r="D161" s="49">
        <f>3728.22*G149</f>
        <v>5256.7901999999995</v>
      </c>
      <c r="E161" s="50">
        <f>4039.24*G149</f>
        <v>5695.3283999999994</v>
      </c>
    </row>
    <row r="162" spans="1:9" ht="16.5" thickBot="1">
      <c r="B162" s="25" t="s">
        <v>304</v>
      </c>
      <c r="C162" s="32">
        <v>240</v>
      </c>
      <c r="D162" s="52">
        <f>4753.14*G149</f>
        <v>6701.9274000000005</v>
      </c>
      <c r="E162" s="51">
        <f>4928*G149</f>
        <v>6948.48</v>
      </c>
      <c r="I162" s="82">
        <f>D155+D156+D157+D158+D159+D160+D161+D162+E155+E156+E157+E158+E159+E160+E161+E162</f>
        <v>71671.977899999998</v>
      </c>
    </row>
    <row r="164" spans="1:9">
      <c r="A164" s="2">
        <v>11</v>
      </c>
      <c r="B164" s="1" t="s">
        <v>48</v>
      </c>
      <c r="F164" s="2" t="s">
        <v>279</v>
      </c>
      <c r="G164" s="2">
        <v>1.41</v>
      </c>
    </row>
    <row r="166" spans="1:9">
      <c r="B166" s="1" t="s">
        <v>137</v>
      </c>
    </row>
    <row r="167" spans="1:9" ht="16.5" thickBot="1"/>
    <row r="168" spans="1:9">
      <c r="B168" s="128" t="s">
        <v>38</v>
      </c>
      <c r="C168" s="108" t="s">
        <v>214</v>
      </c>
      <c r="D168" s="87" t="s">
        <v>47</v>
      </c>
      <c r="E168" s="88"/>
    </row>
    <row r="169" spans="1:9">
      <c r="B169" s="129"/>
      <c r="C169" s="109"/>
      <c r="D169" s="19" t="s">
        <v>91</v>
      </c>
      <c r="E169" s="20" t="s">
        <v>92</v>
      </c>
    </row>
    <row r="170" spans="1:9">
      <c r="B170" s="129"/>
      <c r="C170" s="109"/>
      <c r="D170" s="110" t="s">
        <v>67</v>
      </c>
      <c r="E170" s="111"/>
    </row>
    <row r="171" spans="1:9">
      <c r="B171" s="129"/>
      <c r="C171" s="109"/>
      <c r="D171" s="17" t="s">
        <v>138</v>
      </c>
      <c r="E171" s="24">
        <v>10</v>
      </c>
    </row>
    <row r="172" spans="1:9">
      <c r="B172" s="25" t="s">
        <v>68</v>
      </c>
      <c r="C172" s="17" t="s">
        <v>100</v>
      </c>
      <c r="D172" s="49">
        <f>G164*2631.69</f>
        <v>3710.6828999999998</v>
      </c>
      <c r="E172" s="50">
        <f>G164*2808.45</f>
        <v>3959.9144999999994</v>
      </c>
    </row>
    <row r="173" spans="1:9">
      <c r="B173" s="25" t="s">
        <v>69</v>
      </c>
      <c r="C173" s="17" t="s">
        <v>107</v>
      </c>
      <c r="D173" s="49">
        <f>G164*3289.65</f>
        <v>4638.4065000000001</v>
      </c>
      <c r="E173" s="50">
        <f>G164*3360.75</f>
        <v>4738.6574999999993</v>
      </c>
    </row>
    <row r="174" spans="1:9">
      <c r="B174" s="25" t="s">
        <v>305</v>
      </c>
      <c r="C174" s="17" t="s">
        <v>139</v>
      </c>
      <c r="D174" s="49">
        <f>G164*4090.06</f>
        <v>5766.9845999999998</v>
      </c>
      <c r="E174" s="50">
        <f>G164*5541.72</f>
        <v>7813.8252000000002</v>
      </c>
    </row>
    <row r="175" spans="1:9">
      <c r="B175" s="25" t="s">
        <v>306</v>
      </c>
      <c r="C175" s="17" t="s">
        <v>109</v>
      </c>
      <c r="D175" s="49">
        <f>G164*4986.64</f>
        <v>7031.1624000000002</v>
      </c>
      <c r="E175" s="50">
        <f>G164*5096.21</f>
        <v>7185.6560999999992</v>
      </c>
    </row>
    <row r="176" spans="1:9">
      <c r="B176" s="25" t="s">
        <v>307</v>
      </c>
      <c r="C176" s="17" t="s">
        <v>110</v>
      </c>
      <c r="D176" s="49">
        <f>G164*5931.18</f>
        <v>8362.9637999999995</v>
      </c>
      <c r="E176" s="50">
        <f>G164*6102.24</f>
        <v>8604.1583999999984</v>
      </c>
    </row>
    <row r="177" spans="1:9">
      <c r="B177" s="25" t="s">
        <v>308</v>
      </c>
      <c r="C177" s="17" t="s">
        <v>111</v>
      </c>
      <c r="D177" s="49">
        <f>G164*7481.72</f>
        <v>10549.225199999999</v>
      </c>
      <c r="E177" s="50">
        <f>G164*7550.96</f>
        <v>10646.853599999999</v>
      </c>
    </row>
    <row r="178" spans="1:9">
      <c r="B178" s="25" t="s">
        <v>309</v>
      </c>
      <c r="C178" s="17" t="s">
        <v>112</v>
      </c>
      <c r="D178" s="49">
        <f>G164*8714.82</f>
        <v>12287.896199999999</v>
      </c>
      <c r="E178" s="50">
        <f>G164*8736.42</f>
        <v>12318.352199999999</v>
      </c>
    </row>
    <row r="179" spans="1:9" ht="16.5" thickBot="1">
      <c r="B179" s="25" t="s">
        <v>310</v>
      </c>
      <c r="C179" s="28" t="s">
        <v>113</v>
      </c>
      <c r="D179" s="52">
        <f>G164*10706.51</f>
        <v>15096.179099999999</v>
      </c>
      <c r="E179" s="51">
        <f>G164*10731.59</f>
        <v>15131.5419</v>
      </c>
      <c r="I179" s="82">
        <f>D172+D173+D174+D175+D176+D177+D178+D179+E172+E173+E174+E175+E176+E177+E178+E179</f>
        <v>137842.4601</v>
      </c>
    </row>
    <row r="180" spans="1:9">
      <c r="D180" s="53"/>
      <c r="E180" s="53"/>
    </row>
    <row r="181" spans="1:9">
      <c r="A181" s="2">
        <v>12</v>
      </c>
      <c r="B181" s="1" t="s">
        <v>56</v>
      </c>
      <c r="F181" s="2" t="s">
        <v>280</v>
      </c>
      <c r="G181" s="2">
        <v>1.41</v>
      </c>
    </row>
    <row r="183" spans="1:9">
      <c r="B183" s="3" t="s">
        <v>137</v>
      </c>
    </row>
    <row r="184" spans="1:9" ht="16.5" thickBot="1"/>
    <row r="185" spans="1:9" ht="63">
      <c r="B185" s="106" t="s">
        <v>38</v>
      </c>
      <c r="C185" s="108" t="s">
        <v>140</v>
      </c>
      <c r="D185" s="57" t="s">
        <v>47</v>
      </c>
      <c r="E185" s="57"/>
      <c r="F185" s="57"/>
      <c r="G185" s="58"/>
    </row>
    <row r="186" spans="1:9" ht="15.6" customHeight="1">
      <c r="B186" s="107"/>
      <c r="C186" s="109"/>
      <c r="D186" s="19" t="s">
        <v>91</v>
      </c>
      <c r="E186" s="19" t="s">
        <v>92</v>
      </c>
      <c r="F186" s="17" t="s">
        <v>97</v>
      </c>
      <c r="G186" s="18" t="s">
        <v>101</v>
      </c>
    </row>
    <row r="187" spans="1:9">
      <c r="B187" s="107"/>
      <c r="C187" s="109"/>
      <c r="D187" s="101" t="s">
        <v>102</v>
      </c>
      <c r="E187" s="102"/>
      <c r="F187" s="102"/>
      <c r="G187" s="103"/>
    </row>
    <row r="188" spans="1:9">
      <c r="B188" s="107"/>
      <c r="C188" s="109"/>
      <c r="D188" s="23" t="s">
        <v>103</v>
      </c>
      <c r="E188" s="23" t="s">
        <v>104</v>
      </c>
      <c r="F188" s="23" t="s">
        <v>103</v>
      </c>
      <c r="G188" s="24" t="s">
        <v>104</v>
      </c>
    </row>
    <row r="189" spans="1:9">
      <c r="B189" s="107"/>
      <c r="C189" s="109"/>
      <c r="D189" s="92" t="s">
        <v>105</v>
      </c>
      <c r="E189" s="104"/>
      <c r="F189" s="104"/>
      <c r="G189" s="93"/>
    </row>
    <row r="190" spans="1:9" ht="19.149999999999999" customHeight="1">
      <c r="B190" s="107"/>
      <c r="C190" s="109"/>
      <c r="D190" s="23" t="s">
        <v>101</v>
      </c>
      <c r="E190" s="23" t="s">
        <v>101</v>
      </c>
      <c r="F190" s="23" t="s">
        <v>106</v>
      </c>
      <c r="G190" s="24" t="s">
        <v>106</v>
      </c>
    </row>
    <row r="191" spans="1:9">
      <c r="B191" s="25" t="s">
        <v>163</v>
      </c>
      <c r="C191" s="19" t="s">
        <v>77</v>
      </c>
      <c r="D191" s="45">
        <f>G181*432.92</f>
        <v>610.41719999999998</v>
      </c>
      <c r="E191" s="45">
        <f>G181*960.34</f>
        <v>1354.0794000000001</v>
      </c>
      <c r="F191" s="45">
        <f>G181*467.95</f>
        <v>659.80949999999996</v>
      </c>
      <c r="G191" s="46">
        <f>G181*1127.62</f>
        <v>1589.9441999999997</v>
      </c>
    </row>
    <row r="192" spans="1:9">
      <c r="B192" s="25" t="s">
        <v>164</v>
      </c>
      <c r="C192" s="23" t="s">
        <v>78</v>
      </c>
      <c r="D192" s="45">
        <f>G181*510.99</f>
        <v>720.49590000000001</v>
      </c>
      <c r="E192" s="45">
        <f>G181*1337.31</f>
        <v>1885.6070999999997</v>
      </c>
      <c r="F192" s="45">
        <f>G181*558.32</f>
        <v>787.23120000000006</v>
      </c>
      <c r="G192" s="46">
        <f>G181*1590.85</f>
        <v>2243.0984999999996</v>
      </c>
    </row>
    <row r="193" spans="2:9">
      <c r="B193" s="25" t="s">
        <v>233</v>
      </c>
      <c r="C193" s="23" t="s">
        <v>100</v>
      </c>
      <c r="D193" s="45">
        <f>G181*568.06</f>
        <v>800.9645999999999</v>
      </c>
      <c r="E193" s="45">
        <f>G181*1726.47</f>
        <v>2434.3226999999997</v>
      </c>
      <c r="F193" s="45">
        <f>G181*629.31</f>
        <v>887.32709999999986</v>
      </c>
      <c r="G193" s="46">
        <f>G181*2081.69</f>
        <v>2935.1828999999998</v>
      </c>
    </row>
    <row r="194" spans="2:9">
      <c r="B194" s="25" t="s">
        <v>311</v>
      </c>
      <c r="C194" s="23" t="s">
        <v>107</v>
      </c>
      <c r="D194" s="45">
        <f>G181*658.18</f>
        <v>928.03379999999993</v>
      </c>
      <c r="E194" s="45">
        <f>G181*2194.96</f>
        <v>3094.8935999999999</v>
      </c>
      <c r="F194" s="45">
        <f>G181*746.53</f>
        <v>1052.6072999999999</v>
      </c>
      <c r="G194" s="46">
        <f>G181*2644.01</f>
        <v>3728.0541000000003</v>
      </c>
    </row>
    <row r="195" spans="2:9">
      <c r="B195" s="25" t="s">
        <v>312</v>
      </c>
      <c r="C195" s="23" t="s">
        <v>108</v>
      </c>
      <c r="D195" s="45">
        <f>G181*736.89</f>
        <v>1039.0148999999999</v>
      </c>
      <c r="E195" s="45">
        <f>G181*3030.24</f>
        <v>4272.6383999999998</v>
      </c>
      <c r="F195" s="45">
        <f>G181*878.86</f>
        <v>1239.1925999999999</v>
      </c>
      <c r="G195" s="46">
        <f>G181*3668.93</f>
        <v>5173.1912999999995</v>
      </c>
    </row>
    <row r="196" spans="2:9">
      <c r="B196" s="25" t="s">
        <v>313</v>
      </c>
      <c r="C196" s="23" t="s">
        <v>109</v>
      </c>
      <c r="D196" s="45">
        <f>G181*879.54</f>
        <v>1240.1514</v>
      </c>
      <c r="E196" s="45">
        <f>G181*3879.47</f>
        <v>5470.0526999999993</v>
      </c>
      <c r="F196" s="45">
        <f>G181*1043.72</f>
        <v>1471.6451999999999</v>
      </c>
      <c r="G196" s="46">
        <f>G181*4772.35</f>
        <v>6729.0135</v>
      </c>
    </row>
    <row r="197" spans="2:9">
      <c r="B197" s="25" t="s">
        <v>314</v>
      </c>
      <c r="C197" s="19" t="s">
        <v>110</v>
      </c>
      <c r="D197" s="45">
        <f>G181*1017.44</f>
        <v>1434.5904</v>
      </c>
      <c r="E197" s="45">
        <f>G181*4782.98</f>
        <v>6744.0017999999991</v>
      </c>
      <c r="F197" s="45">
        <f>G181*1225.68</f>
        <v>1728.2087999999999</v>
      </c>
      <c r="G197" s="46">
        <f>G181*5976.58</f>
        <v>8426.9777999999988</v>
      </c>
    </row>
    <row r="198" spans="2:9" ht="15.6" customHeight="1">
      <c r="B198" s="25" t="s">
        <v>315</v>
      </c>
      <c r="C198" s="23" t="s">
        <v>111</v>
      </c>
      <c r="D198" s="45">
        <f>G181*1173.72</f>
        <v>1654.9451999999999</v>
      </c>
      <c r="E198" s="45">
        <f>G181*5780.27</f>
        <v>8150.1806999999999</v>
      </c>
      <c r="F198" s="45">
        <f>G181*1547.91</f>
        <v>2182.5531000000001</v>
      </c>
      <c r="G198" s="46">
        <f>G181*7199.95</f>
        <v>10151.929499999998</v>
      </c>
    </row>
    <row r="199" spans="2:9">
      <c r="B199" s="25" t="s">
        <v>316</v>
      </c>
      <c r="C199" s="23" t="s">
        <v>112</v>
      </c>
      <c r="D199" s="45">
        <f>G181*1487.98</f>
        <v>2098.0517999999997</v>
      </c>
      <c r="E199" s="45">
        <f>G181*7076.96</f>
        <v>9978.5136000000002</v>
      </c>
      <c r="F199" s="45">
        <f>G181*1819.93</f>
        <v>2566.1012999999998</v>
      </c>
      <c r="G199" s="46">
        <f>G181*8933.28</f>
        <v>12595.924800000001</v>
      </c>
    </row>
    <row r="200" spans="2:9" ht="16.5" thickBot="1">
      <c r="B200" s="25" t="s">
        <v>317</v>
      </c>
      <c r="C200" s="27" t="s">
        <v>113</v>
      </c>
      <c r="D200" s="47">
        <f>G181*1802.74</f>
        <v>2541.8633999999997</v>
      </c>
      <c r="E200" s="47">
        <f>G181*9227.76</f>
        <v>13011.141599999999</v>
      </c>
      <c r="F200" s="47">
        <f>G181*2237.21</f>
        <v>3154.4661000000001</v>
      </c>
      <c r="G200" s="44">
        <f>G181*11434.56</f>
        <v>16122.729599999999</v>
      </c>
      <c r="I200" s="82">
        <f>D191+D192+D193+D194+D195+D196+D197+D198+D199+D200+E191+E192+E193+E194+E195+E196+E197+E198+E199+E200+F191+F192+F193+F194+F195+F196+F197+F198+F199+F200+G191+G192+G193+G194+G195+G196+G197+G198+G199+G200</f>
        <v>154889.14859999996</v>
      </c>
    </row>
    <row r="202" spans="2:9" ht="22.15" customHeight="1">
      <c r="B202" s="3" t="s">
        <v>318</v>
      </c>
    </row>
    <row r="203" spans="2:9">
      <c r="B203" s="3" t="s">
        <v>141</v>
      </c>
    </row>
    <row r="204" spans="2:9">
      <c r="B204" s="3" t="s">
        <v>142</v>
      </c>
    </row>
    <row r="205" spans="2:9">
      <c r="B205" s="3" t="s">
        <v>143</v>
      </c>
    </row>
    <row r="206" spans="2:9" ht="15" customHeight="1">
      <c r="B206" s="3" t="s">
        <v>144</v>
      </c>
    </row>
    <row r="208" spans="2:9">
      <c r="B208" s="3" t="s">
        <v>319</v>
      </c>
    </row>
    <row r="209" spans="1:9">
      <c r="B209" s="3" t="s">
        <v>145</v>
      </c>
    </row>
    <row r="211" spans="1:9">
      <c r="B211" s="34"/>
    </row>
    <row r="212" spans="1:9">
      <c r="A212" s="2">
        <v>13</v>
      </c>
      <c r="B212" s="3" t="s">
        <v>70</v>
      </c>
      <c r="F212" s="2" t="s">
        <v>281</v>
      </c>
      <c r="G212" s="2" t="s">
        <v>282</v>
      </c>
    </row>
    <row r="214" spans="1:9">
      <c r="B214" s="3" t="s">
        <v>137</v>
      </c>
    </row>
    <row r="215" spans="1:9" ht="16.5" thickBot="1"/>
    <row r="216" spans="1:9" ht="63">
      <c r="B216" s="118" t="s">
        <v>38</v>
      </c>
      <c r="C216" s="112" t="s">
        <v>67</v>
      </c>
      <c r="D216" s="60" t="s">
        <v>47</v>
      </c>
      <c r="E216" s="60"/>
      <c r="F216" s="60"/>
      <c r="G216" s="68"/>
    </row>
    <row r="217" spans="1:9">
      <c r="B217" s="119"/>
      <c r="C217" s="121"/>
      <c r="D217" s="17" t="s">
        <v>91</v>
      </c>
      <c r="E217" s="17" t="s">
        <v>92</v>
      </c>
      <c r="F217" s="17" t="s">
        <v>97</v>
      </c>
      <c r="G217" s="18" t="s">
        <v>101</v>
      </c>
    </row>
    <row r="218" spans="1:9">
      <c r="B218" s="119"/>
      <c r="C218" s="121"/>
      <c r="D218" s="94" t="s">
        <v>115</v>
      </c>
      <c r="E218" s="95"/>
      <c r="F218" s="95"/>
      <c r="G218" s="96"/>
    </row>
    <row r="219" spans="1:9">
      <c r="B219" s="119"/>
      <c r="C219" s="121"/>
      <c r="D219" s="17" t="s">
        <v>116</v>
      </c>
      <c r="E219" s="17" t="s">
        <v>117</v>
      </c>
      <c r="F219" s="17" t="s">
        <v>116</v>
      </c>
      <c r="G219" s="18" t="s">
        <v>117</v>
      </c>
    </row>
    <row r="220" spans="1:9" ht="15.6" customHeight="1">
      <c r="B220" s="120"/>
      <c r="C220" s="122"/>
      <c r="D220" s="109" t="s">
        <v>65</v>
      </c>
      <c r="E220" s="109"/>
      <c r="F220" s="132" t="s">
        <v>66</v>
      </c>
      <c r="G220" s="133"/>
    </row>
    <row r="221" spans="1:9">
      <c r="B221" s="25" t="s">
        <v>170</v>
      </c>
      <c r="C221" s="17" t="s">
        <v>114</v>
      </c>
      <c r="D221" s="49">
        <f>933.4</f>
        <v>933.4</v>
      </c>
      <c r="E221" s="49">
        <f>933.4</f>
        <v>933.4</v>
      </c>
      <c r="F221" s="49">
        <f>2622.12</f>
        <v>2622.12</v>
      </c>
      <c r="G221" s="50">
        <f>3355.08</f>
        <v>3355.08</v>
      </c>
    </row>
    <row r="222" spans="1:9" ht="16.5" thickBot="1">
      <c r="B222" s="25" t="s">
        <v>171</v>
      </c>
      <c r="C222" s="37" t="s">
        <v>41</v>
      </c>
      <c r="D222" s="52">
        <f>2836.51</f>
        <v>2836.51</v>
      </c>
      <c r="E222" s="52">
        <f>2836.51</f>
        <v>2836.51</v>
      </c>
      <c r="F222" s="52">
        <f>4525.23</f>
        <v>4525.2299999999996</v>
      </c>
      <c r="G222" s="51">
        <f>5258.19</f>
        <v>5258.19</v>
      </c>
      <c r="I222" s="82">
        <f>D221+D222+E221+E222+F221+F222+G221+G222</f>
        <v>23300.44</v>
      </c>
    </row>
    <row r="224" spans="1:9">
      <c r="A224" s="2">
        <v>14</v>
      </c>
      <c r="B224" s="3" t="s">
        <v>71</v>
      </c>
      <c r="F224" s="2" t="s">
        <v>283</v>
      </c>
      <c r="G224" s="2" t="s">
        <v>282</v>
      </c>
    </row>
    <row r="226" spans="2:9">
      <c r="B226" s="3" t="s">
        <v>137</v>
      </c>
    </row>
    <row r="227" spans="2:9" ht="16.5" thickBot="1"/>
    <row r="228" spans="2:9" ht="63">
      <c r="B228" s="118" t="s">
        <v>38</v>
      </c>
      <c r="C228" s="112" t="s">
        <v>67</v>
      </c>
      <c r="D228" s="60" t="s">
        <v>47</v>
      </c>
      <c r="E228" s="60"/>
      <c r="F228" s="60"/>
      <c r="G228" s="68"/>
    </row>
    <row r="229" spans="2:9">
      <c r="B229" s="119"/>
      <c r="C229" s="121"/>
      <c r="D229" s="17" t="s">
        <v>91</v>
      </c>
      <c r="E229" s="17" t="s">
        <v>92</v>
      </c>
      <c r="F229" s="17" t="s">
        <v>97</v>
      </c>
      <c r="G229" s="18" t="s">
        <v>101</v>
      </c>
    </row>
    <row r="230" spans="2:9">
      <c r="B230" s="119"/>
      <c r="C230" s="121"/>
      <c r="D230" s="62" t="s">
        <v>115</v>
      </c>
      <c r="E230" s="62"/>
      <c r="F230" s="62"/>
      <c r="G230" s="64"/>
    </row>
    <row r="231" spans="2:9">
      <c r="B231" s="119"/>
      <c r="C231" s="121"/>
      <c r="D231" s="17" t="s">
        <v>116</v>
      </c>
      <c r="E231" s="17" t="s">
        <v>117</v>
      </c>
      <c r="F231" s="17" t="s">
        <v>116</v>
      </c>
      <c r="G231" s="18" t="s">
        <v>117</v>
      </c>
    </row>
    <row r="232" spans="2:9">
      <c r="B232" s="120"/>
      <c r="C232" s="122"/>
      <c r="D232" s="123" t="s">
        <v>65</v>
      </c>
      <c r="E232" s="123"/>
      <c r="F232" s="114" t="s">
        <v>66</v>
      </c>
      <c r="G232" s="115"/>
    </row>
    <row r="233" spans="2:9">
      <c r="B233" s="25" t="s">
        <v>182</v>
      </c>
      <c r="C233" s="17" t="s">
        <v>114</v>
      </c>
      <c r="D233" s="49">
        <f>4014.81</f>
        <v>4014.81</v>
      </c>
      <c r="E233" s="49">
        <f>4014.81</f>
        <v>4014.81</v>
      </c>
      <c r="F233" s="49">
        <f>5703.53</f>
        <v>5703.53</v>
      </c>
      <c r="G233" s="50">
        <f>6436.49</f>
        <v>6436.49</v>
      </c>
    </row>
    <row r="234" spans="2:9" ht="16.5" thickBot="1">
      <c r="B234" s="25" t="s">
        <v>183</v>
      </c>
      <c r="C234" s="28" t="s">
        <v>118</v>
      </c>
      <c r="D234" s="52">
        <f>5917.92</f>
        <v>5917.92</v>
      </c>
      <c r="E234" s="52">
        <f>5917.92</f>
        <v>5917.92</v>
      </c>
      <c r="F234" s="52">
        <f>7606.64</f>
        <v>7606.64</v>
      </c>
      <c r="G234" s="51">
        <f>8339.6</f>
        <v>8339.6</v>
      </c>
      <c r="I234" s="82">
        <f>D233+D234+E233+E234+F233+F234+G233+G234</f>
        <v>47951.719999999994</v>
      </c>
    </row>
    <row r="236" spans="2:9">
      <c r="B236" s="3" t="s">
        <v>320</v>
      </c>
    </row>
    <row r="237" spans="2:9">
      <c r="B237" s="3" t="s">
        <v>146</v>
      </c>
    </row>
    <row r="238" spans="2:9">
      <c r="B238" s="3" t="s">
        <v>147</v>
      </c>
    </row>
    <row r="239" spans="2:9">
      <c r="B239" s="3" t="s">
        <v>148</v>
      </c>
    </row>
    <row r="240" spans="2:9">
      <c r="B240" s="3" t="s">
        <v>149</v>
      </c>
    </row>
    <row r="241" spans="1:9">
      <c r="B241" s="3" t="s">
        <v>150</v>
      </c>
    </row>
    <row r="243" spans="1:9">
      <c r="B243" s="3" t="s">
        <v>321</v>
      </c>
    </row>
    <row r="244" spans="1:9">
      <c r="B244" s="3" t="s">
        <v>165</v>
      </c>
    </row>
    <row r="246" spans="1:9">
      <c r="A246" s="2">
        <v>15</v>
      </c>
      <c r="B246" s="3" t="s">
        <v>166</v>
      </c>
      <c r="F246" s="2" t="s">
        <v>284</v>
      </c>
      <c r="G246" s="2">
        <v>1.42</v>
      </c>
    </row>
    <row r="248" spans="1:9">
      <c r="B248" s="3" t="s">
        <v>151</v>
      </c>
    </row>
    <row r="249" spans="1:9" ht="16.5" thickBot="1"/>
    <row r="250" spans="1:9" ht="63">
      <c r="B250" s="116" t="s">
        <v>38</v>
      </c>
      <c r="C250" s="108" t="s">
        <v>167</v>
      </c>
      <c r="D250" s="57" t="s">
        <v>47</v>
      </c>
      <c r="E250" s="57"/>
      <c r="F250" s="57"/>
      <c r="G250" s="58"/>
    </row>
    <row r="251" spans="1:9">
      <c r="B251" s="117"/>
      <c r="C251" s="109"/>
      <c r="D251" s="17" t="s">
        <v>91</v>
      </c>
      <c r="E251" s="17" t="s">
        <v>92</v>
      </c>
      <c r="F251" s="17" t="s">
        <v>97</v>
      </c>
      <c r="G251" s="18" t="s">
        <v>101</v>
      </c>
    </row>
    <row r="252" spans="1:9">
      <c r="B252" s="117"/>
      <c r="C252" s="109"/>
      <c r="D252" s="94" t="s">
        <v>168</v>
      </c>
      <c r="E252" s="95"/>
      <c r="F252" s="95"/>
      <c r="G252" s="96"/>
    </row>
    <row r="253" spans="1:9">
      <c r="B253" s="117"/>
      <c r="C253" s="109"/>
      <c r="D253" s="17" t="s">
        <v>91</v>
      </c>
      <c r="E253" s="17" t="s">
        <v>92</v>
      </c>
      <c r="F253" s="17" t="s">
        <v>97</v>
      </c>
      <c r="G253" s="18" t="s">
        <v>101</v>
      </c>
    </row>
    <row r="254" spans="1:9">
      <c r="B254" s="25" t="s">
        <v>187</v>
      </c>
      <c r="C254" s="19" t="s">
        <v>161</v>
      </c>
      <c r="D254" s="45">
        <f>G246*26087.97</f>
        <v>37044.917399999998</v>
      </c>
      <c r="E254" s="45">
        <f>G246*34428.8</f>
        <v>48888.896000000001</v>
      </c>
      <c r="F254" s="45">
        <f>G246*42200.72</f>
        <v>59925.022400000002</v>
      </c>
      <c r="G254" s="46">
        <f>G246*64294.69</f>
        <v>91298.459799999997</v>
      </c>
    </row>
    <row r="255" spans="1:9">
      <c r="B255" s="25" t="s">
        <v>188</v>
      </c>
      <c r="C255" s="19" t="s">
        <v>82</v>
      </c>
      <c r="D255" s="45">
        <f>G246*34384.12</f>
        <v>48825.450400000002</v>
      </c>
      <c r="E255" s="45">
        <f>G246*56445.5</f>
        <v>80152.61</v>
      </c>
      <c r="F255" s="45">
        <f>G246*87943.56</f>
        <v>124879.85519999999</v>
      </c>
      <c r="G255" s="46">
        <f>G246*88715.16</f>
        <v>125975.5272</v>
      </c>
    </row>
    <row r="256" spans="1:9" ht="16.5" thickBot="1">
      <c r="B256" s="25" t="s">
        <v>322</v>
      </c>
      <c r="C256" s="27" t="s">
        <v>169</v>
      </c>
      <c r="D256" s="47">
        <f>G246*35042.84</f>
        <v>49760.832799999989</v>
      </c>
      <c r="E256" s="47">
        <f>G246*142870.28</f>
        <v>202875.79759999999</v>
      </c>
      <c r="F256" s="47">
        <f>G246*144300.42</f>
        <v>204906.59640000001</v>
      </c>
      <c r="G256" s="44">
        <f>G246*145738.25</f>
        <v>206948.315</v>
      </c>
      <c r="I256" s="82">
        <f>D254+D255+D256+E254+E255+E256+F254+F255+F256+G254+G255+G256</f>
        <v>1281482.2801999999</v>
      </c>
    </row>
    <row r="258" spans="1:7">
      <c r="B258" s="3" t="s">
        <v>323</v>
      </c>
    </row>
    <row r="259" spans="1:7">
      <c r="B259" s="3" t="s">
        <v>152</v>
      </c>
    </row>
    <row r="260" spans="1:7">
      <c r="B260" s="3" t="s">
        <v>144</v>
      </c>
    </row>
    <row r="262" spans="1:7">
      <c r="A262" s="2">
        <v>16</v>
      </c>
      <c r="B262" s="3" t="s">
        <v>172</v>
      </c>
      <c r="F262" s="2" t="s">
        <v>285</v>
      </c>
      <c r="G262" s="2">
        <v>1.42</v>
      </c>
    </row>
    <row r="263" spans="1:7">
      <c r="B263" s="34"/>
    </row>
    <row r="264" spans="1:7">
      <c r="B264" s="3" t="s">
        <v>153</v>
      </c>
    </row>
    <row r="265" spans="1:7" ht="16.5" thickBot="1"/>
    <row r="266" spans="1:7" ht="31.5">
      <c r="B266" s="38" t="s">
        <v>38</v>
      </c>
      <c r="C266" s="61" t="s">
        <v>173</v>
      </c>
      <c r="D266" s="61"/>
      <c r="E266" s="61"/>
      <c r="F266" s="61"/>
      <c r="G266" s="6" t="s">
        <v>72</v>
      </c>
    </row>
    <row r="267" spans="1:7" ht="17.45" customHeight="1">
      <c r="B267" s="25" t="s">
        <v>191</v>
      </c>
      <c r="C267" s="94" t="s">
        <v>174</v>
      </c>
      <c r="D267" s="105"/>
      <c r="E267" s="62"/>
      <c r="F267" s="62"/>
      <c r="G267" s="50">
        <f>G262*4.79</f>
        <v>6.8018000000000001</v>
      </c>
    </row>
    <row r="268" spans="1:7">
      <c r="B268" s="25" t="s">
        <v>192</v>
      </c>
      <c r="C268" s="94" t="s">
        <v>175</v>
      </c>
      <c r="D268" s="105"/>
      <c r="E268" s="62"/>
      <c r="F268" s="62"/>
      <c r="G268" s="50">
        <f>G262*13.72</f>
        <v>19.482399999999998</v>
      </c>
    </row>
    <row r="269" spans="1:7">
      <c r="B269" s="25" t="s">
        <v>234</v>
      </c>
      <c r="C269" s="94" t="s">
        <v>176</v>
      </c>
      <c r="D269" s="105"/>
      <c r="E269" s="62"/>
      <c r="F269" s="62"/>
      <c r="G269" s="50">
        <f>G262*23.02</f>
        <v>32.688399999999994</v>
      </c>
    </row>
    <row r="270" spans="1:7">
      <c r="B270" s="25" t="s">
        <v>235</v>
      </c>
      <c r="C270" s="94" t="s">
        <v>177</v>
      </c>
      <c r="D270" s="105"/>
      <c r="E270" s="62"/>
      <c r="F270" s="62"/>
      <c r="G270" s="50">
        <f>G262*201.98</f>
        <v>286.8116</v>
      </c>
    </row>
    <row r="271" spans="1:7">
      <c r="B271" s="25" t="s">
        <v>236</v>
      </c>
      <c r="C271" s="97" t="s">
        <v>178</v>
      </c>
      <c r="D271" s="98"/>
      <c r="E271" s="62"/>
      <c r="F271" s="62"/>
      <c r="G271" s="50">
        <f>G262*510.14</f>
        <v>724.39879999999994</v>
      </c>
    </row>
    <row r="272" spans="1:7">
      <c r="B272" s="25" t="s">
        <v>237</v>
      </c>
      <c r="C272" s="97" t="s">
        <v>179</v>
      </c>
      <c r="D272" s="98"/>
      <c r="E272" s="62"/>
      <c r="F272" s="62"/>
      <c r="G272" s="50">
        <f>G262*949.43</f>
        <v>1348.1905999999999</v>
      </c>
    </row>
    <row r="273" spans="1:9">
      <c r="B273" s="25" t="s">
        <v>324</v>
      </c>
      <c r="C273" s="97" t="s">
        <v>180</v>
      </c>
      <c r="D273" s="98"/>
      <c r="E273" s="62"/>
      <c r="F273" s="62"/>
      <c r="G273" s="50">
        <f>G262*3049.26</f>
        <v>4329.9492</v>
      </c>
    </row>
    <row r="274" spans="1:9" ht="16.5" thickBot="1">
      <c r="B274" s="25" t="s">
        <v>325</v>
      </c>
      <c r="C274" s="99" t="s">
        <v>181</v>
      </c>
      <c r="D274" s="100"/>
      <c r="E274" s="63"/>
      <c r="F274" s="63"/>
      <c r="G274" s="51">
        <f>G262*3949</f>
        <v>5607.58</v>
      </c>
      <c r="I274" s="82">
        <f>G267+G268+G269+G270+G271+G272+G273+G274</f>
        <v>12355.9028</v>
      </c>
    </row>
    <row r="275" spans="1:9">
      <c r="F275"/>
      <c r="G275"/>
    </row>
    <row r="276" spans="1:9">
      <c r="B276" s="3" t="s">
        <v>326</v>
      </c>
    </row>
    <row r="277" spans="1:9">
      <c r="B277" s="3" t="s">
        <v>154</v>
      </c>
    </row>
    <row r="278" spans="1:9">
      <c r="B278" s="3" t="s">
        <v>144</v>
      </c>
    </row>
    <row r="280" spans="1:9">
      <c r="A280" s="2">
        <v>17</v>
      </c>
      <c r="B280" s="3" t="s">
        <v>184</v>
      </c>
      <c r="F280" s="2" t="s">
        <v>286</v>
      </c>
      <c r="G280" s="2">
        <v>1.42</v>
      </c>
    </row>
    <row r="282" spans="1:9">
      <c r="B282" s="3" t="s">
        <v>151</v>
      </c>
    </row>
    <row r="283" spans="1:9" ht="16.5" thickBot="1"/>
    <row r="284" spans="1:9" ht="32.25" thickBot="1">
      <c r="B284" s="35" t="s">
        <v>38</v>
      </c>
      <c r="C284" s="112" t="s">
        <v>167</v>
      </c>
      <c r="D284" s="112"/>
      <c r="E284" s="39" t="s">
        <v>72</v>
      </c>
    </row>
    <row r="285" spans="1:9" ht="16.5" thickBot="1">
      <c r="B285" s="40" t="s">
        <v>198</v>
      </c>
      <c r="C285" s="85" t="s">
        <v>185</v>
      </c>
      <c r="D285" s="85"/>
      <c r="E285" s="54">
        <f>G280*2672.47</f>
        <v>3794.9073999999996</v>
      </c>
    </row>
    <row r="286" spans="1:9" ht="16.5" thickBot="1">
      <c r="B286" s="40" t="s">
        <v>199</v>
      </c>
      <c r="C286" s="86" t="s">
        <v>186</v>
      </c>
      <c r="D286" s="86"/>
      <c r="E286" s="50">
        <f>G280*3447.76</f>
        <v>4895.8191999999999</v>
      </c>
    </row>
    <row r="287" spans="1:9" ht="16.5" thickBot="1">
      <c r="B287" s="40" t="s">
        <v>327</v>
      </c>
      <c r="C287" s="113" t="s">
        <v>189</v>
      </c>
      <c r="D287" s="113"/>
      <c r="E287" s="55">
        <f>G280*6615.27</f>
        <v>9393.6833999999999</v>
      </c>
      <c r="I287" s="82">
        <f>E285+E286+E287</f>
        <v>18084.41</v>
      </c>
    </row>
    <row r="289" spans="1:9">
      <c r="B289" s="3" t="s">
        <v>328</v>
      </c>
    </row>
    <row r="290" spans="1:9">
      <c r="B290" s="3" t="s">
        <v>155</v>
      </c>
    </row>
    <row r="291" spans="1:9">
      <c r="B291" s="3" t="s">
        <v>156</v>
      </c>
    </row>
    <row r="293" spans="1:9">
      <c r="A293" s="2">
        <v>18</v>
      </c>
      <c r="B293" s="3" t="s">
        <v>190</v>
      </c>
      <c r="F293" s="2" t="s">
        <v>287</v>
      </c>
      <c r="G293" s="2">
        <v>2.0299999999999998</v>
      </c>
    </row>
    <row r="294" spans="1:9">
      <c r="F294" s="2" t="s">
        <v>288</v>
      </c>
      <c r="G294" s="2">
        <v>1.9</v>
      </c>
    </row>
    <row r="295" spans="1:9">
      <c r="B295" s="3" t="s">
        <v>157</v>
      </c>
    </row>
    <row r="296" spans="1:9" ht="16.5" thickBot="1"/>
    <row r="297" spans="1:9">
      <c r="B297" s="106" t="s">
        <v>38</v>
      </c>
      <c r="C297" s="85" t="s">
        <v>67</v>
      </c>
      <c r="D297" s="87" t="s">
        <v>193</v>
      </c>
      <c r="E297" s="88"/>
    </row>
    <row r="298" spans="1:9">
      <c r="B298" s="107"/>
      <c r="C298" s="86"/>
      <c r="D298" s="17" t="s">
        <v>91</v>
      </c>
      <c r="E298" s="18" t="s">
        <v>92</v>
      </c>
    </row>
    <row r="299" spans="1:9">
      <c r="B299" s="107"/>
      <c r="C299" s="86"/>
      <c r="D299" s="89" t="s">
        <v>194</v>
      </c>
      <c r="E299" s="90"/>
    </row>
    <row r="300" spans="1:9" ht="63">
      <c r="B300" s="107"/>
      <c r="C300" s="86"/>
      <c r="D300" s="22" t="s">
        <v>195</v>
      </c>
      <c r="E300" s="41" t="s">
        <v>196</v>
      </c>
    </row>
    <row r="301" spans="1:9">
      <c r="B301" s="25" t="s">
        <v>203</v>
      </c>
      <c r="C301" s="17" t="s">
        <v>114</v>
      </c>
      <c r="D301" s="49">
        <f>963.68*G293</f>
        <v>1956.2703999999997</v>
      </c>
      <c r="E301" s="50">
        <f>1526.73*G293</f>
        <v>3099.2618999999995</v>
      </c>
    </row>
    <row r="302" spans="1:9" ht="16.5" thickBot="1">
      <c r="B302" s="25" t="s">
        <v>204</v>
      </c>
      <c r="C302" s="37" t="s">
        <v>41</v>
      </c>
      <c r="D302" s="52">
        <f>1929.53*G294</f>
        <v>3666.107</v>
      </c>
      <c r="E302" s="51">
        <f>3054.93*G294</f>
        <v>5804.3669999999993</v>
      </c>
      <c r="I302" s="82">
        <f>D301+E301+D302+E302</f>
        <v>14526.006299999997</v>
      </c>
    </row>
    <row r="304" spans="1:9">
      <c r="B304" s="3" t="s">
        <v>329</v>
      </c>
    </row>
    <row r="306" spans="1:9">
      <c r="B306" s="3" t="s">
        <v>330</v>
      </c>
    </row>
    <row r="307" spans="1:9">
      <c r="B307" s="3" t="s">
        <v>158</v>
      </c>
    </row>
    <row r="308" spans="1:9">
      <c r="B308" s="3" t="s">
        <v>159</v>
      </c>
      <c r="F308"/>
      <c r="G308"/>
    </row>
    <row r="309" spans="1:9">
      <c r="B309" s="3" t="s">
        <v>197</v>
      </c>
      <c r="F309"/>
      <c r="G309"/>
    </row>
    <row r="310" spans="1:9">
      <c r="F310"/>
      <c r="G310"/>
    </row>
    <row r="311" spans="1:9">
      <c r="A311" s="2">
        <v>19</v>
      </c>
      <c r="B311" s="3" t="s">
        <v>290</v>
      </c>
      <c r="F311" s="75" t="s">
        <v>291</v>
      </c>
      <c r="G311">
        <v>1.1599999999999999</v>
      </c>
    </row>
    <row r="312" spans="1:9">
      <c r="F312"/>
      <c r="G312"/>
    </row>
    <row r="313" spans="1:9">
      <c r="B313" s="3" t="s">
        <v>157</v>
      </c>
      <c r="F313"/>
      <c r="G313"/>
    </row>
    <row r="314" spans="1:9" ht="16.5" thickBot="1">
      <c r="F314"/>
      <c r="G314"/>
    </row>
    <row r="315" spans="1:9">
      <c r="B315" s="106" t="s">
        <v>38</v>
      </c>
      <c r="C315" s="85" t="s">
        <v>67</v>
      </c>
      <c r="D315" s="87" t="s">
        <v>193</v>
      </c>
      <c r="E315" s="88"/>
      <c r="F315"/>
      <c r="G315"/>
    </row>
    <row r="316" spans="1:9">
      <c r="B316" s="107"/>
      <c r="C316" s="86"/>
      <c r="D316" s="62" t="s">
        <v>91</v>
      </c>
      <c r="E316" s="64" t="s">
        <v>92</v>
      </c>
      <c r="F316"/>
      <c r="G316"/>
    </row>
    <row r="317" spans="1:9">
      <c r="B317" s="107"/>
      <c r="C317" s="86"/>
      <c r="D317" s="89" t="s">
        <v>194</v>
      </c>
      <c r="E317" s="90"/>
      <c r="F317"/>
      <c r="G317"/>
    </row>
    <row r="318" spans="1:9" ht="63">
      <c r="B318" s="107"/>
      <c r="C318" s="86"/>
      <c r="D318" s="22" t="s">
        <v>195</v>
      </c>
      <c r="E318" s="41" t="s">
        <v>196</v>
      </c>
    </row>
    <row r="319" spans="1:9">
      <c r="B319" s="25" t="s">
        <v>210</v>
      </c>
      <c r="C319" s="62" t="s">
        <v>114</v>
      </c>
      <c r="D319" s="49">
        <f>949.02*G311</f>
        <v>1100.8632</v>
      </c>
      <c r="E319" s="50">
        <f>1214.64*G311</f>
        <v>1408.9824000000001</v>
      </c>
    </row>
    <row r="320" spans="1:9" ht="16.5" thickBot="1">
      <c r="B320" s="25" t="s">
        <v>211</v>
      </c>
      <c r="C320" s="37" t="s">
        <v>41</v>
      </c>
      <c r="D320" s="52">
        <f>1262.83*G311</f>
        <v>1464.8827999999999</v>
      </c>
      <c r="E320" s="51">
        <f>1421.78*G311</f>
        <v>1649.2647999999999</v>
      </c>
      <c r="I320" s="82">
        <f>D319+D320+E319+E320</f>
        <v>5623.9931999999999</v>
      </c>
    </row>
    <row r="321" spans="1:9">
      <c r="B321" s="76"/>
      <c r="C321" s="76"/>
      <c r="D321" s="77"/>
      <c r="E321" s="77"/>
    </row>
    <row r="322" spans="1:9">
      <c r="A322" s="2">
        <v>20</v>
      </c>
      <c r="B322" s="3" t="s">
        <v>202</v>
      </c>
      <c r="F322" s="2" t="s">
        <v>289</v>
      </c>
      <c r="G322" s="2">
        <v>1.1599999999999999</v>
      </c>
    </row>
    <row r="323" spans="1:9" ht="16.5" thickBot="1"/>
    <row r="324" spans="1:9" ht="34.5">
      <c r="B324" s="29" t="s">
        <v>38</v>
      </c>
      <c r="C324" s="30" t="s">
        <v>201</v>
      </c>
      <c r="D324" s="36" t="s">
        <v>72</v>
      </c>
    </row>
    <row r="325" spans="1:9">
      <c r="B325" s="25" t="s">
        <v>219</v>
      </c>
      <c r="C325" s="17" t="s">
        <v>200</v>
      </c>
      <c r="D325" s="50">
        <f>G322*808.95</f>
        <v>938.38199999999995</v>
      </c>
    </row>
    <row r="326" spans="1:9" ht="22.9" customHeight="1">
      <c r="B326" s="25" t="s">
        <v>220</v>
      </c>
      <c r="C326" s="17" t="s">
        <v>109</v>
      </c>
      <c r="D326" s="50">
        <f>G322*964.5</f>
        <v>1118.82</v>
      </c>
      <c r="G326"/>
    </row>
    <row r="327" spans="1:9">
      <c r="B327" s="25" t="s">
        <v>221</v>
      </c>
      <c r="C327" s="17" t="s">
        <v>110</v>
      </c>
      <c r="D327" s="50">
        <f>G322*1109.82</f>
        <v>1287.3911999999998</v>
      </c>
      <c r="G327"/>
    </row>
    <row r="328" spans="1:9">
      <c r="B328" s="25" t="s">
        <v>222</v>
      </c>
      <c r="C328" s="17" t="s">
        <v>111</v>
      </c>
      <c r="D328" s="50">
        <f>G322*1289.61</f>
        <v>1495.9475999999997</v>
      </c>
      <c r="G328"/>
    </row>
    <row r="329" spans="1:9">
      <c r="B329" s="25" t="s">
        <v>331</v>
      </c>
      <c r="C329" s="17" t="s">
        <v>112</v>
      </c>
      <c r="D329" s="50">
        <f>G322*1470.81</f>
        <v>1706.1395999999997</v>
      </c>
      <c r="F329"/>
      <c r="G329"/>
    </row>
    <row r="330" spans="1:9" ht="16.5" thickBot="1">
      <c r="B330" s="25" t="s">
        <v>332</v>
      </c>
      <c r="C330" s="28" t="s">
        <v>113</v>
      </c>
      <c r="D330" s="51">
        <f>G322*1912.56</f>
        <v>2218.5695999999998</v>
      </c>
      <c r="F330"/>
      <c r="G330"/>
      <c r="I330" s="82">
        <f>D325+D326+D327+D328+D329+D330</f>
        <v>8765.2499999999982</v>
      </c>
    </row>
    <row r="332" spans="1:9">
      <c r="B332" s="3" t="s">
        <v>333</v>
      </c>
      <c r="F332"/>
      <c r="G332"/>
    </row>
    <row r="333" spans="1:9">
      <c r="B333" s="3" t="s">
        <v>160</v>
      </c>
      <c r="F333"/>
      <c r="G333"/>
    </row>
    <row r="334" spans="1:9">
      <c r="B334" s="34"/>
      <c r="F334"/>
      <c r="G334"/>
    </row>
    <row r="335" spans="1:9" ht="16.5" thickBot="1">
      <c r="A335" s="2">
        <v>21</v>
      </c>
      <c r="B335" s="3" t="s">
        <v>292</v>
      </c>
      <c r="F335" s="2" t="s">
        <v>293</v>
      </c>
      <c r="G335" s="2">
        <v>1.1599999999999999</v>
      </c>
    </row>
    <row r="336" spans="1:9" ht="34.5">
      <c r="B336" s="65" t="s">
        <v>38</v>
      </c>
      <c r="C336" s="60" t="s">
        <v>201</v>
      </c>
      <c r="D336" s="68" t="s">
        <v>72</v>
      </c>
      <c r="F336"/>
      <c r="G336"/>
    </row>
    <row r="337" spans="1:9">
      <c r="B337" s="25" t="s">
        <v>223</v>
      </c>
      <c r="C337" s="62">
        <v>16</v>
      </c>
      <c r="D337" s="50">
        <f>405.81*G335</f>
        <v>470.7396</v>
      </c>
      <c r="F337"/>
      <c r="G337"/>
    </row>
    <row r="338" spans="1:9">
      <c r="B338" s="25" t="s">
        <v>334</v>
      </c>
      <c r="C338" s="62">
        <v>25</v>
      </c>
      <c r="D338" s="50">
        <f>446.04*G335</f>
        <v>517.40639999999996</v>
      </c>
    </row>
    <row r="339" spans="1:9">
      <c r="B339" s="25" t="s">
        <v>335</v>
      </c>
      <c r="C339" s="62">
        <v>35</v>
      </c>
      <c r="D339" s="50">
        <f>485.12*G335</f>
        <v>562.73919999999998</v>
      </c>
    </row>
    <row r="340" spans="1:9">
      <c r="B340" s="25" t="s">
        <v>336</v>
      </c>
      <c r="C340" s="62">
        <v>50</v>
      </c>
      <c r="D340" s="50">
        <f>547.16*G335</f>
        <v>634.70559999999989</v>
      </c>
    </row>
    <row r="341" spans="1:9" ht="15.6" customHeight="1">
      <c r="B341" s="25" t="s">
        <v>337</v>
      </c>
      <c r="C341" s="62">
        <v>70</v>
      </c>
      <c r="D341" s="50">
        <f>652.31*G335</f>
        <v>756.67959999999994</v>
      </c>
    </row>
    <row r="342" spans="1:9" ht="16.5" thickBot="1">
      <c r="B342" s="25" t="s">
        <v>338</v>
      </c>
      <c r="C342" s="63">
        <v>95</v>
      </c>
      <c r="D342" s="51">
        <f>761.97*G335</f>
        <v>883.88519999999994</v>
      </c>
      <c r="I342" s="82">
        <f>D337+D338+D339+D340+D341+D342</f>
        <v>3826.1556</v>
      </c>
    </row>
    <row r="345" spans="1:9">
      <c r="A345" s="2">
        <v>22</v>
      </c>
      <c r="B345" s="3" t="s">
        <v>212</v>
      </c>
      <c r="F345" s="2" t="s">
        <v>294</v>
      </c>
      <c r="G345" s="2" t="s">
        <v>282</v>
      </c>
    </row>
    <row r="347" spans="1:9">
      <c r="B347" s="3" t="s">
        <v>137</v>
      </c>
    </row>
    <row r="348" spans="1:9" ht="16.5" thickBot="1"/>
    <row r="349" spans="1:9" ht="31.5">
      <c r="B349" s="4" t="s">
        <v>38</v>
      </c>
      <c r="C349" s="5" t="s">
        <v>67</v>
      </c>
      <c r="D349" s="5" t="s">
        <v>206</v>
      </c>
      <c r="E349" s="33" t="s">
        <v>72</v>
      </c>
    </row>
    <row r="350" spans="1:9">
      <c r="B350" s="25" t="s">
        <v>224</v>
      </c>
      <c r="C350" s="23" t="s">
        <v>114</v>
      </c>
      <c r="D350" s="19" t="s">
        <v>91</v>
      </c>
      <c r="E350" s="24" t="s">
        <v>207</v>
      </c>
    </row>
    <row r="351" spans="1:9">
      <c r="B351" s="25" t="s">
        <v>238</v>
      </c>
      <c r="C351" s="23" t="s">
        <v>205</v>
      </c>
      <c r="D351" s="19" t="s">
        <v>92</v>
      </c>
      <c r="E351" s="24" t="s">
        <v>208</v>
      </c>
    </row>
    <row r="352" spans="1:9">
      <c r="B352" s="25" t="s">
        <v>239</v>
      </c>
      <c r="C352" s="23" t="s">
        <v>205</v>
      </c>
      <c r="D352" s="23" t="s">
        <v>106</v>
      </c>
      <c r="E352" s="24" t="s">
        <v>208</v>
      </c>
    </row>
    <row r="353" spans="1:9" ht="16.5" thickBot="1">
      <c r="B353" s="25" t="s">
        <v>240</v>
      </c>
      <c r="C353" s="27" t="s">
        <v>205</v>
      </c>
      <c r="D353" s="32" t="s">
        <v>138</v>
      </c>
      <c r="E353" s="9" t="s">
        <v>209</v>
      </c>
      <c r="I353">
        <f>E350+E351+E352+E353</f>
        <v>5114.53</v>
      </c>
    </row>
    <row r="355" spans="1:9">
      <c r="A355" s="2">
        <v>23</v>
      </c>
      <c r="B355" s="3" t="s">
        <v>215</v>
      </c>
      <c r="F355" s="2" t="s">
        <v>295</v>
      </c>
      <c r="G355" s="2" t="s">
        <v>282</v>
      </c>
    </row>
    <row r="356" spans="1:9">
      <c r="B356" s="34"/>
    </row>
    <row r="357" spans="1:9">
      <c r="B357" s="3" t="s">
        <v>137</v>
      </c>
    </row>
    <row r="358" spans="1:9" ht="16.5" thickBot="1"/>
    <row r="359" spans="1:9" ht="31.5">
      <c r="B359" s="4" t="s">
        <v>38</v>
      </c>
      <c r="C359" s="5" t="s">
        <v>67</v>
      </c>
      <c r="D359" s="6" t="s">
        <v>218</v>
      </c>
    </row>
    <row r="360" spans="1:9" ht="16.5" thickBot="1">
      <c r="B360" s="26" t="s">
        <v>339</v>
      </c>
      <c r="C360" s="32" t="s">
        <v>216</v>
      </c>
      <c r="D360" s="42" t="s">
        <v>217</v>
      </c>
      <c r="I360" t="str">
        <f>D360</f>
        <v>866,60</v>
      </c>
    </row>
    <row r="362" spans="1:9">
      <c r="A362" s="2">
        <v>24</v>
      </c>
      <c r="B362" s="3" t="s">
        <v>225</v>
      </c>
      <c r="F362" s="2" t="s">
        <v>296</v>
      </c>
      <c r="G362" s="2" t="s">
        <v>282</v>
      </c>
    </row>
    <row r="363" spans="1:9">
      <c r="B363" s="3" t="s">
        <v>162</v>
      </c>
    </row>
    <row r="364" spans="1:9" ht="16.5" thickBot="1"/>
    <row r="365" spans="1:9" ht="63">
      <c r="B365" s="4" t="s">
        <v>38</v>
      </c>
      <c r="C365" s="30" t="s">
        <v>226</v>
      </c>
      <c r="D365" s="36" t="s">
        <v>218</v>
      </c>
    </row>
    <row r="366" spans="1:9">
      <c r="B366" s="25" t="s">
        <v>340</v>
      </c>
      <c r="C366" s="19" t="s">
        <v>227</v>
      </c>
      <c r="D366" s="20">
        <v>4.26</v>
      </c>
      <c r="E366"/>
    </row>
    <row r="367" spans="1:9">
      <c r="B367" s="25" t="s">
        <v>341</v>
      </c>
      <c r="C367" s="19" t="s">
        <v>228</v>
      </c>
      <c r="D367" s="20">
        <v>7.09</v>
      </c>
      <c r="E367"/>
    </row>
    <row r="368" spans="1:9">
      <c r="B368" s="25" t="s">
        <v>342</v>
      </c>
      <c r="C368" s="19" t="s">
        <v>229</v>
      </c>
      <c r="D368" s="20">
        <v>14.18</v>
      </c>
    </row>
    <row r="369" spans="2:9">
      <c r="B369" s="25" t="s">
        <v>343</v>
      </c>
      <c r="C369" s="19" t="s">
        <v>230</v>
      </c>
      <c r="D369" s="20">
        <v>56.73</v>
      </c>
    </row>
    <row r="370" spans="2:9">
      <c r="B370" s="25" t="s">
        <v>344</v>
      </c>
      <c r="C370" s="19" t="s">
        <v>231</v>
      </c>
      <c r="D370" s="20">
        <v>99.28</v>
      </c>
    </row>
    <row r="371" spans="2:9" ht="16.5" thickBot="1">
      <c r="B371" s="25" t="s">
        <v>345</v>
      </c>
      <c r="C371" s="32" t="s">
        <v>232</v>
      </c>
      <c r="D371" s="42">
        <v>425.5</v>
      </c>
      <c r="I371">
        <f>D366+D367+D368+D369+D370+D371</f>
        <v>607.04</v>
      </c>
    </row>
    <row r="374" spans="2:9">
      <c r="B374" s="2" t="s">
        <v>346</v>
      </c>
      <c r="D374" s="56"/>
      <c r="I374" s="82">
        <f>I8+I20+I47+I68+I98+I110+I125+I147+I162+I179+I200++I222+I234+I256+I274+I287+I302+I320+I342+I353+I360+I371</f>
        <v>2397580.4323</v>
      </c>
    </row>
    <row r="375" spans="2:9">
      <c r="B375" s="2" t="s">
        <v>347</v>
      </c>
      <c r="D375" s="56"/>
      <c r="E375" s="84" t="s">
        <v>348</v>
      </c>
      <c r="F375" s="83">
        <f>F376*F377*F378</f>
        <v>1.2124428960000002</v>
      </c>
      <c r="I375" s="82">
        <f>I374*F375</f>
        <v>2906929.3627307443</v>
      </c>
    </row>
    <row r="376" spans="2:9">
      <c r="B376" s="2" t="s">
        <v>353</v>
      </c>
      <c r="E376" s="2" t="s">
        <v>349</v>
      </c>
      <c r="F376" s="2">
        <v>1.0640000000000001</v>
      </c>
      <c r="I376" s="82">
        <v>581385.88</v>
      </c>
    </row>
    <row r="377" spans="2:9">
      <c r="B377" s="2" t="s">
        <v>352</v>
      </c>
      <c r="E377" s="2" t="s">
        <v>350</v>
      </c>
      <c r="F377" s="2">
        <v>1.0740000000000001</v>
      </c>
      <c r="I377" s="82">
        <v>3488315.24</v>
      </c>
    </row>
    <row r="378" spans="2:9">
      <c r="E378" s="2" t="s">
        <v>351</v>
      </c>
      <c r="F378" s="2">
        <v>1.0609999999999999</v>
      </c>
    </row>
    <row r="379" spans="2:9">
      <c r="B379" s="135" t="s">
        <v>356</v>
      </c>
      <c r="C379" s="135"/>
      <c r="D379" s="135"/>
      <c r="G379" s="134"/>
      <c r="H379" s="137" t="s">
        <v>357</v>
      </c>
    </row>
  </sheetData>
  <mergeCells count="61">
    <mergeCell ref="B2:I2"/>
    <mergeCell ref="B216:B220"/>
    <mergeCell ref="C216:C220"/>
    <mergeCell ref="D220:E220"/>
    <mergeCell ref="F220:G220"/>
    <mergeCell ref="D218:G218"/>
    <mergeCell ref="B185:B190"/>
    <mergeCell ref="C185:C190"/>
    <mergeCell ref="D168:E168"/>
    <mergeCell ref="D86:E87"/>
    <mergeCell ref="B168:B171"/>
    <mergeCell ref="C168:C171"/>
    <mergeCell ref="D170:E170"/>
    <mergeCell ref="B115:B118"/>
    <mergeCell ref="C115:C118"/>
    <mergeCell ref="D115:D118"/>
    <mergeCell ref="B315:B318"/>
    <mergeCell ref="F232:G232"/>
    <mergeCell ref="B250:B253"/>
    <mergeCell ref="C250:C253"/>
    <mergeCell ref="B228:B232"/>
    <mergeCell ref="C228:C232"/>
    <mergeCell ref="D232:E232"/>
    <mergeCell ref="C284:D284"/>
    <mergeCell ref="C285:D285"/>
    <mergeCell ref="B297:B300"/>
    <mergeCell ref="C297:C300"/>
    <mergeCell ref="C287:D287"/>
    <mergeCell ref="D299:E299"/>
    <mergeCell ref="D297:E297"/>
    <mergeCell ref="C286:D286"/>
    <mergeCell ref="D31:E31"/>
    <mergeCell ref="B152:B154"/>
    <mergeCell ref="C152:C154"/>
    <mergeCell ref="D152:E152"/>
    <mergeCell ref="D153:E153"/>
    <mergeCell ref="D55:E55"/>
    <mergeCell ref="B86:B89"/>
    <mergeCell ref="C86:C89"/>
    <mergeCell ref="D88:E88"/>
    <mergeCell ref="D35:E35"/>
    <mergeCell ref="D33:E33"/>
    <mergeCell ref="B53:B56"/>
    <mergeCell ref="C53:C56"/>
    <mergeCell ref="D53:E53"/>
    <mergeCell ref="C315:C318"/>
    <mergeCell ref="D315:E315"/>
    <mergeCell ref="D317:E317"/>
    <mergeCell ref="B3:D3"/>
    <mergeCell ref="E117:F117"/>
    <mergeCell ref="D252:G252"/>
    <mergeCell ref="C272:D272"/>
    <mergeCell ref="C273:D273"/>
    <mergeCell ref="C274:D274"/>
    <mergeCell ref="D187:G187"/>
    <mergeCell ref="D189:G189"/>
    <mergeCell ref="C268:D268"/>
    <mergeCell ref="C269:D269"/>
    <mergeCell ref="C270:D270"/>
    <mergeCell ref="C271:D271"/>
    <mergeCell ref="C267:D26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nloskutova</cp:lastModifiedBy>
  <cp:lastPrinted>2025-04-02T13:01:41Z</cp:lastPrinted>
  <dcterms:created xsi:type="dcterms:W3CDTF">2025-02-14T06:44:28Z</dcterms:created>
  <dcterms:modified xsi:type="dcterms:W3CDTF">2025-04-02T13:02:40Z</dcterms:modified>
</cp:coreProperties>
</file>