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Мордовская СП\ГАУЗ РМ МРСП\Документация СМ\"/>
    </mc:Choice>
  </mc:AlternateContent>
  <xr:revisionPtr revIDLastSave="0" documentId="13_ncr:1_{ADAC75F0-4451-4921-BDFD-6C2FF8F1D4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Лист1!$A$2:$N$76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8" i="1" l="1"/>
  <c r="N31" i="1"/>
  <c r="N7" i="1"/>
  <c r="N8" i="1"/>
  <c r="N9" i="1"/>
  <c r="N12" i="1"/>
  <c r="N13" i="1"/>
  <c r="N14" i="1"/>
  <c r="N15" i="1"/>
  <c r="N16" i="1"/>
  <c r="N18" i="1"/>
  <c r="N20" i="1"/>
  <c r="N22" i="1"/>
  <c r="N23" i="1"/>
  <c r="N25" i="1"/>
  <c r="N26" i="1"/>
  <c r="N27" i="1"/>
  <c r="N28" i="1"/>
  <c r="N29" i="1"/>
  <c r="N30" i="1"/>
  <c r="N32" i="1"/>
  <c r="N34" i="1"/>
  <c r="N35" i="1"/>
  <c r="N38" i="1"/>
  <c r="N39" i="1"/>
  <c r="N40" i="1"/>
  <c r="N42" i="1"/>
  <c r="N44" i="1"/>
  <c r="N45" i="1"/>
  <c r="N46" i="1"/>
  <c r="N47" i="1"/>
  <c r="N48" i="1"/>
  <c r="N49" i="1"/>
  <c r="N55" i="1"/>
  <c r="L51" i="1"/>
  <c r="J51" i="1" s="1"/>
  <c r="K51" i="1" s="1"/>
  <c r="M7" i="1"/>
  <c r="M8" i="1"/>
  <c r="M9" i="1"/>
  <c r="M10" i="1"/>
  <c r="N10" i="1" s="1"/>
  <c r="M11" i="1"/>
  <c r="N11" i="1" s="1"/>
  <c r="M12" i="1"/>
  <c r="M13" i="1"/>
  <c r="M14" i="1"/>
  <c r="M15" i="1"/>
  <c r="M16" i="1"/>
  <c r="M17" i="1"/>
  <c r="N17" i="1" s="1"/>
  <c r="M18" i="1"/>
  <c r="M19" i="1"/>
  <c r="N19" i="1" s="1"/>
  <c r="M20" i="1"/>
  <c r="M21" i="1"/>
  <c r="N21" i="1" s="1"/>
  <c r="M22" i="1"/>
  <c r="M23" i="1"/>
  <c r="M24" i="1"/>
  <c r="N24" i="1" s="1"/>
  <c r="M25" i="1"/>
  <c r="M26" i="1"/>
  <c r="M27" i="1"/>
  <c r="M28" i="1"/>
  <c r="M29" i="1"/>
  <c r="M30" i="1"/>
  <c r="M31" i="1"/>
  <c r="M32" i="1"/>
  <c r="M33" i="1"/>
  <c r="N33" i="1" s="1"/>
  <c r="M34" i="1"/>
  <c r="M35" i="1"/>
  <c r="M36" i="1"/>
  <c r="N36" i="1" s="1"/>
  <c r="M37" i="1"/>
  <c r="N37" i="1" s="1"/>
  <c r="M38" i="1"/>
  <c r="M39" i="1"/>
  <c r="M40" i="1"/>
  <c r="M41" i="1"/>
  <c r="N41" i="1" s="1"/>
  <c r="M42" i="1"/>
  <c r="M43" i="1"/>
  <c r="N43" i="1" s="1"/>
  <c r="M44" i="1"/>
  <c r="M45" i="1"/>
  <c r="M46" i="1"/>
  <c r="M47" i="1"/>
  <c r="M48" i="1"/>
  <c r="M49" i="1"/>
  <c r="M50" i="1"/>
  <c r="N50" i="1" s="1"/>
  <c r="M51" i="1"/>
  <c r="N51" i="1" s="1"/>
  <c r="M52" i="1"/>
  <c r="N52" i="1" s="1"/>
  <c r="M53" i="1"/>
  <c r="N53" i="1" s="1"/>
  <c r="M54" i="1"/>
  <c r="N54" i="1" s="1"/>
  <c r="M55" i="1"/>
  <c r="L7" i="1"/>
  <c r="J7" i="1" s="1"/>
  <c r="K7" i="1" s="1"/>
  <c r="L8" i="1"/>
  <c r="J8" i="1" s="1"/>
  <c r="K8" i="1" s="1"/>
  <c r="L9" i="1"/>
  <c r="L10" i="1"/>
  <c r="L11" i="1"/>
  <c r="J11" i="1" s="1"/>
  <c r="K11" i="1" s="1"/>
  <c r="L12" i="1"/>
  <c r="J12" i="1" s="1"/>
  <c r="K12" i="1" s="1"/>
  <c r="L13" i="1"/>
  <c r="J13" i="1" s="1"/>
  <c r="K13" i="1" s="1"/>
  <c r="L14" i="1"/>
  <c r="J14" i="1" s="1"/>
  <c r="K14" i="1" s="1"/>
  <c r="L15" i="1"/>
  <c r="J15" i="1" s="1"/>
  <c r="K15" i="1" s="1"/>
  <c r="L16" i="1"/>
  <c r="J16" i="1" s="1"/>
  <c r="K16" i="1" s="1"/>
  <c r="L17" i="1"/>
  <c r="J17" i="1" s="1"/>
  <c r="K17" i="1" s="1"/>
  <c r="L18" i="1"/>
  <c r="J18" i="1" s="1"/>
  <c r="K18" i="1" s="1"/>
  <c r="L19" i="1"/>
  <c r="J19" i="1" s="1"/>
  <c r="K19" i="1" s="1"/>
  <c r="L20" i="1"/>
  <c r="J20" i="1" s="1"/>
  <c r="K20" i="1" s="1"/>
  <c r="L21" i="1"/>
  <c r="J21" i="1" s="1"/>
  <c r="K21" i="1" s="1"/>
  <c r="L22" i="1"/>
  <c r="J22" i="1" s="1"/>
  <c r="K22" i="1" s="1"/>
  <c r="L23" i="1"/>
  <c r="J23" i="1" s="1"/>
  <c r="K23" i="1" s="1"/>
  <c r="L24" i="1"/>
  <c r="J24" i="1" s="1"/>
  <c r="K24" i="1" s="1"/>
  <c r="L25" i="1"/>
  <c r="J25" i="1" s="1"/>
  <c r="K25" i="1" s="1"/>
  <c r="L26" i="1"/>
  <c r="J26" i="1" s="1"/>
  <c r="K26" i="1" s="1"/>
  <c r="L27" i="1"/>
  <c r="J27" i="1" s="1"/>
  <c r="K27" i="1" s="1"/>
  <c r="L28" i="1"/>
  <c r="J28" i="1" s="1"/>
  <c r="K28" i="1" s="1"/>
  <c r="L29" i="1"/>
  <c r="J29" i="1" s="1"/>
  <c r="K29" i="1" s="1"/>
  <c r="L30" i="1"/>
  <c r="J30" i="1" s="1"/>
  <c r="K30" i="1" s="1"/>
  <c r="L31" i="1"/>
  <c r="J31" i="1" s="1"/>
  <c r="K31" i="1" s="1"/>
  <c r="L32" i="1"/>
  <c r="J32" i="1" s="1"/>
  <c r="K32" i="1" s="1"/>
  <c r="L33" i="1"/>
  <c r="J33" i="1" s="1"/>
  <c r="K33" i="1" s="1"/>
  <c r="L34" i="1"/>
  <c r="J34" i="1" s="1"/>
  <c r="K34" i="1" s="1"/>
  <c r="L35" i="1"/>
  <c r="J35" i="1" s="1"/>
  <c r="K35" i="1" s="1"/>
  <c r="L36" i="1"/>
  <c r="J36" i="1" s="1"/>
  <c r="K36" i="1" s="1"/>
  <c r="L37" i="1"/>
  <c r="J37" i="1" s="1"/>
  <c r="K37" i="1" s="1"/>
  <c r="L38" i="1"/>
  <c r="J38" i="1" s="1"/>
  <c r="K38" i="1" s="1"/>
  <c r="L39" i="1"/>
  <c r="J39" i="1" s="1"/>
  <c r="K39" i="1" s="1"/>
  <c r="L40" i="1"/>
  <c r="J40" i="1" s="1"/>
  <c r="K40" i="1" s="1"/>
  <c r="L41" i="1"/>
  <c r="J41" i="1" s="1"/>
  <c r="K41" i="1" s="1"/>
  <c r="L42" i="1"/>
  <c r="J42" i="1" s="1"/>
  <c r="K42" i="1" s="1"/>
  <c r="L43" i="1"/>
  <c r="J43" i="1" s="1"/>
  <c r="K43" i="1" s="1"/>
  <c r="L44" i="1"/>
  <c r="J44" i="1" s="1"/>
  <c r="K44" i="1" s="1"/>
  <c r="L45" i="1"/>
  <c r="J45" i="1" s="1"/>
  <c r="K45" i="1" s="1"/>
  <c r="L46" i="1"/>
  <c r="J46" i="1" s="1"/>
  <c r="K46" i="1" s="1"/>
  <c r="L47" i="1"/>
  <c r="J47" i="1" s="1"/>
  <c r="K47" i="1" s="1"/>
  <c r="L48" i="1"/>
  <c r="J48" i="1" s="1"/>
  <c r="K48" i="1" s="1"/>
  <c r="L49" i="1"/>
  <c r="J49" i="1" s="1"/>
  <c r="K49" i="1" s="1"/>
  <c r="L50" i="1"/>
  <c r="J50" i="1" s="1"/>
  <c r="K50" i="1" s="1"/>
  <c r="L52" i="1"/>
  <c r="J52" i="1" s="1"/>
  <c r="K52" i="1" s="1"/>
  <c r="L53" i="1"/>
  <c r="J53" i="1" s="1"/>
  <c r="K53" i="1" s="1"/>
  <c r="L54" i="1"/>
  <c r="J54" i="1" s="1"/>
  <c r="K54" i="1" s="1"/>
  <c r="L55" i="1"/>
  <c r="L56" i="1"/>
  <c r="J9" i="1"/>
  <c r="K9" i="1" s="1"/>
  <c r="J10" i="1"/>
  <c r="K10" i="1" s="1"/>
  <c r="J55" i="1"/>
  <c r="K55" i="1" s="1"/>
  <c r="J56" i="1"/>
  <c r="K56" i="1" s="1"/>
  <c r="M56" i="1"/>
  <c r="N56" i="1" s="1"/>
  <c r="L57" i="1"/>
  <c r="J57" i="1" s="1"/>
  <c r="M57" i="1"/>
  <c r="N57" i="1" s="1"/>
  <c r="K57" i="1" l="1"/>
</calcChain>
</file>

<file path=xl/sharedStrings.xml><?xml version="1.0" encoding="utf-8"?>
<sst xmlns="http://schemas.openxmlformats.org/spreadsheetml/2006/main" count="183" uniqueCount="88">
  <si>
    <t>№</t>
  </si>
  <si>
    <t>Наименование товара, услуги (работы)</t>
  </si>
  <si>
    <t>Единица измерения</t>
  </si>
  <si>
    <t>Среднеквадр. отклонение</t>
  </si>
  <si>
    <t>Коэффициент вариации (%)</t>
  </si>
  <si>
    <t>Цена за единицу (руб.)</t>
  </si>
  <si>
    <t>ОКПД2</t>
  </si>
  <si>
    <t>.</t>
  </si>
  <si>
    <t>Предмет договора</t>
  </si>
  <si>
    <t>Средняя цена, руб.</t>
  </si>
  <si>
    <t xml:space="preserve">Средняя арифметическая цена за единицу    </t>
  </si>
  <si>
    <t xml:space="preserve">&lt;ц&gt; 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</si>
  <si>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</si>
  <si>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</si>
  <si>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договораа, заключаемого с единственным поставщиком (подрядчиком, исполнителем).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</si>
  <si>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 
с обоснованием:</t>
  </si>
  <si>
    <t>ОБОСНОВАНИЕ НАЧАЛЬНОЙ (МАКСИМАЛЬНОЙ) ЦЕНЫ ДОГОВОРА</t>
  </si>
  <si>
    <t xml:space="preserve">Кол-во </t>
  </si>
  <si>
    <t>Начальная (максимальная) цена договора, руб.</t>
  </si>
  <si>
    <t xml:space="preserve">Специалист по закупкам </t>
  </si>
  <si>
    <t>Начальная (максимальная) цена, руб</t>
  </si>
  <si>
    <t>шт.</t>
  </si>
  <si>
    <t>Приложение № 3
к извещению</t>
  </si>
  <si>
    <t>Поставка установок стоматологических  с принадлежностями для нужд Государственного автономного учреждения здравоохранения Республики Мордовия «Мордовская республиканская стоматологическая поликлиника»</t>
  </si>
  <si>
    <t>Источник № 1 №ВО-47 от 31.08.2026, руб./шт.</t>
  </si>
  <si>
    <t>Fuji Rock - cупергипс IV класса золотисто-коричневый (5кг.), GC</t>
  </si>
  <si>
    <t>Кламмеры 1,0 мм х 25 мм (50шт) с покрытием TIN</t>
  </si>
  <si>
    <t>Plaque Photo, 50 шт, WP5001,Willmann&amp;Pein</t>
  </si>
  <si>
    <t>Magnum Ceramic S (NiCr) - для керамики (1кг.), Mesa</t>
  </si>
  <si>
    <t>Сплав легкоплавкий (1шт*60г), Владмива</t>
  </si>
  <si>
    <t>Денест Солид - супергипс III класса голубой (25кг.), Eurmed</t>
  </si>
  <si>
    <t>Порошок полировальный Полир-Про (4кг.), Целит</t>
  </si>
  <si>
    <t>Z4 (30*500гр.+4л.), N&amp;V</t>
  </si>
  <si>
    <t>Изолак (500мл.), Целит</t>
  </si>
  <si>
    <t>Speedex Putty (910мл.), Coltene</t>
  </si>
  <si>
    <t>Speedex Activator (60мл.), Coltene</t>
  </si>
  <si>
    <t>Speedex light body (140мл.), Coltene</t>
  </si>
  <si>
    <t>Припой (40гр.), Владмива</t>
  </si>
  <si>
    <t>Basis PA (полиметилакрилатная), в гранулах, цвет LF-Pink розовый с прожилками (1кг.), Yamahachi</t>
  </si>
  <si>
    <t>Фильц войлочный пуля жёсткий, диаметр 25*50мм. (1шт.), Songjiang sheshan</t>
  </si>
  <si>
    <t>Зубы акриловые 2-х слойные (A3 ф24) 20 полных гарнитур HICO</t>
  </si>
  <si>
    <t>Зубы акриловые 2-х слойные (A2 ф23) 20 полных гарнитур HICO</t>
  </si>
  <si>
    <t>Зубы акриловые ANIS 2-х слойные А3 размер 11 (11, 43, 83 верх, 83 низ) 560шт, АНИС</t>
  </si>
  <si>
    <t>Зубы акриловые ANIS 2-х слойные А3 размер 22 (22, 44, 82 верх, 82 низ) 560шт, АНИС</t>
  </si>
  <si>
    <t>Зубы акриловые ANIS 2-х слойные А3 размер 14 (14, 44, 84 верх, 84 низ) 560шт, АНИС</t>
  </si>
  <si>
    <t>Зубы акриловые ANIS 2-х слойные А1 размер 11 (11, 43, 83 верх, 83 низ) 560шт, АНИС</t>
  </si>
  <si>
    <t>Зубы акриловые ANIS 2-х слойные А1 размер 22 (22, 44, 82 верх, 82 низ) 560шт, АНИС</t>
  </si>
  <si>
    <t>21.20.24.180</t>
  </si>
  <si>
    <t>32.50.50.190</t>
  </si>
  <si>
    <t>32.50.11.190</t>
  </si>
  <si>
    <t>20.42.18.190</t>
  </si>
  <si>
    <t>32.50.13.110</t>
  </si>
  <si>
    <t>32.50.22.140</t>
  </si>
  <si>
    <t>20.59.52.120</t>
  </si>
  <si>
    <t>32.50.22.130</t>
  </si>
  <si>
    <t>Дата: 31.08.2026</t>
  </si>
  <si>
    <t>Ангидрин (20мл.), Владмива</t>
  </si>
  <si>
    <t>Bisico Function (2*150гр.+10гр.), Bisico</t>
  </si>
  <si>
    <t>BK 1001 - Копирка прямая синяя 200мкм. (300л.), Bausch</t>
  </si>
  <si>
    <t>BK 04 - Копирка подкова красная 200мкм. (50л.), Bausch</t>
  </si>
  <si>
    <t>Гемостаб AlCl3 (13мл.), Омега</t>
  </si>
  <si>
    <t>Глуфторэд (10мл.), Владмива</t>
  </si>
  <si>
    <t>Дентин-паста - без отдушки (50гр.), Владмива</t>
  </si>
  <si>
    <t>Спрей окклюзионный зелёный (75мл.), Yeti</t>
  </si>
  <si>
    <t>Orthoprint (500гр.), Zhermack</t>
  </si>
  <si>
    <t>Occlufast Rock (2*50мл.), Zhermack</t>
  </si>
  <si>
    <t>Elite НD+ Putty Soft Normal (2*250мл.), Zhermack</t>
  </si>
  <si>
    <t>Elite НD+ Light Body Normal (2*50мл.), Zhermack</t>
  </si>
  <si>
    <t>Наконечники Monoart для слюноотсосов, бесцветные (100 шт.), Euronda</t>
  </si>
  <si>
    <t>ТемпоФот - синяя паста высоковязкая (3гр.), Владмива</t>
  </si>
  <si>
    <t>Таблетки для полоскания зелёные, мята (1000шт.), Dispodent</t>
  </si>
  <si>
    <t>Унифас-2 (100гр.+60гр.), Полимер-Стоматология</t>
  </si>
  <si>
    <t>Нить ретракционная AtriaPak №000 плетеная без пропитки, Atria</t>
  </si>
  <si>
    <t>Фенопласт (13мл.), Омега</t>
  </si>
  <si>
    <t>Fuji Plus (15гр.+7мл.), GC</t>
  </si>
  <si>
    <t>Блоки для замешивания Поли-панель 120*200мм (100шт.), Дентика</t>
  </si>
  <si>
    <t>ДентЛайт - набор (7 шприцов), Владмива</t>
  </si>
  <si>
    <t>Эндожи №1 (15мл.), Владмива</t>
  </si>
  <si>
    <t>Канюли интраоральные (100шт.), Dispodent</t>
  </si>
  <si>
    <t>Multi-Shtift - беззольные штифты, диаметр 1,5 мм. (80шт.), РуДент</t>
  </si>
  <si>
    <t>Денест Рок - супергипс IV класса бежевый (5кг.), Eurmed</t>
  </si>
  <si>
    <t>Зубы акриловые ANIS 2-х слойные А1 размер 14 (14, 44, 84 верх, 84 низ) 560шт, АНИС</t>
  </si>
  <si>
    <t>Meron (35гр.+15мл.), Voco</t>
  </si>
  <si>
    <t>Fuji 1 (35гр.+25гр.), GC</t>
  </si>
  <si>
    <t>Белэкт №25 зернистость 60, 300-250 мкм. (5кг.), Владмива</t>
  </si>
  <si>
    <t>Источник № 2 №СТ-54 от 31.08.2026 , руб./шт.</t>
  </si>
  <si>
    <t>Источник №3 №ТЕ-1263 от 11.08.2026, руб./шт.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</si>
  <si>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 законодательства Российской Федерации к лицам, осуществляющим поставку товаров, являющихся предметом закупки. Начальная (максимальная) цена договора составляет 1 618 423,28 (один миллион шестьсот восемнадцать тысяч четыреста двадцать три рубля 28 копеек).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</si>
</sst>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0"/>
    <numFmt numFmtId="166" formatCode="0.00000000"/>
    <numFmt numFmtId="167" formatCode="0.0000000000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7F7F7F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Alignment="0"/>
    <xf numFmtId="0" fontId="1" fillId="0" borderId="0" applyAlignment="0"/>
    <xf numFmtId="0" fontId="6" fillId="0" borderId="0" applyNumberFormat="0" applyFill="0" applyBorder="0" applyAlignment="0" applyProtection="0"/>
    <xf numFmtId="0" fontId="8" fillId="0" borderId="2"/>
  </cellStyleXfs>
  <cellXfs count="75">
    <xf numFmtId="0" fontId="0" fillId="0" borderId="2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7" fillId="0" borderId="2" xfId="2" applyFont="1" applyFill="1" applyBorder="1" applyAlignment="1">
      <alignment horizontal="center"/>
    </xf>
    <xf numFmtId="4" fontId="2" fillId="0" borderId="2" xfId="0" applyNumberFormat="1" applyFont="1" applyBorder="1"/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167" fontId="2" fillId="0" borderId="0" xfId="0" applyNumberFormat="1" applyFont="1" applyAlignment="1">
      <alignment horizontal="left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/>
    <xf numFmtId="49" fontId="7" fillId="0" borderId="0" xfId="0" applyNumberFormat="1" applyFont="1" applyAlignment="1"/>
    <xf numFmtId="14" fontId="7" fillId="0" borderId="0" xfId="0" applyNumberFormat="1" applyFont="1" applyAlignment="1">
      <alignment horizontal="left"/>
    </xf>
    <xf numFmtId="0" fontId="7" fillId="0" borderId="0" xfId="0" applyFont="1"/>
    <xf numFmtId="1" fontId="2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3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</cellXfs>
  <cellStyles count="4">
    <cellStyle name="Normal" xfId="3" xr:uid="{00000000-0005-0000-0000-000000000000}"/>
    <cellStyle name="Гиперссылка" xfId="2" builtinId="8"/>
    <cellStyle name="Обычный" xfId="0" builtinId="0"/>
    <cellStyle name="Обычн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156210</xdr:colOff>
      <xdr:row>5</xdr:row>
      <xdr:rowOff>15240</xdr:rowOff>
    </xdr:from>
    <xdr:to>
      <xdr:col>10</xdr:col>
      <xdr:colOff>910590</xdr:colOff>
      <xdr:row>5</xdr:row>
      <xdr:rowOff>411480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9910" y="2196465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5</xdr:row>
      <xdr:rowOff>11430</xdr:rowOff>
    </xdr:from>
    <xdr:to>
      <xdr:col>9</xdr:col>
      <xdr:colOff>1002030</xdr:colOff>
      <xdr:row>5</xdr:row>
      <xdr:rowOff>461010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144905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94"/>
  <sheetViews>
    <sheetView tabSelected="1" topLeftCell="A26" zoomScaleNormal="100" zoomScaleSheetLayoutView="100" workbookViewId="0">
      <selection activeCell="A59" sqref="A59:O59"/>
    </sheetView>
  </sheetViews>
  <sheetFormatPr defaultColWidth="9.140625" defaultRowHeight="1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19.28515625" style="2" customWidth="1"/>
    <col min="15" max="254" width="9.140625" style="1"/>
    <col min="255" max="16384" width="9.140625" style="4"/>
  </cols>
  <sheetData>
    <row r="1" spans="1:254" s="1" customFormat="1">
      <c r="J1" s="51" t="s">
        <v>22</v>
      </c>
      <c r="K1" s="52"/>
      <c r="L1" s="52"/>
      <c r="M1" s="52"/>
      <c r="N1" s="52"/>
      <c r="O1" s="52"/>
    </row>
    <row r="2" spans="1:254">
      <c r="A2" s="55" t="s">
        <v>16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27.75" customHeight="1">
      <c r="A3" s="56" t="s">
        <v>8</v>
      </c>
      <c r="B3" s="56"/>
      <c r="C3" s="60" t="s">
        <v>23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4" customHeight="1">
      <c r="A4" s="56" t="s">
        <v>15</v>
      </c>
      <c r="B4" s="56"/>
      <c r="C4" s="61" t="s">
        <v>14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60">
      <c r="A5" s="56" t="s">
        <v>0</v>
      </c>
      <c r="B5" s="56" t="s">
        <v>1</v>
      </c>
      <c r="C5" s="49"/>
      <c r="D5" s="56" t="s">
        <v>6</v>
      </c>
      <c r="E5" s="50" t="s">
        <v>2</v>
      </c>
      <c r="F5" s="54" t="s">
        <v>17</v>
      </c>
      <c r="G5" s="33" t="s">
        <v>24</v>
      </c>
      <c r="H5" s="33" t="s">
        <v>85</v>
      </c>
      <c r="I5" s="33" t="s">
        <v>86</v>
      </c>
      <c r="J5" s="5" t="s">
        <v>3</v>
      </c>
      <c r="K5" s="5" t="s">
        <v>4</v>
      </c>
      <c r="L5" s="5" t="s">
        <v>10</v>
      </c>
      <c r="M5" s="59" t="s">
        <v>9</v>
      </c>
      <c r="N5" s="54" t="s">
        <v>20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37.5" customHeight="1">
      <c r="A6" s="57"/>
      <c r="B6" s="57"/>
      <c r="C6" s="58"/>
      <c r="D6" s="56"/>
      <c r="E6" s="62"/>
      <c r="F6" s="63"/>
      <c r="G6" s="23" t="s">
        <v>5</v>
      </c>
      <c r="H6" s="23" t="s">
        <v>5</v>
      </c>
      <c r="I6" s="23" t="s">
        <v>5</v>
      </c>
      <c r="J6" s="24"/>
      <c r="K6" s="24"/>
      <c r="L6" s="24" t="s">
        <v>11</v>
      </c>
      <c r="M6" s="59"/>
      <c r="N6" s="5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>
      <c r="A7" s="35">
        <v>1</v>
      </c>
      <c r="B7" s="49" t="s">
        <v>56</v>
      </c>
      <c r="C7" s="50"/>
      <c r="D7" s="34" t="s">
        <v>47</v>
      </c>
      <c r="E7" s="36" t="s">
        <v>21</v>
      </c>
      <c r="F7" s="43">
        <v>5</v>
      </c>
      <c r="G7" s="44">
        <v>235.44</v>
      </c>
      <c r="H7" s="44">
        <v>232.58</v>
      </c>
      <c r="I7" s="44">
        <v>220.04</v>
      </c>
      <c r="J7" s="25">
        <f t="shared" ref="J7:J56" si="0">SQRT(((SUM((POWER(G7-L7,2)),(POWER(H7-L7,2)),(POWER(I7-L7,2)))/(COLUMNS(G7:I7)-1))))</f>
        <v>8.1913694418780452</v>
      </c>
      <c r="K7" s="33">
        <f t="shared" ref="K7:K55" si="1">J7/L7*100</f>
        <v>3.5715066019873469</v>
      </c>
      <c r="L7" s="26">
        <f t="shared" ref="L7:L56" si="2">AVERAGE(G7,H7,I7)</f>
        <v>229.35333333333332</v>
      </c>
      <c r="M7" s="26">
        <f t="shared" ref="M7:M55" si="3">(G7+H7+I7)/3</f>
        <v>229.35333333333332</v>
      </c>
      <c r="N7" s="26">
        <f>229.35*F7</f>
        <v>1146.75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>
      <c r="A8" s="35">
        <v>2</v>
      </c>
      <c r="B8" s="49" t="s">
        <v>57</v>
      </c>
      <c r="C8" s="50"/>
      <c r="D8" s="34" t="s">
        <v>47</v>
      </c>
      <c r="E8" s="36" t="s">
        <v>21</v>
      </c>
      <c r="F8" s="43">
        <v>2</v>
      </c>
      <c r="G8" s="44">
        <v>6287.19</v>
      </c>
      <c r="H8" s="44">
        <v>6210.81</v>
      </c>
      <c r="I8" s="44">
        <v>5875.88</v>
      </c>
      <c r="J8" s="25">
        <f t="shared" si="0"/>
        <v>218.77992191545658</v>
      </c>
      <c r="K8" s="33">
        <f t="shared" si="1"/>
        <v>3.572134822619772</v>
      </c>
      <c r="L8" s="26">
        <f t="shared" si="2"/>
        <v>6124.626666666667</v>
      </c>
      <c r="M8" s="26">
        <f t="shared" si="3"/>
        <v>6124.626666666667</v>
      </c>
      <c r="N8" s="26">
        <f>6124.63*F8</f>
        <v>12249.26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>
      <c r="A9" s="35">
        <v>3</v>
      </c>
      <c r="B9" s="49" t="s">
        <v>58</v>
      </c>
      <c r="C9" s="50"/>
      <c r="D9" s="34" t="s">
        <v>48</v>
      </c>
      <c r="E9" s="36" t="s">
        <v>21</v>
      </c>
      <c r="F9" s="43">
        <v>20</v>
      </c>
      <c r="G9" s="44">
        <v>2241.64</v>
      </c>
      <c r="H9" s="44">
        <v>2214.4</v>
      </c>
      <c r="I9" s="44">
        <v>2094.9899999999998</v>
      </c>
      <c r="J9" s="25">
        <f t="shared" si="0"/>
        <v>78.00319245603572</v>
      </c>
      <c r="K9" s="33">
        <f t="shared" si="1"/>
        <v>3.5721035832244263</v>
      </c>
      <c r="L9" s="26">
        <f t="shared" si="2"/>
        <v>2183.6766666666667</v>
      </c>
      <c r="M9" s="26">
        <f t="shared" si="3"/>
        <v>2183.6766666666667</v>
      </c>
      <c r="N9" s="26">
        <f>2183.68*F9</f>
        <v>43673.599999999999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>
      <c r="A10" s="35">
        <v>4</v>
      </c>
      <c r="B10" s="49" t="s">
        <v>59</v>
      </c>
      <c r="C10" s="50"/>
      <c r="D10" s="34" t="s">
        <v>48</v>
      </c>
      <c r="E10" s="36" t="s">
        <v>21</v>
      </c>
      <c r="F10" s="43">
        <v>20</v>
      </c>
      <c r="G10" s="44">
        <v>1814.98</v>
      </c>
      <c r="H10" s="44">
        <v>1792.93</v>
      </c>
      <c r="I10" s="44">
        <v>1696.24</v>
      </c>
      <c r="J10" s="25">
        <f t="shared" si="0"/>
        <v>63.158987483967806</v>
      </c>
      <c r="K10" s="33">
        <f t="shared" si="1"/>
        <v>3.572239896154962</v>
      </c>
      <c r="L10" s="26">
        <f t="shared" si="2"/>
        <v>1768.05</v>
      </c>
      <c r="M10" s="26">
        <f t="shared" si="3"/>
        <v>1768.05</v>
      </c>
      <c r="N10" s="26">
        <f t="shared" ref="N10:N54" si="4">M10*F10</f>
        <v>35361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>
      <c r="A11" s="38">
        <v>5</v>
      </c>
      <c r="B11" s="49" t="s">
        <v>60</v>
      </c>
      <c r="C11" s="50"/>
      <c r="D11" s="34" t="s">
        <v>47</v>
      </c>
      <c r="E11" s="36" t="s">
        <v>21</v>
      </c>
      <c r="F11" s="43">
        <v>10</v>
      </c>
      <c r="G11" s="44">
        <v>465.35</v>
      </c>
      <c r="H11" s="44">
        <v>459.7</v>
      </c>
      <c r="I11" s="44">
        <v>434.91</v>
      </c>
      <c r="J11" s="25">
        <f t="shared" si="0"/>
        <v>16.191871417473639</v>
      </c>
      <c r="K11" s="33">
        <f t="shared" si="1"/>
        <v>3.5718413962484865</v>
      </c>
      <c r="L11" s="26">
        <f t="shared" si="2"/>
        <v>453.32</v>
      </c>
      <c r="M11" s="26">
        <f t="shared" si="3"/>
        <v>453.32</v>
      </c>
      <c r="N11" s="26">
        <f t="shared" si="4"/>
        <v>4533.2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>
      <c r="A12" s="38">
        <v>6</v>
      </c>
      <c r="B12" s="49" t="s">
        <v>61</v>
      </c>
      <c r="C12" s="50"/>
      <c r="D12" s="34" t="s">
        <v>47</v>
      </c>
      <c r="E12" s="36" t="s">
        <v>21</v>
      </c>
      <c r="F12" s="43">
        <v>3</v>
      </c>
      <c r="G12" s="44">
        <v>861.06</v>
      </c>
      <c r="H12" s="44">
        <v>850.6</v>
      </c>
      <c r="I12" s="44">
        <v>804.73</v>
      </c>
      <c r="J12" s="25">
        <f t="shared" si="0"/>
        <v>29.962580551970682</v>
      </c>
      <c r="K12" s="33">
        <f t="shared" si="1"/>
        <v>3.5720910373953183</v>
      </c>
      <c r="L12" s="26">
        <f t="shared" si="2"/>
        <v>838.79666666666662</v>
      </c>
      <c r="M12" s="26">
        <f t="shared" si="3"/>
        <v>838.79666666666662</v>
      </c>
      <c r="N12" s="26">
        <f>838.8*F12</f>
        <v>2516.3999999999996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>
      <c r="A13" s="38">
        <v>7</v>
      </c>
      <c r="B13" s="49" t="s">
        <v>62</v>
      </c>
      <c r="C13" s="50"/>
      <c r="D13" s="34" t="s">
        <v>47</v>
      </c>
      <c r="E13" s="36" t="s">
        <v>21</v>
      </c>
      <c r="F13" s="43">
        <v>10</v>
      </c>
      <c r="G13" s="45">
        <v>175.75</v>
      </c>
      <c r="H13" s="44">
        <v>173.61</v>
      </c>
      <c r="I13" s="44">
        <v>164.25</v>
      </c>
      <c r="J13" s="25">
        <f t="shared" si="0"/>
        <v>6.1160880743603885</v>
      </c>
      <c r="K13" s="33">
        <f t="shared" si="1"/>
        <v>3.5724117955415906</v>
      </c>
      <c r="L13" s="26">
        <f t="shared" si="2"/>
        <v>171.20333333333335</v>
      </c>
      <c r="M13" s="26">
        <f t="shared" si="3"/>
        <v>171.20333333333335</v>
      </c>
      <c r="N13" s="26">
        <f>171.2*F13</f>
        <v>1712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>
      <c r="A14" s="38">
        <v>8</v>
      </c>
      <c r="B14" s="49" t="s">
        <v>63</v>
      </c>
      <c r="C14" s="50"/>
      <c r="D14" s="34" t="s">
        <v>47</v>
      </c>
      <c r="E14" s="36" t="s">
        <v>21</v>
      </c>
      <c r="F14" s="43">
        <v>5</v>
      </c>
      <c r="G14" s="26">
        <v>1616.01</v>
      </c>
      <c r="H14" s="44">
        <v>1596.38</v>
      </c>
      <c r="I14" s="44">
        <v>1510.29</v>
      </c>
      <c r="J14" s="25">
        <f t="shared" si="0"/>
        <v>56.233950895640774</v>
      </c>
      <c r="K14" s="33">
        <f t="shared" si="1"/>
        <v>3.5721635318700886</v>
      </c>
      <c r="L14" s="26">
        <f t="shared" si="2"/>
        <v>1574.2266666666667</v>
      </c>
      <c r="M14" s="26">
        <f t="shared" si="3"/>
        <v>1574.2266666666667</v>
      </c>
      <c r="N14" s="26">
        <f>1574.23*F14</f>
        <v>7871.15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>
      <c r="A15" s="38">
        <v>9</v>
      </c>
      <c r="B15" s="49" t="s">
        <v>64</v>
      </c>
      <c r="C15" s="50"/>
      <c r="D15" s="34" t="s">
        <v>47</v>
      </c>
      <c r="E15" s="36" t="s">
        <v>21</v>
      </c>
      <c r="F15" s="43">
        <v>75</v>
      </c>
      <c r="G15" s="44">
        <v>740.58</v>
      </c>
      <c r="H15" s="44">
        <v>731.58</v>
      </c>
      <c r="I15" s="44">
        <v>692.13</v>
      </c>
      <c r="J15" s="25">
        <f t="shared" si="0"/>
        <v>25.770477294765058</v>
      </c>
      <c r="K15" s="33">
        <f t="shared" si="1"/>
        <v>3.5721382940500201</v>
      </c>
      <c r="L15" s="26">
        <f t="shared" si="2"/>
        <v>721.43</v>
      </c>
      <c r="M15" s="26">
        <f t="shared" si="3"/>
        <v>721.43</v>
      </c>
      <c r="N15" s="26">
        <f>721.43*F15</f>
        <v>54107.249999999993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8">
        <v>10</v>
      </c>
      <c r="B16" s="49" t="s">
        <v>65</v>
      </c>
      <c r="C16" s="50"/>
      <c r="D16" s="34" t="s">
        <v>47</v>
      </c>
      <c r="E16" s="36" t="s">
        <v>21</v>
      </c>
      <c r="F16" s="43">
        <v>10</v>
      </c>
      <c r="G16" s="44">
        <v>3968.18</v>
      </c>
      <c r="H16" s="44">
        <v>3919.97</v>
      </c>
      <c r="I16" s="44">
        <v>3708.58</v>
      </c>
      <c r="J16" s="25">
        <f t="shared" si="0"/>
        <v>138.08336624421247</v>
      </c>
      <c r="K16" s="33">
        <f t="shared" si="1"/>
        <v>3.5721285115083079</v>
      </c>
      <c r="L16" s="26">
        <f t="shared" si="2"/>
        <v>3865.5766666666664</v>
      </c>
      <c r="M16" s="26">
        <f t="shared" si="3"/>
        <v>3865.5766666666664</v>
      </c>
      <c r="N16" s="26">
        <f>3865.58*F16</f>
        <v>38655.800000000003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8">
        <v>11</v>
      </c>
      <c r="B17" s="49" t="s">
        <v>66</v>
      </c>
      <c r="C17" s="50"/>
      <c r="D17" s="34" t="s">
        <v>47</v>
      </c>
      <c r="E17" s="36" t="s">
        <v>21</v>
      </c>
      <c r="F17" s="43">
        <v>10</v>
      </c>
      <c r="G17" s="44">
        <v>4390.42</v>
      </c>
      <c r="H17" s="44">
        <v>4337.08</v>
      </c>
      <c r="I17" s="44">
        <v>4103.2</v>
      </c>
      <c r="J17" s="25">
        <f t="shared" si="0"/>
        <v>152.77452798159788</v>
      </c>
      <c r="K17" s="33">
        <f t="shared" si="1"/>
        <v>3.5720855755710414</v>
      </c>
      <c r="L17" s="26">
        <f t="shared" si="2"/>
        <v>4276.9000000000005</v>
      </c>
      <c r="M17" s="26">
        <f t="shared" si="3"/>
        <v>4276.9000000000005</v>
      </c>
      <c r="N17" s="26">
        <f t="shared" si="4"/>
        <v>42769.000000000007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8">
        <v>12</v>
      </c>
      <c r="B18" s="49" t="s">
        <v>67</v>
      </c>
      <c r="C18" s="50"/>
      <c r="D18" s="34" t="s">
        <v>47</v>
      </c>
      <c r="E18" s="36" t="s">
        <v>21</v>
      </c>
      <c r="F18" s="43">
        <v>10</v>
      </c>
      <c r="G18" s="44">
        <v>2711.41</v>
      </c>
      <c r="H18" s="44">
        <v>2678.47</v>
      </c>
      <c r="I18" s="44">
        <v>2534.0300000000002</v>
      </c>
      <c r="J18" s="25">
        <f t="shared" si="0"/>
        <v>94.350076488221745</v>
      </c>
      <c r="K18" s="33">
        <f t="shared" si="1"/>
        <v>3.5721030332836343</v>
      </c>
      <c r="L18" s="26">
        <f t="shared" si="2"/>
        <v>2641.3033333333333</v>
      </c>
      <c r="M18" s="26">
        <f t="shared" si="3"/>
        <v>2641.3033333333333</v>
      </c>
      <c r="N18" s="26">
        <f>2641.3*F18</f>
        <v>26413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8">
        <v>13</v>
      </c>
      <c r="B19" s="49" t="s">
        <v>68</v>
      </c>
      <c r="C19" s="50"/>
      <c r="D19" s="34" t="s">
        <v>48</v>
      </c>
      <c r="E19" s="36" t="s">
        <v>21</v>
      </c>
      <c r="F19" s="43">
        <v>11</v>
      </c>
      <c r="G19" s="44">
        <v>275.23</v>
      </c>
      <c r="H19" s="44">
        <v>271.88</v>
      </c>
      <c r="I19" s="44">
        <v>257.22000000000003</v>
      </c>
      <c r="J19" s="25">
        <f t="shared" si="0"/>
        <v>9.5786063704486679</v>
      </c>
      <c r="K19" s="33">
        <f t="shared" si="1"/>
        <v>3.5726404723615932</v>
      </c>
      <c r="L19" s="26">
        <f t="shared" si="2"/>
        <v>268.11</v>
      </c>
      <c r="M19" s="26">
        <f t="shared" si="3"/>
        <v>268.11</v>
      </c>
      <c r="N19" s="26">
        <f t="shared" si="4"/>
        <v>2949.21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8">
        <v>14</v>
      </c>
      <c r="B20" s="49" t="s">
        <v>69</v>
      </c>
      <c r="C20" s="50"/>
      <c r="D20" s="34" t="s">
        <v>47</v>
      </c>
      <c r="E20" s="36" t="s">
        <v>21</v>
      </c>
      <c r="F20" s="43">
        <v>5</v>
      </c>
      <c r="G20" s="44">
        <v>385.77</v>
      </c>
      <c r="H20" s="44">
        <v>381.08</v>
      </c>
      <c r="I20" s="44">
        <v>360.53</v>
      </c>
      <c r="J20" s="25">
        <f t="shared" si="0"/>
        <v>13.424828987116873</v>
      </c>
      <c r="K20" s="33">
        <f t="shared" si="1"/>
        <v>3.5723967926830906</v>
      </c>
      <c r="L20" s="26">
        <f t="shared" si="2"/>
        <v>375.79333333333329</v>
      </c>
      <c r="M20" s="26">
        <f t="shared" si="3"/>
        <v>375.79333333333329</v>
      </c>
      <c r="N20" s="26">
        <f>375.79*F20</f>
        <v>1878.95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8">
        <v>15</v>
      </c>
      <c r="B21" s="49" t="s">
        <v>70</v>
      </c>
      <c r="C21" s="50"/>
      <c r="D21" s="34" t="s">
        <v>50</v>
      </c>
      <c r="E21" s="36" t="s">
        <v>21</v>
      </c>
      <c r="F21" s="43">
        <v>2</v>
      </c>
      <c r="G21" s="44">
        <v>1292.1500000000001</v>
      </c>
      <c r="H21" s="44">
        <v>1276.45</v>
      </c>
      <c r="I21" s="44">
        <v>1207.6199999999999</v>
      </c>
      <c r="J21" s="25">
        <f t="shared" si="0"/>
        <v>44.961798229163492</v>
      </c>
      <c r="K21" s="33">
        <f t="shared" si="1"/>
        <v>3.5719686535077533</v>
      </c>
      <c r="L21" s="26">
        <f t="shared" si="2"/>
        <v>1258.74</v>
      </c>
      <c r="M21" s="26">
        <f t="shared" si="3"/>
        <v>1258.74</v>
      </c>
      <c r="N21" s="26">
        <f t="shared" si="4"/>
        <v>2517.48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8">
        <v>16</v>
      </c>
      <c r="B22" s="49" t="s">
        <v>71</v>
      </c>
      <c r="C22" s="50"/>
      <c r="D22" s="34" t="s">
        <v>47</v>
      </c>
      <c r="E22" s="36" t="s">
        <v>21</v>
      </c>
      <c r="F22" s="43">
        <v>11</v>
      </c>
      <c r="G22" s="44">
        <v>363.66</v>
      </c>
      <c r="H22" s="44">
        <v>359.24</v>
      </c>
      <c r="I22" s="44">
        <v>339.87</v>
      </c>
      <c r="J22" s="25">
        <f t="shared" si="0"/>
        <v>12.653704332460656</v>
      </c>
      <c r="K22" s="33">
        <f t="shared" si="1"/>
        <v>3.5719029514741636</v>
      </c>
      <c r="L22" s="26">
        <f t="shared" si="2"/>
        <v>354.25666666666666</v>
      </c>
      <c r="M22" s="26">
        <f t="shared" si="3"/>
        <v>354.25666666666666</v>
      </c>
      <c r="N22" s="26">
        <f>354.26*F22</f>
        <v>3896.8599999999997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8">
        <v>17</v>
      </c>
      <c r="B23" s="49" t="s">
        <v>72</v>
      </c>
      <c r="C23" s="50"/>
      <c r="D23" s="34" t="s">
        <v>47</v>
      </c>
      <c r="E23" s="36" t="s">
        <v>21</v>
      </c>
      <c r="F23" s="43">
        <v>4</v>
      </c>
      <c r="G23" s="44">
        <v>507.35</v>
      </c>
      <c r="H23" s="44">
        <v>501.19</v>
      </c>
      <c r="I23" s="44">
        <v>474.16</v>
      </c>
      <c r="J23" s="25">
        <f t="shared" si="0"/>
        <v>17.654756677262167</v>
      </c>
      <c r="K23" s="33">
        <f t="shared" si="1"/>
        <v>3.5721501336606529</v>
      </c>
      <c r="L23" s="26">
        <f t="shared" si="2"/>
        <v>494.23333333333335</v>
      </c>
      <c r="M23" s="26">
        <f t="shared" si="3"/>
        <v>494.23333333333335</v>
      </c>
      <c r="N23" s="26">
        <f>494.23*F23</f>
        <v>1976.92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8">
        <v>18</v>
      </c>
      <c r="B24" s="49" t="s">
        <v>73</v>
      </c>
      <c r="C24" s="50"/>
      <c r="D24" s="34" t="s">
        <v>47</v>
      </c>
      <c r="E24" s="36" t="s">
        <v>21</v>
      </c>
      <c r="F24" s="43">
        <v>3</v>
      </c>
      <c r="G24" s="44">
        <v>604.62</v>
      </c>
      <c r="H24" s="44">
        <v>597.28</v>
      </c>
      <c r="I24" s="44">
        <v>565.07000000000005</v>
      </c>
      <c r="J24" s="25">
        <f t="shared" si="0"/>
        <v>21.03791101796941</v>
      </c>
      <c r="K24" s="33">
        <f t="shared" si="1"/>
        <v>3.5718621738857035</v>
      </c>
      <c r="L24" s="26">
        <f t="shared" si="2"/>
        <v>588.99000000000012</v>
      </c>
      <c r="M24" s="26">
        <f t="shared" si="3"/>
        <v>588.99000000000012</v>
      </c>
      <c r="N24" s="26">
        <f t="shared" si="4"/>
        <v>1766.9700000000003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8">
        <v>19</v>
      </c>
      <c r="B25" s="49" t="s">
        <v>74</v>
      </c>
      <c r="C25" s="50"/>
      <c r="D25" s="34" t="s">
        <v>47</v>
      </c>
      <c r="E25" s="36" t="s">
        <v>21</v>
      </c>
      <c r="F25" s="43">
        <v>6</v>
      </c>
      <c r="G25" s="44">
        <v>15562.12</v>
      </c>
      <c r="H25" s="44">
        <v>15373.05</v>
      </c>
      <c r="I25" s="44">
        <v>14544.04</v>
      </c>
      <c r="J25" s="25">
        <f t="shared" si="0"/>
        <v>541.52438101468056</v>
      </c>
      <c r="K25" s="33">
        <f t="shared" si="1"/>
        <v>3.5721226095265104</v>
      </c>
      <c r="L25" s="26">
        <f t="shared" si="2"/>
        <v>15159.736666666666</v>
      </c>
      <c r="M25" s="26">
        <f t="shared" si="3"/>
        <v>15159.736666666666</v>
      </c>
      <c r="N25" s="26">
        <f>15159.74*F25</f>
        <v>90958.44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8">
        <v>20</v>
      </c>
      <c r="B26" s="49" t="s">
        <v>75</v>
      </c>
      <c r="C26" s="50"/>
      <c r="D26" s="34" t="s">
        <v>48</v>
      </c>
      <c r="E26" s="36" t="s">
        <v>21</v>
      </c>
      <c r="F26" s="43">
        <v>10</v>
      </c>
      <c r="G26" s="44">
        <v>226.59</v>
      </c>
      <c r="H26" s="44">
        <v>223.84</v>
      </c>
      <c r="I26" s="44">
        <v>211.77</v>
      </c>
      <c r="J26" s="25">
        <f t="shared" si="0"/>
        <v>7.8833136011028557</v>
      </c>
      <c r="K26" s="33">
        <f t="shared" si="1"/>
        <v>3.5714196320308913</v>
      </c>
      <c r="L26" s="26">
        <f t="shared" si="2"/>
        <v>220.73333333333335</v>
      </c>
      <c r="M26" s="26">
        <f t="shared" si="3"/>
        <v>220.73333333333335</v>
      </c>
      <c r="N26" s="26">
        <f>220.73*F26</f>
        <v>2207.2999999999997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8">
        <v>21</v>
      </c>
      <c r="B27" s="49" t="s">
        <v>76</v>
      </c>
      <c r="C27" s="50"/>
      <c r="D27" s="34" t="s">
        <v>47</v>
      </c>
      <c r="E27" s="36" t="s">
        <v>21</v>
      </c>
      <c r="F27" s="43">
        <v>8</v>
      </c>
      <c r="G27" s="44">
        <v>3580.21</v>
      </c>
      <c r="H27" s="44">
        <v>3536.71</v>
      </c>
      <c r="I27" s="44">
        <v>3345.99</v>
      </c>
      <c r="J27" s="25">
        <f t="shared" si="0"/>
        <v>124.58288860567237</v>
      </c>
      <c r="K27" s="33">
        <f t="shared" si="1"/>
        <v>3.5721292242503955</v>
      </c>
      <c r="L27" s="26">
        <f t="shared" si="2"/>
        <v>3487.6366666666668</v>
      </c>
      <c r="M27" s="26">
        <f t="shared" si="3"/>
        <v>3487.6366666666668</v>
      </c>
      <c r="N27" s="26">
        <f>3487.64*F27</f>
        <v>27901.119999999999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8">
        <v>22</v>
      </c>
      <c r="B28" s="49" t="s">
        <v>77</v>
      </c>
      <c r="C28" s="50"/>
      <c r="D28" s="34" t="s">
        <v>47</v>
      </c>
      <c r="E28" s="36" t="s">
        <v>21</v>
      </c>
      <c r="F28" s="43">
        <v>10</v>
      </c>
      <c r="G28" s="44">
        <v>197.85</v>
      </c>
      <c r="H28" s="44">
        <v>195.45</v>
      </c>
      <c r="I28" s="44">
        <v>184.91</v>
      </c>
      <c r="J28" s="25">
        <f t="shared" si="0"/>
        <v>6.8834971731913495</v>
      </c>
      <c r="K28" s="33">
        <f t="shared" si="1"/>
        <v>3.5714518115518672</v>
      </c>
      <c r="L28" s="26">
        <f t="shared" si="2"/>
        <v>192.73666666666665</v>
      </c>
      <c r="M28" s="26">
        <f t="shared" si="3"/>
        <v>192.73666666666665</v>
      </c>
      <c r="N28" s="26">
        <f>192.74*F28</f>
        <v>1927.4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8">
        <v>23</v>
      </c>
      <c r="B29" s="49" t="s">
        <v>78</v>
      </c>
      <c r="C29" s="50"/>
      <c r="D29" s="34" t="s">
        <v>51</v>
      </c>
      <c r="E29" s="36" t="s">
        <v>21</v>
      </c>
      <c r="F29" s="43">
        <v>3</v>
      </c>
      <c r="G29" s="44">
        <v>492.98</v>
      </c>
      <c r="H29" s="44">
        <v>486.99</v>
      </c>
      <c r="I29" s="44">
        <v>460.73</v>
      </c>
      <c r="J29" s="25">
        <f t="shared" si="0"/>
        <v>17.153863510397105</v>
      </c>
      <c r="K29" s="33">
        <f t="shared" si="1"/>
        <v>3.5719851829798928</v>
      </c>
      <c r="L29" s="26">
        <f t="shared" si="2"/>
        <v>480.23333333333335</v>
      </c>
      <c r="M29" s="26">
        <f t="shared" si="3"/>
        <v>480.23333333333335</v>
      </c>
      <c r="N29" s="26">
        <f>480.23*F29</f>
        <v>1440.69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8">
        <v>24</v>
      </c>
      <c r="B30" s="49" t="s">
        <v>79</v>
      </c>
      <c r="C30" s="50"/>
      <c r="D30" s="34" t="s">
        <v>52</v>
      </c>
      <c r="E30" s="36" t="s">
        <v>21</v>
      </c>
      <c r="F30" s="43">
        <v>3</v>
      </c>
      <c r="G30" s="44">
        <v>1337.47</v>
      </c>
      <c r="H30" s="44">
        <v>1321.22</v>
      </c>
      <c r="I30" s="44">
        <v>1249.97</v>
      </c>
      <c r="J30" s="25">
        <f t="shared" si="0"/>
        <v>46.541871828852493</v>
      </c>
      <c r="K30" s="33">
        <f t="shared" si="1"/>
        <v>3.5722118446362048</v>
      </c>
      <c r="L30" s="26">
        <f t="shared" si="2"/>
        <v>1302.8866666666665</v>
      </c>
      <c r="M30" s="26">
        <f t="shared" si="3"/>
        <v>1302.8866666666665</v>
      </c>
      <c r="N30" s="26">
        <f>1302.89*F30</f>
        <v>3908.67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8">
        <v>25</v>
      </c>
      <c r="B31" s="49" t="s">
        <v>80</v>
      </c>
      <c r="C31" s="50"/>
      <c r="D31" s="34" t="s">
        <v>53</v>
      </c>
      <c r="E31" s="36" t="s">
        <v>21</v>
      </c>
      <c r="F31" s="43">
        <v>3</v>
      </c>
      <c r="G31" s="44">
        <v>1086.55</v>
      </c>
      <c r="H31" s="44">
        <v>1073.3499999999999</v>
      </c>
      <c r="I31" s="44">
        <v>1015.47</v>
      </c>
      <c r="J31" s="25">
        <f t="shared" si="0"/>
        <v>37.808069685363861</v>
      </c>
      <c r="K31" s="33">
        <f t="shared" si="1"/>
        <v>3.5719997687227503</v>
      </c>
      <c r="L31" s="26">
        <f t="shared" si="2"/>
        <v>1058.4566666666667</v>
      </c>
      <c r="M31" s="26">
        <f t="shared" si="3"/>
        <v>1058.4566666666667</v>
      </c>
      <c r="N31" s="26">
        <f>1058.46*F31</f>
        <v>3175.38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8">
        <v>26</v>
      </c>
      <c r="B32" s="49" t="s">
        <v>25</v>
      </c>
      <c r="C32" s="50"/>
      <c r="D32" s="34" t="s">
        <v>53</v>
      </c>
      <c r="E32" s="36" t="s">
        <v>21</v>
      </c>
      <c r="F32" s="43">
        <v>8</v>
      </c>
      <c r="G32" s="44">
        <v>7505.28</v>
      </c>
      <c r="H32" s="44">
        <v>7414.09</v>
      </c>
      <c r="I32" s="44">
        <v>7014.28</v>
      </c>
      <c r="J32" s="25">
        <f t="shared" si="0"/>
        <v>261.16554526455701</v>
      </c>
      <c r="K32" s="33">
        <f t="shared" si="1"/>
        <v>3.5721215383379925</v>
      </c>
      <c r="L32" s="26">
        <f t="shared" si="2"/>
        <v>7311.2166666666662</v>
      </c>
      <c r="M32" s="26">
        <f t="shared" si="3"/>
        <v>7311.2166666666662</v>
      </c>
      <c r="N32" s="26">
        <f>7311.22*F32</f>
        <v>58489.760000000002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8">
        <v>27</v>
      </c>
      <c r="B33" s="49" t="s">
        <v>26</v>
      </c>
      <c r="C33" s="50"/>
      <c r="D33" s="34" t="s">
        <v>52</v>
      </c>
      <c r="E33" s="36" t="s">
        <v>21</v>
      </c>
      <c r="F33" s="43">
        <v>8</v>
      </c>
      <c r="G33" s="44">
        <v>2133.31</v>
      </c>
      <c r="H33" s="44">
        <v>2107.39</v>
      </c>
      <c r="I33" s="44">
        <v>1993.75</v>
      </c>
      <c r="J33" s="25">
        <f t="shared" si="0"/>
        <v>74.232618167487487</v>
      </c>
      <c r="K33" s="33">
        <f t="shared" si="1"/>
        <v>3.5720529397535064</v>
      </c>
      <c r="L33" s="26">
        <f t="shared" si="2"/>
        <v>2078.15</v>
      </c>
      <c r="M33" s="26">
        <f t="shared" si="3"/>
        <v>2078.15</v>
      </c>
      <c r="N33" s="26">
        <f t="shared" si="4"/>
        <v>16625.2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8">
        <v>28</v>
      </c>
      <c r="B34" s="49" t="s">
        <v>27</v>
      </c>
      <c r="C34" s="50"/>
      <c r="D34" s="34" t="s">
        <v>47</v>
      </c>
      <c r="E34" s="36" t="s">
        <v>21</v>
      </c>
      <c r="F34" s="43">
        <v>5</v>
      </c>
      <c r="G34" s="44">
        <v>4641.34</v>
      </c>
      <c r="H34" s="44">
        <v>4584.95</v>
      </c>
      <c r="I34" s="44">
        <v>4337.7</v>
      </c>
      <c r="J34" s="25">
        <f t="shared" si="0"/>
        <v>161.5083301257246</v>
      </c>
      <c r="K34" s="33">
        <f t="shared" si="1"/>
        <v>3.5721420494793472</v>
      </c>
      <c r="L34" s="26">
        <f t="shared" si="2"/>
        <v>4521.3300000000008</v>
      </c>
      <c r="M34" s="26">
        <f t="shared" si="3"/>
        <v>4521.3300000000008</v>
      </c>
      <c r="N34" s="26">
        <f t="shared" si="4"/>
        <v>22606.650000000005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8">
        <v>29</v>
      </c>
      <c r="B35" s="49" t="s">
        <v>28</v>
      </c>
      <c r="C35" s="50"/>
      <c r="D35" s="34" t="s">
        <v>47</v>
      </c>
      <c r="E35" s="36" t="s">
        <v>21</v>
      </c>
      <c r="F35" s="43">
        <v>7</v>
      </c>
      <c r="G35" s="44">
        <v>9871.82</v>
      </c>
      <c r="H35" s="44">
        <v>9751.8799999999992</v>
      </c>
      <c r="I35" s="44">
        <v>9226</v>
      </c>
      <c r="J35" s="25">
        <f t="shared" si="0"/>
        <v>343.51585368558051</v>
      </c>
      <c r="K35" s="33">
        <f t="shared" si="1"/>
        <v>3.5721257450051183</v>
      </c>
      <c r="L35" s="26">
        <f t="shared" si="2"/>
        <v>9616.5666666666657</v>
      </c>
      <c r="M35" s="26">
        <f t="shared" si="3"/>
        <v>9616.5666666666657</v>
      </c>
      <c r="N35" s="26">
        <f>9616.57*F35</f>
        <v>67315.989999999991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8">
        <v>30</v>
      </c>
      <c r="B36" s="49" t="s">
        <v>29</v>
      </c>
      <c r="C36" s="50"/>
      <c r="D36" s="34" t="s">
        <v>47</v>
      </c>
      <c r="E36" s="36" t="s">
        <v>21</v>
      </c>
      <c r="F36" s="43">
        <v>10</v>
      </c>
      <c r="G36" s="44">
        <v>257.55</v>
      </c>
      <c r="H36" s="44">
        <v>254.42</v>
      </c>
      <c r="I36" s="44">
        <v>240.7</v>
      </c>
      <c r="J36" s="25">
        <f t="shared" si="0"/>
        <v>8.9624940725224551</v>
      </c>
      <c r="K36" s="33">
        <f t="shared" si="1"/>
        <v>3.5722803111014603</v>
      </c>
      <c r="L36" s="26">
        <f t="shared" si="2"/>
        <v>250.89000000000001</v>
      </c>
      <c r="M36" s="26">
        <f t="shared" si="3"/>
        <v>250.89000000000001</v>
      </c>
      <c r="N36" s="26">
        <f t="shared" si="4"/>
        <v>2508.9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8">
        <v>31</v>
      </c>
      <c r="B37" s="49" t="s">
        <v>30</v>
      </c>
      <c r="C37" s="50"/>
      <c r="D37" s="34" t="s">
        <v>53</v>
      </c>
      <c r="E37" s="36" t="s">
        <v>21</v>
      </c>
      <c r="F37" s="43">
        <v>3</v>
      </c>
      <c r="G37" s="44">
        <v>3027.53</v>
      </c>
      <c r="H37" s="44">
        <v>2990.75</v>
      </c>
      <c r="I37" s="44">
        <v>2829.47</v>
      </c>
      <c r="J37" s="25">
        <f t="shared" si="0"/>
        <v>105.3500280018949</v>
      </c>
      <c r="K37" s="33">
        <f t="shared" si="1"/>
        <v>3.57209554978028</v>
      </c>
      <c r="L37" s="26">
        <f t="shared" si="2"/>
        <v>2949.25</v>
      </c>
      <c r="M37" s="26">
        <f t="shared" si="3"/>
        <v>2949.25</v>
      </c>
      <c r="N37" s="26">
        <f t="shared" si="4"/>
        <v>8847.75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8">
        <v>32</v>
      </c>
      <c r="B38" s="49" t="s">
        <v>31</v>
      </c>
      <c r="C38" s="50"/>
      <c r="D38" s="34" t="s">
        <v>47</v>
      </c>
      <c r="E38" s="36" t="s">
        <v>21</v>
      </c>
      <c r="F38" s="43">
        <v>5</v>
      </c>
      <c r="G38" s="44">
        <v>638.89</v>
      </c>
      <c r="H38" s="44">
        <v>631.12</v>
      </c>
      <c r="I38" s="44">
        <v>597.09</v>
      </c>
      <c r="J38" s="25">
        <f t="shared" si="0"/>
        <v>22.232310571178431</v>
      </c>
      <c r="K38" s="33">
        <f t="shared" si="1"/>
        <v>3.5722206477175993</v>
      </c>
      <c r="L38" s="26">
        <f t="shared" si="2"/>
        <v>622.36666666666667</v>
      </c>
      <c r="M38" s="26">
        <f t="shared" si="3"/>
        <v>622.36666666666667</v>
      </c>
      <c r="N38" s="26">
        <f>622.37*F38</f>
        <v>3111.85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38">
        <v>33</v>
      </c>
      <c r="B39" s="49" t="s">
        <v>32</v>
      </c>
      <c r="C39" s="50"/>
      <c r="D39" s="34" t="s">
        <v>47</v>
      </c>
      <c r="E39" s="36" t="s">
        <v>21</v>
      </c>
      <c r="F39" s="43">
        <v>5</v>
      </c>
      <c r="G39" s="44">
        <v>30286.400000000001</v>
      </c>
      <c r="H39" s="44">
        <v>29918.44</v>
      </c>
      <c r="I39" s="44">
        <v>28305.05</v>
      </c>
      <c r="J39" s="25">
        <f t="shared" si="0"/>
        <v>1053.8951304723514</v>
      </c>
      <c r="K39" s="33">
        <f t="shared" si="1"/>
        <v>3.5721266758065728</v>
      </c>
      <c r="L39" s="26">
        <f t="shared" si="2"/>
        <v>29503.296666666665</v>
      </c>
      <c r="M39" s="26">
        <f t="shared" si="3"/>
        <v>29503.296666666665</v>
      </c>
      <c r="N39" s="26">
        <f>29503.3*F39</f>
        <v>147516.5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>
      <c r="A40" s="38">
        <v>34</v>
      </c>
      <c r="B40" s="49" t="s">
        <v>33</v>
      </c>
      <c r="C40" s="50"/>
      <c r="D40" s="34" t="s">
        <v>47</v>
      </c>
      <c r="E40" s="36" t="s">
        <v>21</v>
      </c>
      <c r="F40" s="43">
        <v>5</v>
      </c>
      <c r="G40" s="44">
        <v>532.77</v>
      </c>
      <c r="H40" s="44">
        <v>526.29999999999995</v>
      </c>
      <c r="I40" s="44">
        <v>497.92</v>
      </c>
      <c r="J40" s="25">
        <f t="shared" si="0"/>
        <v>18.537384749023591</v>
      </c>
      <c r="K40" s="33">
        <f t="shared" si="1"/>
        <v>3.5717733734366166</v>
      </c>
      <c r="L40" s="26">
        <f t="shared" si="2"/>
        <v>518.99666666666667</v>
      </c>
      <c r="M40" s="26">
        <f t="shared" si="3"/>
        <v>518.99666666666667</v>
      </c>
      <c r="N40" s="26">
        <f>519*F40</f>
        <v>2595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>
      <c r="A41" s="38">
        <v>35</v>
      </c>
      <c r="B41" s="49" t="s">
        <v>34</v>
      </c>
      <c r="C41" s="50"/>
      <c r="D41" s="34" t="s">
        <v>47</v>
      </c>
      <c r="E41" s="36" t="s">
        <v>21</v>
      </c>
      <c r="F41" s="43">
        <v>70</v>
      </c>
      <c r="G41" s="44">
        <v>2685.99</v>
      </c>
      <c r="H41" s="44">
        <v>2653.36</v>
      </c>
      <c r="I41" s="44">
        <v>2510.27</v>
      </c>
      <c r="J41" s="25">
        <f t="shared" si="0"/>
        <v>93.467448344329981</v>
      </c>
      <c r="K41" s="33">
        <f t="shared" si="1"/>
        <v>3.5721773160100732</v>
      </c>
      <c r="L41" s="26">
        <f t="shared" si="2"/>
        <v>2616.5400000000004</v>
      </c>
      <c r="M41" s="26">
        <f t="shared" si="3"/>
        <v>2616.5400000000004</v>
      </c>
      <c r="N41" s="26">
        <f t="shared" si="4"/>
        <v>183157.80000000002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>
      <c r="A42" s="38">
        <v>36</v>
      </c>
      <c r="B42" s="49" t="s">
        <v>35</v>
      </c>
      <c r="C42" s="50"/>
      <c r="D42" s="34" t="s">
        <v>47</v>
      </c>
      <c r="E42" s="36" t="s">
        <v>21</v>
      </c>
      <c r="F42" s="43">
        <v>110</v>
      </c>
      <c r="G42" s="44">
        <v>1775.18</v>
      </c>
      <c r="H42" s="44">
        <v>1753.62</v>
      </c>
      <c r="I42" s="44">
        <v>1659.05</v>
      </c>
      <c r="J42" s="25">
        <f t="shared" si="0"/>
        <v>61.771751094924753</v>
      </c>
      <c r="K42" s="33">
        <f t="shared" si="1"/>
        <v>3.5721012227565221</v>
      </c>
      <c r="L42" s="26">
        <f t="shared" si="2"/>
        <v>1729.2833333333335</v>
      </c>
      <c r="M42" s="26">
        <f t="shared" si="3"/>
        <v>1729.2833333333335</v>
      </c>
      <c r="N42" s="26">
        <f>1729.28*F42</f>
        <v>190220.79999999999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>
      <c r="A43" s="38">
        <v>37</v>
      </c>
      <c r="B43" s="49" t="s">
        <v>36</v>
      </c>
      <c r="C43" s="50"/>
      <c r="D43" s="34" t="s">
        <v>47</v>
      </c>
      <c r="E43" s="36" t="s">
        <v>21</v>
      </c>
      <c r="F43" s="43">
        <v>50</v>
      </c>
      <c r="G43" s="44">
        <v>1190.45</v>
      </c>
      <c r="H43" s="44">
        <v>1175.99</v>
      </c>
      <c r="I43" s="44">
        <v>1112.57</v>
      </c>
      <c r="J43" s="25">
        <f t="shared" si="0"/>
        <v>41.425600780193939</v>
      </c>
      <c r="K43" s="33">
        <f t="shared" si="1"/>
        <v>3.5721887071489244</v>
      </c>
      <c r="L43" s="26">
        <f t="shared" si="2"/>
        <v>1159.67</v>
      </c>
      <c r="M43" s="26">
        <f t="shared" si="3"/>
        <v>1159.67</v>
      </c>
      <c r="N43" s="26">
        <f t="shared" si="4"/>
        <v>57983.5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>
      <c r="A44" s="38">
        <v>38</v>
      </c>
      <c r="B44" s="49" t="s">
        <v>37</v>
      </c>
      <c r="C44" s="50"/>
      <c r="D44" s="34" t="s">
        <v>47</v>
      </c>
      <c r="E44" s="36" t="s">
        <v>21</v>
      </c>
      <c r="F44" s="43">
        <v>10</v>
      </c>
      <c r="G44" s="44">
        <v>8511.14</v>
      </c>
      <c r="H44" s="44">
        <v>8407.74</v>
      </c>
      <c r="I44" s="44">
        <v>7954.34</v>
      </c>
      <c r="J44" s="25">
        <f t="shared" si="0"/>
        <v>296.16700243837619</v>
      </c>
      <c r="K44" s="33">
        <f t="shared" si="1"/>
        <v>3.5721189589250155</v>
      </c>
      <c r="L44" s="26">
        <f t="shared" si="2"/>
        <v>8291.0733333333319</v>
      </c>
      <c r="M44" s="26">
        <f t="shared" si="3"/>
        <v>8291.0733333333319</v>
      </c>
      <c r="N44" s="26">
        <f>8291.07*F44</f>
        <v>82910.7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  <row r="45" spans="1:254">
      <c r="A45" s="38">
        <v>39</v>
      </c>
      <c r="B45" s="49" t="s">
        <v>38</v>
      </c>
      <c r="C45" s="50"/>
      <c r="D45" s="34" t="s">
        <v>47</v>
      </c>
      <c r="E45" s="36" t="s">
        <v>21</v>
      </c>
      <c r="F45" s="43">
        <v>5</v>
      </c>
      <c r="G45" s="44">
        <v>15620.71</v>
      </c>
      <c r="H45" s="44">
        <v>15430.92</v>
      </c>
      <c r="I45" s="44">
        <v>14598.79</v>
      </c>
      <c r="J45" s="25">
        <f t="shared" si="0"/>
        <v>543.56555375900382</v>
      </c>
      <c r="K45" s="33">
        <f t="shared" si="1"/>
        <v>3.5721394486118894</v>
      </c>
      <c r="L45" s="26">
        <f t="shared" si="2"/>
        <v>15216.806666666665</v>
      </c>
      <c r="M45" s="26">
        <f t="shared" si="3"/>
        <v>15216.806666666665</v>
      </c>
      <c r="N45" s="26">
        <f>15216.81*F45</f>
        <v>76084.05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</row>
    <row r="46" spans="1:254">
      <c r="A46" s="38">
        <v>40</v>
      </c>
      <c r="B46" s="49" t="s">
        <v>39</v>
      </c>
      <c r="C46" s="50"/>
      <c r="D46" s="34" t="s">
        <v>49</v>
      </c>
      <c r="E46" s="36" t="s">
        <v>21</v>
      </c>
      <c r="F46" s="43">
        <v>51</v>
      </c>
      <c r="G46" s="44">
        <v>179.06</v>
      </c>
      <c r="H46" s="44">
        <v>176.89</v>
      </c>
      <c r="I46" s="44">
        <v>167.35</v>
      </c>
      <c r="J46" s="25">
        <f t="shared" si="0"/>
        <v>6.2295612472575748</v>
      </c>
      <c r="K46" s="33">
        <f t="shared" si="1"/>
        <v>3.5713135375067315</v>
      </c>
      <c r="L46" s="26">
        <f t="shared" si="2"/>
        <v>174.43333333333331</v>
      </c>
      <c r="M46" s="26">
        <f t="shared" si="3"/>
        <v>174.43333333333331</v>
      </c>
      <c r="N46" s="26">
        <f>174.43*F46</f>
        <v>8895.93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</row>
    <row r="47" spans="1:254">
      <c r="A47" s="38">
        <v>41</v>
      </c>
      <c r="B47" s="49" t="s">
        <v>40</v>
      </c>
      <c r="C47" s="50"/>
      <c r="D47" s="34" t="s">
        <v>54</v>
      </c>
      <c r="E47" s="36" t="s">
        <v>21</v>
      </c>
      <c r="F47" s="43">
        <v>10</v>
      </c>
      <c r="G47" s="44">
        <v>5968.86</v>
      </c>
      <c r="H47" s="44">
        <v>5896.34</v>
      </c>
      <c r="I47" s="44">
        <v>5578.37</v>
      </c>
      <c r="J47" s="25">
        <f t="shared" si="0"/>
        <v>207.70432165300105</v>
      </c>
      <c r="K47" s="33">
        <f t="shared" si="1"/>
        <v>3.5721642127099162</v>
      </c>
      <c r="L47" s="26">
        <f t="shared" si="2"/>
        <v>5814.5233333333335</v>
      </c>
      <c r="M47" s="26">
        <f t="shared" si="3"/>
        <v>5814.5233333333335</v>
      </c>
      <c r="N47" s="26">
        <f>5814.52*F47</f>
        <v>58145.200000000004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</row>
    <row r="48" spans="1:254">
      <c r="A48" s="38">
        <v>42</v>
      </c>
      <c r="B48" s="49" t="s">
        <v>41</v>
      </c>
      <c r="C48" s="50"/>
      <c r="D48" s="34" t="s">
        <v>54</v>
      </c>
      <c r="E48" s="36" t="s">
        <v>21</v>
      </c>
      <c r="F48" s="43">
        <v>10</v>
      </c>
      <c r="G48" s="44">
        <v>5968.86</v>
      </c>
      <c r="H48" s="44">
        <v>5896.34</v>
      </c>
      <c r="I48" s="44">
        <v>5578.37</v>
      </c>
      <c r="J48" s="25">
        <f t="shared" si="0"/>
        <v>207.70432165300105</v>
      </c>
      <c r="K48" s="33">
        <f t="shared" si="1"/>
        <v>3.5721642127099162</v>
      </c>
      <c r="L48" s="26">
        <f t="shared" si="2"/>
        <v>5814.5233333333335</v>
      </c>
      <c r="M48" s="26">
        <f t="shared" si="3"/>
        <v>5814.5233333333335</v>
      </c>
      <c r="N48" s="26">
        <f>5814.52*F48</f>
        <v>58145.200000000004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</row>
    <row r="49" spans="1:254">
      <c r="A49" s="38">
        <v>43</v>
      </c>
      <c r="B49" s="49" t="s">
        <v>42</v>
      </c>
      <c r="C49" s="50"/>
      <c r="D49" s="34" t="s">
        <v>54</v>
      </c>
      <c r="E49" s="36" t="s">
        <v>21</v>
      </c>
      <c r="F49" s="43">
        <v>1</v>
      </c>
      <c r="G49" s="44">
        <v>6298.74</v>
      </c>
      <c r="H49" s="44">
        <v>6222.21</v>
      </c>
      <c r="I49" s="44">
        <v>5886.67</v>
      </c>
      <c r="J49" s="25">
        <f t="shared" si="0"/>
        <v>219.18242683512125</v>
      </c>
      <c r="K49" s="33">
        <f t="shared" si="1"/>
        <v>3.572147189616929</v>
      </c>
      <c r="L49" s="26">
        <f t="shared" si="2"/>
        <v>6135.8733333333339</v>
      </c>
      <c r="M49" s="26">
        <f t="shared" si="3"/>
        <v>6135.8733333333339</v>
      </c>
      <c r="N49" s="26">
        <f t="shared" si="4"/>
        <v>6135.8733333333339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</row>
    <row r="50" spans="1:254">
      <c r="A50" s="38">
        <v>44</v>
      </c>
      <c r="B50" s="49" t="s">
        <v>43</v>
      </c>
      <c r="C50" s="50"/>
      <c r="D50" s="34" t="s">
        <v>54</v>
      </c>
      <c r="E50" s="36" t="s">
        <v>21</v>
      </c>
      <c r="F50" s="43">
        <v>1</v>
      </c>
      <c r="G50" s="44">
        <v>6298.74</v>
      </c>
      <c r="H50" s="44">
        <v>6222.21</v>
      </c>
      <c r="I50" s="44">
        <v>5886.67</v>
      </c>
      <c r="J50" s="25">
        <f t="shared" si="0"/>
        <v>219.18242683512125</v>
      </c>
      <c r="K50" s="33">
        <f t="shared" si="1"/>
        <v>3.572147189616929</v>
      </c>
      <c r="L50" s="26">
        <f t="shared" si="2"/>
        <v>6135.8733333333339</v>
      </c>
      <c r="M50" s="26">
        <f t="shared" si="3"/>
        <v>6135.8733333333339</v>
      </c>
      <c r="N50" s="26">
        <f t="shared" si="4"/>
        <v>6135.8733333333339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</row>
    <row r="51" spans="1:254">
      <c r="A51" s="38">
        <v>45</v>
      </c>
      <c r="B51" s="49" t="s">
        <v>44</v>
      </c>
      <c r="C51" s="50"/>
      <c r="D51" s="34" t="s">
        <v>54</v>
      </c>
      <c r="E51" s="36" t="s">
        <v>21</v>
      </c>
      <c r="F51" s="43">
        <v>1</v>
      </c>
      <c r="G51" s="44">
        <v>6298.74</v>
      </c>
      <c r="H51" s="44">
        <v>6222.21</v>
      </c>
      <c r="I51" s="44">
        <v>5886.67</v>
      </c>
      <c r="J51" s="25">
        <f t="shared" si="0"/>
        <v>219.18242683512125</v>
      </c>
      <c r="K51" s="33">
        <f t="shared" si="1"/>
        <v>3.572147189616929</v>
      </c>
      <c r="L51" s="26">
        <f>AVERAGE(G51,H51,I51)</f>
        <v>6135.8733333333339</v>
      </c>
      <c r="M51" s="26">
        <f t="shared" si="3"/>
        <v>6135.8733333333339</v>
      </c>
      <c r="N51" s="26">
        <f t="shared" si="4"/>
        <v>6135.8733333333339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</row>
    <row r="52" spans="1:254">
      <c r="A52" s="38">
        <v>46</v>
      </c>
      <c r="B52" s="49" t="s">
        <v>45</v>
      </c>
      <c r="C52" s="50"/>
      <c r="D52" s="34" t="s">
        <v>54</v>
      </c>
      <c r="E52" s="36" t="s">
        <v>21</v>
      </c>
      <c r="F52" s="43">
        <v>1</v>
      </c>
      <c r="G52" s="44">
        <v>6298.02</v>
      </c>
      <c r="H52" s="44">
        <v>6221.5</v>
      </c>
      <c r="I52" s="44">
        <v>5886</v>
      </c>
      <c r="J52" s="25">
        <f t="shared" si="0"/>
        <v>219.15597215986017</v>
      </c>
      <c r="K52" s="33">
        <f t="shared" si="1"/>
        <v>3.5721235611902324</v>
      </c>
      <c r="L52" s="26">
        <f t="shared" si="2"/>
        <v>6135.1733333333332</v>
      </c>
      <c r="M52" s="26">
        <f t="shared" si="3"/>
        <v>6135.1733333333332</v>
      </c>
      <c r="N52" s="26">
        <f t="shared" si="4"/>
        <v>6135.1733333333332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</row>
    <row r="53" spans="1:254">
      <c r="A53" s="38">
        <v>47</v>
      </c>
      <c r="B53" s="49" t="s">
        <v>46</v>
      </c>
      <c r="C53" s="50"/>
      <c r="D53" s="34" t="s">
        <v>54</v>
      </c>
      <c r="E53" s="36" t="s">
        <v>21</v>
      </c>
      <c r="F53" s="43">
        <v>1</v>
      </c>
      <c r="G53" s="44">
        <v>6298.41</v>
      </c>
      <c r="H53" s="44">
        <v>6221.88</v>
      </c>
      <c r="I53" s="44">
        <v>5886.36</v>
      </c>
      <c r="J53" s="25">
        <f t="shared" si="0"/>
        <v>219.17105716768367</v>
      </c>
      <c r="K53" s="33">
        <f t="shared" si="1"/>
        <v>3.5721501278236452</v>
      </c>
      <c r="L53" s="26">
        <f t="shared" si="2"/>
        <v>6135.55</v>
      </c>
      <c r="M53" s="26">
        <f t="shared" si="3"/>
        <v>6135.55</v>
      </c>
      <c r="N53" s="26">
        <f t="shared" si="4"/>
        <v>6135.55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</row>
    <row r="54" spans="1:254">
      <c r="A54" s="38">
        <v>48</v>
      </c>
      <c r="B54" s="49" t="s">
        <v>81</v>
      </c>
      <c r="C54" s="50"/>
      <c r="D54" s="34" t="s">
        <v>54</v>
      </c>
      <c r="E54" s="36" t="s">
        <v>21</v>
      </c>
      <c r="F54" s="43">
        <v>1</v>
      </c>
      <c r="G54" s="44">
        <v>6294.46</v>
      </c>
      <c r="H54" s="44">
        <v>6217.98</v>
      </c>
      <c r="I54" s="44">
        <v>5882.67</v>
      </c>
      <c r="J54" s="25">
        <f t="shared" si="0"/>
        <v>219.03309894473321</v>
      </c>
      <c r="K54" s="33">
        <f t="shared" si="1"/>
        <v>3.5721411659631261</v>
      </c>
      <c r="L54" s="26">
        <f t="shared" si="2"/>
        <v>6131.7033333333338</v>
      </c>
      <c r="M54" s="26">
        <f t="shared" si="3"/>
        <v>6131.7033333333338</v>
      </c>
      <c r="N54" s="26">
        <f t="shared" si="4"/>
        <v>6131.7033333333338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</row>
    <row r="55" spans="1:254">
      <c r="A55" s="38">
        <v>49</v>
      </c>
      <c r="B55" s="49" t="s">
        <v>82</v>
      </c>
      <c r="C55" s="50"/>
      <c r="D55" s="34" t="s">
        <v>47</v>
      </c>
      <c r="E55" s="36" t="s">
        <v>21</v>
      </c>
      <c r="F55" s="43">
        <v>10</v>
      </c>
      <c r="G55" s="44">
        <v>4829.24</v>
      </c>
      <c r="H55" s="44">
        <v>4770.57</v>
      </c>
      <c r="I55" s="44">
        <v>4513.3100000000004</v>
      </c>
      <c r="J55" s="25">
        <f t="shared" si="0"/>
        <v>168.04594679233776</v>
      </c>
      <c r="K55" s="33">
        <f t="shared" si="1"/>
        <v>3.5721218297372466</v>
      </c>
      <c r="L55" s="26">
        <f t="shared" si="2"/>
        <v>4704.373333333333</v>
      </c>
      <c r="M55" s="26">
        <f t="shared" si="3"/>
        <v>4704.373333333333</v>
      </c>
      <c r="N55" s="26">
        <f>4704.37*F55</f>
        <v>47043.7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</row>
    <row r="56" spans="1:254">
      <c r="A56" s="38">
        <v>50</v>
      </c>
      <c r="B56" s="49" t="s">
        <v>83</v>
      </c>
      <c r="C56" s="50"/>
      <c r="D56" s="34" t="s">
        <v>47</v>
      </c>
      <c r="E56" s="28" t="s">
        <v>21</v>
      </c>
      <c r="F56" s="46">
        <v>6</v>
      </c>
      <c r="G56" s="47">
        <v>10111.5</v>
      </c>
      <c r="H56" s="47">
        <v>9988.65</v>
      </c>
      <c r="I56" s="47">
        <v>9450</v>
      </c>
      <c r="J56" s="25">
        <f t="shared" si="0"/>
        <v>351.85655102612475</v>
      </c>
      <c r="K56" s="33">
        <f t="shared" ref="K56:K57" si="5">J56/L56*100</f>
        <v>3.5721295935160198</v>
      </c>
      <c r="L56" s="26">
        <f t="shared" si="2"/>
        <v>9850.0500000000011</v>
      </c>
      <c r="M56" s="26">
        <f t="shared" ref="M56:M57" si="6">(G56+H56+I56)/3</f>
        <v>9850.0500000000011</v>
      </c>
      <c r="N56" s="26">
        <f t="shared" ref="N56:N57" si="7">M56*F56</f>
        <v>59100.3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</row>
    <row r="57" spans="1:254" ht="15.75" thickBot="1">
      <c r="A57" s="38">
        <v>51</v>
      </c>
      <c r="B57" s="49" t="s">
        <v>84</v>
      </c>
      <c r="C57" s="73"/>
      <c r="D57" s="48" t="s">
        <v>47</v>
      </c>
      <c r="E57" s="34" t="s">
        <v>21</v>
      </c>
      <c r="F57" s="46">
        <v>5</v>
      </c>
      <c r="G57" s="47">
        <v>2626.85</v>
      </c>
      <c r="H57" s="47">
        <v>2594.94</v>
      </c>
      <c r="I57" s="47">
        <v>2455</v>
      </c>
      <c r="J57" s="25">
        <f>SQRT(((SUM((POWER(G57-L57,2)),(POWER(H57-L57,2)),(POWER(I57-L57,2)))/(COLUMNS(G57:I57)-1))))</f>
        <v>91.409221088465657</v>
      </c>
      <c r="K57" s="33">
        <f t="shared" si="5"/>
        <v>3.572165752422523</v>
      </c>
      <c r="L57" s="26">
        <f t="shared" ref="L57" si="8">AVERAGE(G57,H57,I57)</f>
        <v>2558.9299999999998</v>
      </c>
      <c r="M57" s="26">
        <f t="shared" si="6"/>
        <v>2558.9299999999998</v>
      </c>
      <c r="N57" s="26">
        <f t="shared" si="7"/>
        <v>12794.65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</row>
    <row r="58" spans="1:254" s="13" customFormat="1" ht="14.25">
      <c r="A58" s="74" t="s">
        <v>18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37"/>
      <c r="N58" s="27">
        <f>SUM(N7:N57)</f>
        <v>1618423.2766666664</v>
      </c>
      <c r="O58" s="12"/>
    </row>
    <row r="59" spans="1:254" ht="49.5" customHeight="1">
      <c r="A59" s="53" t="s">
        <v>87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</row>
    <row r="60" spans="1:254">
      <c r="A60" s="65"/>
      <c r="B60" s="65"/>
      <c r="C60" s="65"/>
      <c r="D60" s="66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</row>
    <row r="61" spans="1:254">
      <c r="A61" s="30"/>
      <c r="B61" s="30"/>
      <c r="C61" s="30"/>
      <c r="D61" s="3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</row>
    <row r="62" spans="1:254">
      <c r="A62" s="64"/>
      <c r="B62" s="64"/>
      <c r="C62" s="64"/>
      <c r="D62" s="64"/>
      <c r="E62" s="64"/>
      <c r="F62" s="64"/>
      <c r="G62" s="64"/>
      <c r="H62" s="64"/>
      <c r="I62" s="30"/>
      <c r="J62" s="30"/>
      <c r="K62" s="30"/>
      <c r="L62" s="30"/>
      <c r="M62" s="30"/>
      <c r="N62" s="3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</row>
    <row r="63" spans="1:254">
      <c r="A63" s="64"/>
      <c r="B63" s="64"/>
      <c r="C63" s="64"/>
      <c r="D63" s="64"/>
      <c r="E63" s="64"/>
      <c r="F63" s="64"/>
      <c r="G63" s="64"/>
      <c r="H63" s="64"/>
      <c r="I63" s="30"/>
      <c r="J63" s="18"/>
      <c r="K63" s="30"/>
      <c r="L63" s="20"/>
      <c r="M63" s="30"/>
      <c r="N63" s="18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</row>
    <row r="64" spans="1:254">
      <c r="A64" s="64"/>
      <c r="B64" s="64"/>
      <c r="C64" s="64"/>
      <c r="D64" s="71"/>
      <c r="E64" s="71"/>
      <c r="F64" s="71"/>
      <c r="G64" s="71"/>
      <c r="H64" s="71"/>
      <c r="I64" s="30"/>
      <c r="J64" s="30"/>
      <c r="K64" s="30"/>
      <c r="L64" s="21"/>
      <c r="M64" s="30"/>
      <c r="N64" s="30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</row>
    <row r="65" spans="1:254">
      <c r="A65" s="64"/>
      <c r="B65" s="64"/>
      <c r="C65" s="64"/>
      <c r="D65" s="71"/>
      <c r="E65" s="71"/>
      <c r="F65" s="71"/>
      <c r="G65" s="71"/>
      <c r="H65" s="71"/>
      <c r="I65" s="30"/>
      <c r="J65" s="30"/>
      <c r="K65" s="30"/>
      <c r="L65" s="30"/>
      <c r="M65" s="30"/>
      <c r="N65" s="30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</row>
    <row r="66" spans="1:254">
      <c r="A66" s="64"/>
      <c r="B66" s="64"/>
      <c r="C66" s="64"/>
      <c r="D66" s="71"/>
      <c r="E66" s="71"/>
      <c r="F66" s="71"/>
      <c r="G66" s="71"/>
      <c r="H66" s="71"/>
      <c r="I66" s="30"/>
      <c r="J66" s="30"/>
      <c r="K66" s="30"/>
      <c r="L66" s="30"/>
      <c r="M66" s="30"/>
      <c r="N66" s="30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</row>
    <row r="67" spans="1:254">
      <c r="A67" s="29"/>
      <c r="B67" s="29"/>
      <c r="C67" s="29"/>
      <c r="D67" s="14"/>
      <c r="E67" s="14"/>
      <c r="F67" s="14"/>
      <c r="G67" s="14"/>
      <c r="H67" s="14"/>
      <c r="I67" s="30"/>
      <c r="J67" s="30"/>
      <c r="K67" s="30"/>
      <c r="L67" s="22"/>
      <c r="M67" s="30"/>
      <c r="N67" s="30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</row>
    <row r="68" spans="1:254">
      <c r="A68" s="30"/>
      <c r="B68" s="30"/>
      <c r="C68" s="30"/>
      <c r="D68" s="31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</row>
    <row r="69" spans="1:254">
      <c r="A69" s="72" t="s">
        <v>12</v>
      </c>
      <c r="B69" s="72"/>
      <c r="C69" s="72" t="s">
        <v>19</v>
      </c>
      <c r="D69" s="72"/>
      <c r="E69" s="72"/>
      <c r="F69" s="39"/>
      <c r="G69" s="39"/>
      <c r="H69" s="39"/>
      <c r="I69" s="39"/>
      <c r="J69" s="39"/>
      <c r="K69" s="39"/>
      <c r="L69" s="19"/>
      <c r="M69" s="30"/>
      <c r="N69" s="30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</row>
    <row r="70" spans="1:254">
      <c r="A70" s="72" t="s">
        <v>13</v>
      </c>
      <c r="B70" s="72"/>
      <c r="C70" s="40"/>
      <c r="D70" s="39"/>
      <c r="E70" s="39"/>
      <c r="F70" s="39"/>
      <c r="G70" s="39"/>
      <c r="H70" s="39"/>
      <c r="I70" s="39"/>
      <c r="J70" s="39"/>
      <c r="K70" s="39"/>
      <c r="L70" s="30"/>
      <c r="M70" s="30"/>
      <c r="N70" s="30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</row>
    <row r="71" spans="1:254">
      <c r="A71" s="72" t="s">
        <v>55</v>
      </c>
      <c r="B71" s="72"/>
      <c r="C71" s="41" t="s">
        <v>7</v>
      </c>
      <c r="D71" s="42"/>
      <c r="E71" s="42"/>
      <c r="F71" s="42"/>
      <c r="G71" s="42"/>
      <c r="H71" s="42"/>
      <c r="I71" s="42"/>
      <c r="J71" s="42"/>
      <c r="K71" s="42"/>
      <c r="L71" s="30"/>
      <c r="M71" s="30"/>
      <c r="N71" s="30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</row>
    <row r="72" spans="1:254">
      <c r="A72" s="30"/>
      <c r="B72" s="30"/>
      <c r="C72" s="30"/>
      <c r="D72" s="31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</row>
    <row r="73" spans="1:254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</row>
    <row r="74" spans="1:25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</row>
    <row r="75" spans="1:254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</row>
    <row r="76" spans="1:254">
      <c r="A76" s="4"/>
      <c r="B76" s="4"/>
      <c r="C76" s="11"/>
      <c r="D76" s="11"/>
      <c r="E76" s="4"/>
      <c r="F76" s="69"/>
      <c r="G76" s="69"/>
      <c r="H76" s="16"/>
      <c r="I76" s="17"/>
      <c r="J76" s="17"/>
      <c r="K76" s="16"/>
      <c r="L76" s="17"/>
      <c r="M76" s="17"/>
      <c r="N76" s="17"/>
      <c r="O76" s="2"/>
      <c r="P76" s="3"/>
      <c r="Q76" s="3"/>
      <c r="R76" s="3"/>
      <c r="S76" s="2"/>
      <c r="T76" s="2"/>
      <c r="U76" s="3"/>
      <c r="V76" s="3"/>
      <c r="W76" s="3"/>
      <c r="X76" s="3"/>
      <c r="Y76" s="2"/>
      <c r="Z76" s="2"/>
      <c r="AA76" s="2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</row>
    <row r="77" spans="1:254">
      <c r="A77" s="6"/>
      <c r="B77" s="6"/>
      <c r="C77" s="32"/>
      <c r="D77" s="32"/>
      <c r="E77" s="4"/>
      <c r="F77" s="70"/>
      <c r="G77" s="70"/>
      <c r="H77" s="4"/>
      <c r="I77" s="15"/>
      <c r="J77" s="4"/>
      <c r="K77" s="4"/>
      <c r="L77" s="4"/>
      <c r="M77" s="4"/>
      <c r="N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</row>
    <row r="78" spans="1:254">
      <c r="A78" s="67"/>
      <c r="B78" s="67"/>
      <c r="C78" s="67"/>
      <c r="D78" s="67"/>
      <c r="E78" s="67"/>
      <c r="H78" s="1"/>
      <c r="I78" s="1"/>
      <c r="J78" s="1"/>
      <c r="K78" s="1"/>
      <c r="L78" s="1"/>
      <c r="M78" s="1"/>
      <c r="N78" s="1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</row>
    <row r="79" spans="1:254">
      <c r="A79" s="68"/>
      <c r="B79" s="68"/>
      <c r="C79" s="68"/>
      <c r="D79" s="68"/>
      <c r="E79" s="68"/>
      <c r="H79" s="1"/>
      <c r="I79" s="1"/>
      <c r="J79" s="1"/>
      <c r="K79" s="1"/>
      <c r="L79" s="1"/>
      <c r="M79" s="1"/>
      <c r="N79" s="1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</row>
    <row r="80" spans="1:254">
      <c r="A80" s="64"/>
      <c r="B80" s="64"/>
      <c r="C80" s="64"/>
      <c r="D80" s="64"/>
      <c r="E80" s="64"/>
      <c r="H80" s="1"/>
      <c r="I80" s="1"/>
      <c r="J80" s="1"/>
      <c r="K80" s="1"/>
      <c r="L80" s="1"/>
      <c r="M80" s="1"/>
      <c r="N80" s="1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</row>
    <row r="81" spans="1:254">
      <c r="A81" s="64"/>
      <c r="B81" s="64"/>
      <c r="C81" s="64"/>
      <c r="D81" s="64"/>
      <c r="E81" s="64"/>
      <c r="F81" s="8"/>
      <c r="G81" s="7"/>
      <c r="H81" s="1"/>
      <c r="I81" s="1"/>
      <c r="J81" s="7"/>
      <c r="K81" s="1"/>
      <c r="L81" s="1"/>
      <c r="M81" s="1"/>
      <c r="N81" s="1"/>
      <c r="S81" s="7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</row>
    <row r="82" spans="1:254">
      <c r="A82" s="9"/>
      <c r="B82" s="9"/>
      <c r="C82" s="9"/>
      <c r="D82" s="9"/>
      <c r="E82" s="9"/>
      <c r="F82" s="7"/>
      <c r="G82" s="7"/>
      <c r="H82" s="7"/>
      <c r="I82" s="7"/>
      <c r="J82" s="7"/>
      <c r="K82" s="7"/>
      <c r="L82" s="7"/>
      <c r="M82" s="7"/>
      <c r="N82" s="7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</row>
    <row r="83" spans="1:254">
      <c r="A83" s="10"/>
      <c r="B83" s="10"/>
      <c r="G83" s="2"/>
      <c r="I83" s="3"/>
      <c r="K83" s="2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</row>
    <row r="84" spans="1:254">
      <c r="A84" s="10"/>
      <c r="B84" s="10"/>
      <c r="G84" s="2"/>
      <c r="I84" s="3"/>
      <c r="K84" s="2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</row>
    <row r="85" spans="1:254">
      <c r="A85" s="10"/>
      <c r="B85" s="10"/>
      <c r="G85" s="2"/>
      <c r="I85" s="3"/>
      <c r="K85" s="2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</row>
    <row r="86" spans="1:254">
      <c r="A86" s="10"/>
      <c r="B86" s="10"/>
      <c r="G86" s="2"/>
      <c r="I86" s="3"/>
      <c r="K86" s="2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</row>
    <row r="87" spans="1:254">
      <c r="A87" s="10"/>
      <c r="B87" s="10"/>
      <c r="G87" s="2"/>
      <c r="I87" s="3"/>
      <c r="K87" s="2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</row>
    <row r="88" spans="1:254">
      <c r="A88" s="10"/>
      <c r="B88" s="10"/>
      <c r="G88" s="2"/>
      <c r="I88" s="3"/>
      <c r="K88" s="2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</row>
    <row r="89" spans="1:254">
      <c r="A89" s="10"/>
      <c r="B89" s="10"/>
      <c r="G89" s="2"/>
      <c r="I89" s="3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</row>
    <row r="90" spans="1:254">
      <c r="A90" s="10"/>
      <c r="B90" s="10"/>
      <c r="G90" s="2"/>
      <c r="I90" s="3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</row>
    <row r="91" spans="1:254">
      <c r="A91" s="10"/>
      <c r="B91" s="10"/>
      <c r="G91" s="2"/>
      <c r="I91" s="3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</row>
    <row r="92" spans="1:254">
      <c r="A92" s="10"/>
      <c r="B92" s="10"/>
      <c r="G92" s="2"/>
      <c r="I92" s="3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</row>
    <row r="93" spans="1:254">
      <c r="A93" s="4"/>
      <c r="B93" s="10"/>
      <c r="C93" s="10"/>
      <c r="D93" s="10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</row>
    <row r="94" spans="1:254">
      <c r="A94" s="4"/>
      <c r="B94" s="10"/>
      <c r="C94" s="10"/>
      <c r="D94" s="10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</row>
  </sheetData>
  <mergeCells count="85">
    <mergeCell ref="D5:D6"/>
    <mergeCell ref="A70:B70"/>
    <mergeCell ref="B56:C56"/>
    <mergeCell ref="B57:C57"/>
    <mergeCell ref="D66:H66"/>
    <mergeCell ref="C69:E69"/>
    <mergeCell ref="A58:L58"/>
    <mergeCell ref="B20:C20"/>
    <mergeCell ref="B21:C21"/>
    <mergeCell ref="B25:C25"/>
    <mergeCell ref="B26:C26"/>
    <mergeCell ref="B27:C27"/>
    <mergeCell ref="B28:C28"/>
    <mergeCell ref="B29:C29"/>
    <mergeCell ref="B30:C30"/>
    <mergeCell ref="A81:E81"/>
    <mergeCell ref="A60:N60"/>
    <mergeCell ref="A78:E78"/>
    <mergeCell ref="A79:E79"/>
    <mergeCell ref="F76:G76"/>
    <mergeCell ref="F77:G77"/>
    <mergeCell ref="A80:E80"/>
    <mergeCell ref="A62:C63"/>
    <mergeCell ref="D62:H63"/>
    <mergeCell ref="A64:C64"/>
    <mergeCell ref="D64:H64"/>
    <mergeCell ref="A65:C65"/>
    <mergeCell ref="A71:B71"/>
    <mergeCell ref="A69:B69"/>
    <mergeCell ref="D65:H65"/>
    <mergeCell ref="A66:C66"/>
    <mergeCell ref="J1:O1"/>
    <mergeCell ref="A59:O59"/>
    <mergeCell ref="N5:N6"/>
    <mergeCell ref="A2:N2"/>
    <mergeCell ref="A3:B3"/>
    <mergeCell ref="A4:B4"/>
    <mergeCell ref="A5:A6"/>
    <mergeCell ref="B5:C6"/>
    <mergeCell ref="M5:M6"/>
    <mergeCell ref="C3:N3"/>
    <mergeCell ref="C4:N4"/>
    <mergeCell ref="E5:E6"/>
    <mergeCell ref="F5:F6"/>
    <mergeCell ref="B22:C22"/>
    <mergeCell ref="B23:C23"/>
    <mergeCell ref="B24:C24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52:C52"/>
    <mergeCell ref="B53:C53"/>
    <mergeCell ref="B54:C54"/>
    <mergeCell ref="B55:C55"/>
    <mergeCell ref="B47:C47"/>
    <mergeCell ref="B48:C48"/>
    <mergeCell ref="B49:C49"/>
    <mergeCell ref="B50:C50"/>
    <mergeCell ref="B51:C51"/>
    <mergeCell ref="B16:C16"/>
    <mergeCell ref="B17:C17"/>
    <mergeCell ref="B18:C18"/>
    <mergeCell ref="B19:C19"/>
    <mergeCell ref="B11:C11"/>
    <mergeCell ref="B12:C12"/>
    <mergeCell ref="B13:C13"/>
    <mergeCell ref="B14:C14"/>
    <mergeCell ref="B15:C15"/>
    <mergeCell ref="B7:C7"/>
    <mergeCell ref="B8:C8"/>
    <mergeCell ref="B9:C9"/>
    <mergeCell ref="B10:C10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Дрига Ирина</cp:lastModifiedBy>
  <cp:lastPrinted>2026-05-28T09:29:45Z</cp:lastPrinted>
  <dcterms:created xsi:type="dcterms:W3CDTF">2020-11-24T08:13:39Z</dcterms:created>
  <dcterms:modified xsi:type="dcterms:W3CDTF">2026-08-31T14:40:38Z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