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3250" windowHeight="13170" firstSheet="3" activeTab="6"/>
  </bookViews>
  <sheets>
    <sheet name="Св.смета_№1_1" sheetId="1" r:id="rId1"/>
    <sheet name="Смета_№1_Инженерно-геодезическ" sheetId="2" r:id="rId2"/>
    <sheet name="Смета_№2_Инженерно-геологическ" sheetId="3" r:id="rId3"/>
    <sheet name="Смета_№3_Инженерно-экологическ" sheetId="4" r:id="rId4"/>
    <sheet name="Смета_№4_Проектные работы ПС 1" sheetId="5" r:id="rId5"/>
    <sheet name="Смета_№5_Проектные работы ВЛ 1" sheetId="7" r:id="rId6"/>
    <sheet name="Смета_№6_Проектные работы КЛ 6" sheetId="8" r:id="rId7"/>
  </sheets>
  <definedNames>
    <definedName name="_xlnm.Print_Area" localSheetId="0">Св.смета_№1_1!$A$1:$M$34</definedName>
    <definedName name="_xlnm.Print_Area" localSheetId="1">'Смета_№1_Инженерно-геодезическ'!$A$1:$P$38</definedName>
    <definedName name="_xlnm.Print_Area" localSheetId="2">'Смета_№2_Инженерно-геологическ'!$A$1:$P$89</definedName>
    <definedName name="_xlnm.Print_Area" localSheetId="3">'Смета_№3_Инженерно-экологическ'!$A$1:$P$55</definedName>
    <definedName name="_xlnm.Print_Area" localSheetId="4">'Смета_№4_Проектные работы ПС 1'!$A$1:$P$119</definedName>
    <definedName name="_xlnm.Print_Area" localSheetId="5">'Смета_№5_Проектные работы ВЛ 1'!$A$1:$P$36</definedName>
    <definedName name="_xlnm.Print_Area" localSheetId="6">'Смета_№6_Проектные работы КЛ 6'!$A$1:$P$54</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19" i="2"/>
  <c r="O20"/>
  <c r="O25" l="1"/>
  <c r="O23"/>
  <c r="O18"/>
  <c r="O42" i="8" l="1"/>
  <c r="O29"/>
  <c r="O17"/>
  <c r="O23" i="7"/>
  <c r="O29" s="1"/>
  <c r="O30" s="1"/>
  <c r="O108" i="5"/>
  <c r="O101"/>
  <c r="O92"/>
  <c r="O86"/>
  <c r="O68"/>
  <c r="O62"/>
  <c r="O56"/>
  <c r="O50"/>
  <c r="O44"/>
  <c r="O37"/>
  <c r="O47" i="4"/>
  <c r="O41"/>
  <c r="O40"/>
  <c r="O39"/>
  <c r="O38"/>
  <c r="O37"/>
  <c r="O36"/>
  <c r="O35"/>
  <c r="O34"/>
  <c r="O30"/>
  <c r="O29"/>
  <c r="O23"/>
  <c r="O20"/>
  <c r="O19"/>
  <c r="O18"/>
  <c r="O17"/>
  <c r="O24" s="1"/>
  <c r="O77" i="3"/>
  <c r="O80" s="1"/>
  <c r="O81" s="1"/>
  <c r="O68"/>
  <c r="O65"/>
  <c r="O62"/>
  <c r="O59"/>
  <c r="O53"/>
  <c r="O50"/>
  <c r="O47"/>
  <c r="O44"/>
  <c r="O41"/>
  <c r="O38"/>
  <c r="O35"/>
  <c r="O32"/>
  <c r="O29"/>
  <c r="O23"/>
  <c r="O20"/>
  <c r="O17"/>
  <c r="O30" i="2"/>
  <c r="O21"/>
  <c r="L24" i="1"/>
  <c r="J26" s="1"/>
  <c r="J27" s="1"/>
  <c r="J24"/>
  <c r="O31" i="4" l="1"/>
  <c r="O32" s="1"/>
  <c r="O26" i="3"/>
  <c r="O27" s="1"/>
  <c r="J28" i="1"/>
  <c r="J29" s="1"/>
  <c r="O74" i="3"/>
  <c r="O75" s="1"/>
  <c r="O27" i="2"/>
  <c r="O115" i="5"/>
  <c r="O116" s="1"/>
  <c r="O49" i="8"/>
  <c r="O50" s="1"/>
  <c r="O42" i="4"/>
  <c r="O43" s="1"/>
  <c r="O44" s="1"/>
  <c r="O56" i="3"/>
  <c r="O57" s="1"/>
  <c r="O26" i="4"/>
  <c r="O27" s="1"/>
  <c r="O25"/>
  <c r="O82" i="3" l="1"/>
  <c r="O83" s="1"/>
  <c r="O84" s="1"/>
  <c r="O31" i="2"/>
  <c r="O32" s="1"/>
  <c r="O33" s="1"/>
  <c r="O48" i="4"/>
  <c r="O49" s="1"/>
  <c r="O50" s="1"/>
  <c r="J25" i="1" l="1"/>
  <c r="L25"/>
</calcChain>
</file>

<file path=xl/sharedStrings.xml><?xml version="1.0" encoding="utf-8"?>
<sst xmlns="http://schemas.openxmlformats.org/spreadsheetml/2006/main" count="991" uniqueCount="375">
  <si>
    <t>СВОДНАЯ СМЕТА №1</t>
  </si>
  <si>
    <t>на проектные работы и работы по инженерным изысканиям</t>
  </si>
  <si>
    <t>По объекту:</t>
  </si>
  <si>
    <t>№пп</t>
  </si>
  <si>
    <t>Наименование сметы на проектные работы и работы по инженерным изысканиям</t>
  </si>
  <si>
    <t>Обоснование</t>
  </si>
  <si>
    <t>работ по инженерным изысканиям</t>
  </si>
  <si>
    <t>проектных работ</t>
  </si>
  <si>
    <t>1</t>
  </si>
  <si>
    <t>Инженерно-геодезические изыскания</t>
  </si>
  <si>
    <t>2</t>
  </si>
  <si>
    <t>Инженерно-геологические изыскания</t>
  </si>
  <si>
    <t>3</t>
  </si>
  <si>
    <t>Инженерно-экологические изыскания</t>
  </si>
  <si>
    <t>4</t>
  </si>
  <si>
    <t xml:space="preserve">Проектные работы ПС 110/6
</t>
  </si>
  <si>
    <t>5</t>
  </si>
  <si>
    <t>Проектные работы ВЛ 110 кВ</t>
  </si>
  <si>
    <t>6</t>
  </si>
  <si>
    <t>Проектные работы КЛ 6кВ, ВОЛС-ВЛ</t>
  </si>
  <si>
    <t>7</t>
  </si>
  <si>
    <t>Итого по видам работ</t>
  </si>
  <si>
    <t>8</t>
  </si>
  <si>
    <t>9</t>
  </si>
  <si>
    <t>Всего по сводной смете:</t>
  </si>
  <si>
    <t>Сумма от п.7-8</t>
  </si>
  <si>
    <t>(подпись)</t>
  </si>
  <si>
    <t>(наименование отдела)</t>
  </si>
  <si>
    <t>СМЕТА №1</t>
  </si>
  <si>
    <t>на изыскательские работы</t>
  </si>
  <si>
    <t>(наименование вида инженерных изысканий)</t>
  </si>
  <si>
    <t>№ пп</t>
  </si>
  <si>
    <t>Наименование работ и затрат</t>
  </si>
  <si>
    <t>Обоснование стоимости</t>
  </si>
  <si>
    <t>Расчет стоимости</t>
  </si>
  <si>
    <t>I. Полевые работы</t>
  </si>
  <si>
    <t>1.1</t>
  </si>
  <si>
    <t xml:space="preserve">Топографическая съемка тахеометрическим методом и сочетанием тахеометрического метода с методом спутниковых геодезических определений высотой сечения рельефа через 0.5 м метров. Застроенная территория. в масштабе 1:500 в условиях выполнения полевых работ. Категория II. </t>
  </si>
  <si>
    <t>НЗ №812/пр. Работы по инженерно-геодезическим изысканиям (ИГДИ). 2024 г. Таблица 18. ПЗп. Затраты на полевые работы по выполнению топографической съемки тахеометрическим методом и сочетанием тахеометрического метода с методом спутниковых геодезических определений в масштабах 1:500-1:2000 с высотой сечения рельефа через 0.5 метров, п.11
A = 38848 руб.;
Количество = 1.14 (1 гектар);</t>
  </si>
  <si>
    <t>A * Количество
38.848 тыс. руб. * 1.14</t>
  </si>
  <si>
    <t>1.2</t>
  </si>
  <si>
    <t xml:space="preserve">Значения показателя дополнительных затрат на внешний транспорт (ПДЗвнеш), применяемые при использовании для ежедневного проезда работников и перевозки технических средств для полевых работ от места базирования до участка проведения полевых работ до начала рабочего времени и обратно на место базирования после завершения рабочего времени транспортных средств автомобильного транспорта при стоимости полевых работ, рассчитанной по показателям затрат НЗ (СПпз). Расстояние от места постоянной работы работников до участка проведения полевых работ до 200 километров включительно. </t>
  </si>
  <si>
    <t>НЗ №812/пр. Работы по инженерно-геодезическим изысканиям (ИГДИ). 2024 г. Таблица 3. ДЗвнеш. Дополнительные затраты на внешний транспорт, 
A = 13.2%;
X = 44.29 тыс. руб.;
Сп = 44.29 тыс. руб. в базовом уровне цен</t>
  </si>
  <si>
    <t>А / 100 * Х * Количество
13.2 / 100 * 44.29 * 1</t>
  </si>
  <si>
    <t>1.3</t>
  </si>
  <si>
    <t xml:space="preserve">Показатель дополнительных затрат на организацию полевых работ (ПД3орг) при стоимости полевых работ, рассчитанной по показателям затрат НЗ (СПпз). Расстояние от места постоянной работы работников до участка проведения полевых работ до 200 километров включительно. </t>
  </si>
  <si>
    <t>НЗ №812/пр. Работы по инженерно-геодезическим изысканиям (ИГДИ). 2024 г. Таблица 4. ДЗорг. Дополнительные затраты на организацию полевых работ, 
A = 30.7%;
X = 44.29 тыс. руб.;
Сп = 44.29 тыс. руб. в базовом уровне цен</t>
  </si>
  <si>
    <t>А / 100 * Х * Количество
30.7 / 100 * 44.29 * 1</t>
  </si>
  <si>
    <t>1.4</t>
  </si>
  <si>
    <t/>
  </si>
  <si>
    <t>Итого по разделу I</t>
  </si>
  <si>
    <t>1.5</t>
  </si>
  <si>
    <t>Всего по разделу I</t>
  </si>
  <si>
    <t>II. Лабораторные работы</t>
  </si>
  <si>
    <t>2.1</t>
  </si>
  <si>
    <t>Итого по разделу II</t>
  </si>
  <si>
    <t>2.2</t>
  </si>
  <si>
    <t>Всего по разделу II</t>
  </si>
  <si>
    <t>III. Камеральные работы</t>
  </si>
  <si>
    <t>3.1</t>
  </si>
  <si>
    <t xml:space="preserve">Создание инженерно-топографических планов в масштабе 1:500. Застроенная территория. для условий выполнения полевых работ категории I. Площадь участка до 10 гектаров включительно. </t>
  </si>
  <si>
    <t>НЗ №812/пр. Работы по инженерно-геодезическим изысканиям (ИГДИ). 2024 г. Таблица 47. ПЗ1к, ПЗ2к. Затраты на камеральные работы по созданию инженерно-топографических планов в масштабе 1:500, п.13
ПЗ1к = 1 218 руб.;
ПЗ2к = 1 883 руб.;
Sсъемки = 1.14 (1 гектар);
Количество = 1;</t>
  </si>
  <si>
    <t>(ПЗ1к + ПЗ2к * Sсъемки) * Количество
(1.218 тыс. руб. + 1.883 тыс. руб. * 1.14) * 1</t>
  </si>
  <si>
    <t>3.2</t>
  </si>
  <si>
    <t>Составление технического отчета по результатам выполнения работ по ИГДИ при общей стоимости полевых и камеральных работ, определенной по показателям затрат, приведенным в НЗ, тысяч рублей:</t>
  </si>
  <si>
    <t>НЗ №812/пр. Работы по инженерно-геодезическим изысканиям (ИГДИ). 2024 г. Таблица 81. ПЗк. Затраты на камеральные работы по составлению технического отчета по результатам выполнения работ по ИГДИ, п.1
A = 19 000 руб.;
X = 45.475 тыс. руб.;
Количество = 1;</t>
  </si>
  <si>
    <t>A * Количество
19 тыс. руб. * 1</t>
  </si>
  <si>
    <t>3.3</t>
  </si>
  <si>
    <t xml:space="preserve">Создание инженерно-топографических планов в масштабе 1:500. Незастроенная территория. для условий выполнения полевых работ категории II. Площадь участка до 10 гектаров включительно. </t>
  </si>
  <si>
    <t>НЗ №812/пр. Работы по инженерно-геодезическим изысканиям (ИГДИ). 2024 г. Таблица 47. ПЗ1к, ПЗ2к. Затраты на камеральные работы по созданию инженерно-топографических планов в масштабе 1:500, п.5
ПЗ1к = 1 392 руб.;
ПЗ2к = 2 331 руб.;
Sсъемки = 1 (1 гектар);
Количество = 1.14;</t>
  </si>
  <si>
    <t>(ПЗ1к + ПЗ2к * Sсъемки) * Количество
(1.392 тыс. руб. + 2.331 тыс. руб. * 1) * 1.14</t>
  </si>
  <si>
    <t>3.4</t>
  </si>
  <si>
    <t>НЗ №812/пр. Работы по инженерно-геодезическим изысканиям (ИГДИ). 2024 г. Таблица 81. ПЗк. Затраты на камеральные работы по составлению технического отчета по результатам выполнения работ по ИГДИ, п.1
A = 19 000 руб.;
X = 51.89 тыс. руб.;
Количество = 1;</t>
  </si>
  <si>
    <t>3.5</t>
  </si>
  <si>
    <t>Итого по разделу III</t>
  </si>
  <si>
    <t>3.6</t>
  </si>
  <si>
    <t>Всего по разделу III</t>
  </si>
  <si>
    <t>IV. Дополнительные и специальные работы</t>
  </si>
  <si>
    <t>4.1</t>
  </si>
  <si>
    <t>Составление программы инженерно-геодезических изысканий при общей стоимости полевых и камеральных работ, определенной по показателям затрат, приведенным в НЗ, тысяч рублей:</t>
  </si>
  <si>
    <t>НЗ №812/пр. Работы по инженерно-геодезическим изысканиям (ИГДИ). 2024 г. Таблица 80. ПЗк. Затраты на камеральные работы по составлению программы инженерно-геодезических изысканий, п.1
A = 6 205 руб.;
X = 64.475 тыс. руб.;
Количество = 1;</t>
  </si>
  <si>
    <t>A * Количество
6.205 тыс. руб. * 1</t>
  </si>
  <si>
    <t>Итого по разделу IV</t>
  </si>
  <si>
    <t>Всего по разделу IV</t>
  </si>
  <si>
    <t>Итого по смете:</t>
  </si>
  <si>
    <t>Индекс на II квартал 2026 года на изыскательские работы к уровню цен на 01.01.2024</t>
  </si>
  <si>
    <t>Письмо Минстроя России от 08.04.2026 №20212-ИФ/09</t>
  </si>
  <si>
    <t>Коэф-т 1.25 от п.5</t>
  </si>
  <si>
    <t>Всего по смете:</t>
  </si>
  <si>
    <t>Составил</t>
  </si>
  <si>
    <t>должность, подпись (инициалы, фамилия)</t>
  </si>
  <si>
    <t>СМЕТА №2</t>
  </si>
  <si>
    <t>Сметная стоимость в уровне цен, сложившемся на день составления сметной документации, руб.</t>
  </si>
  <si>
    <t xml:space="preserve">Привязка инженерно-геологических выработок, геофизических гидрогеологических точек наблюдения: при расстоянии между точками до 50 (пятидесяти) метров включительно, в условиях выполнения полевых работ. Категория I. </t>
  </si>
  <si>
    <t>НЗ №812/пр. Работы по инженерно-геодезическим изысканиям (ИГДИ). 2024 г. Таблица 55. ПЗп. Затраты на полевые работы по привязке инженерно-геологических выработок, геофизических и гидрогеологических точек наблюдения, п.1
A = 2967 руб.;
Количество = 6 (1 точка);</t>
  </si>
  <si>
    <t>A * Количество * Ктек
2967 руб. * 6 * 1</t>
  </si>
  <si>
    <t>Коэффициенты</t>
  </si>
  <si>
    <t>Коэфф. перехода в текущие цены</t>
  </si>
  <si>
    <t>Kтек = 1</t>
  </si>
  <si>
    <t xml:space="preserve">Проходка инженерно-геологических скважин ударно-канатным способом бурения: диаметром от 127 (ста двадцати семи) до 168 (ста шестидесяти восьми) миллиметров включительно при глубине скважины до 20 (двадцати) метров включительно. в грунтах категории II. </t>
  </si>
  <si>
    <t>№281/пр. Работы по инженерно-геологическим изысканиям (ИГИ). 2025 г. Таблица 18. ПЗп. Затраты на полевые работы по проходке инженерно-геологических скважин ударно-канатным способом бурения, п.14
A = 3862 руб.;
Количество = 90 (погонный метр);</t>
  </si>
  <si>
    <t>A * Количество * Ктек
3862 руб. * 90 * 1</t>
  </si>
  <si>
    <t xml:space="preserve">Показатель дополнительных затрат на организацию полевых работ (ДЗорг) при стоимости полевых работ, рассчитанной по показателям затрат НЗ (СПпз). Расстояние от места постоянной работы работников до участка проведения полевых работ до 100 километров включительно. </t>
  </si>
  <si>
    <t>№281/пр. Работы по инженерно-геологическим изысканиям (ИГИ). 2025 г. Таблица 8. ДЗорг. Дополнительные затраты на организацию полевых работ, 
Aпред = 24.7%;
Aслед = 7.4%;
Xпред = 300 тыс. руб.;
Xслед = 1000 тыс. руб.;
X = 365.382 тыс. руб.;
СП = 365382 руб. в базовом уровне цен без учета K2</t>
  </si>
  <si>
    <t>X * ((Aпред + (Aслед - Aпред) / (Xслед - Xпред) * (X – Xпред)) / 100) * Количество * Ктек
365.382 * ((24.7 + (7.4 - 24.7) / (1000 - 300) * (365.382 - 300)) / 100) * 1 * 1</t>
  </si>
  <si>
    <t>Лабораторные определения физических свойств песчаных, крупнообломочных, глинистых, органических, органо-минеральных, скальных и полускальных грунтов. Определение влажности грунта методом высушивания до постоянной массы</t>
  </si>
  <si>
    <t>№281/пр. Работы по инженерно-геологическим изысканиям (ИГИ). 2025 г. Таблица 57. ПЗл. Затраты на лабораторные определения физических свойств грунтов, п.1
A = 229 руб.;
Количество = 10 (одно определение);</t>
  </si>
  <si>
    <t>A * Количество * Ктек
229 руб. * 10 * 1</t>
  </si>
  <si>
    <t>Лабораторные определения физических свойств песчаных, крупнообломочных, глинистых, органических, органо-минеральных, скальных и полускальных грунтов. Определение гранулометрического (зернового) состава грунта ситовым методом с промывкой водой с разделением грунта по фракциям размерами: свыше 0,5 миллиметра, от 0,25 до 0,5 миллиметра, от 0,1 до 0,25 миллиметра и до 0,1 миллиметра</t>
  </si>
  <si>
    <t>№281/пр. Работы по инженерно-геологическим изысканиям (ИГИ). 2025 г. Таблица 57. ПЗл. Затраты на лабораторные определения физических свойств грунтов, п.10
A = 917 руб.;
Количество = 8 (одно определение);</t>
  </si>
  <si>
    <t>A * Количество * Ктек
917 руб. * 8 * 1</t>
  </si>
  <si>
    <t>2.3</t>
  </si>
  <si>
    <t>Лабораторные определения физических свойств песчаных и крупнообломочных грунтов. Определение плотности песчаного грунта методом режущего кольца</t>
  </si>
  <si>
    <t>№281/пр. Работы по инженерно-геологическим изысканиям (ИГИ). 2025 г. Таблица 57. ПЗл. Затраты на лабораторные определения физических свойств грунтов, п.26
A = 512 руб.;
Количество = 10 (одно определение);</t>
  </si>
  <si>
    <t>A * Количество * Ктек
512 руб. * 10 * 1</t>
  </si>
  <si>
    <t>2.4</t>
  </si>
  <si>
    <t>№281/пр. Работы по инженерно-геологическим изысканиям (ИГИ). 2025 г. Таблица 57. ПЗл. Затраты на лабораторные определения физических свойств грунтов, п.1
A = 229 руб.;
Количество = 20 (одно определение);</t>
  </si>
  <si>
    <t>A * Количество * Ктек
229 руб. * 20 * 1</t>
  </si>
  <si>
    <t>2.5</t>
  </si>
  <si>
    <t>Лабораторные определения физических свойств глинистых грунтов. Определение верхнего предела пластичности глинистого грунта — влажности грунта на границе текучести и нижнего предела пластичности глинистого грунта - влажности грунта на границе раскатывания при проведении испытания с использованием образца грунта природной влажности</t>
  </si>
  <si>
    <t>№281/пр. Работы по инженерно-геологическим изысканиям (ИГИ). 2025 г. Таблица 57. ПЗл. Затраты на лабораторные определения физических свойств грунтов, п.18
A = 1676 руб.;
Количество = 18 (одно определение);</t>
  </si>
  <si>
    <t>A * Количество * Ктек
1676 руб. * 18 * 1</t>
  </si>
  <si>
    <t>2.6</t>
  </si>
  <si>
    <t>Лабораторные определения физических свойств глинистых грунтов. Определение плотности глинистого грунта методом режущего кольца</t>
  </si>
  <si>
    <t>№281/пр. Работы по инженерно-геологическим изысканиям (ИГИ). 2025 г. Таблица 57. ПЗл. Затраты на лабораторные определения физических свойств грунтов, п.17
A = 529 руб.;
Количество = 20 (одно определение);</t>
  </si>
  <si>
    <t>A * Количество * Ктек
529 руб. * 20 * 1</t>
  </si>
  <si>
    <t>2.7</t>
  </si>
  <si>
    <t>Определение характеристик прочности песчаного грунта консолидированно-дренированными испытаниями методом одноплоскостного среза при проведении не менее трех испытаний идентичных образцов при различных значениях нормального напряжения</t>
  </si>
  <si>
    <t>№281/пр. Работы по инженерно-геологическим изысканиям (ИГИ). 2025 г. Таблица 59. ПЗл. Затраты на лабораторные определения характеристик прочности грунтов методом одноплоскостного среза, п.1
A = 8520 руб.;
Количество = 14 (одно определение);</t>
  </si>
  <si>
    <t>A * Количество * Ктек
8520 руб. * 14 * 1</t>
  </si>
  <si>
    <t>2.8</t>
  </si>
  <si>
    <t>Определение характеристик деформируемости методом трехосного сжатия суглинка с числом пластичности свыше 12 (двенадцати) процентов включительно и показателем текучести до 0,5 включительно. Консолидированно-дренированным испытанием (КД)</t>
  </si>
  <si>
    <t>№281/пр. Работы по инженерно-геологическим изысканиям (ИГИ). 2025 г. Таблица 60. ПЗл. Затраты на лабораторные определения характеристик прочности грунтов методом трехосного сжатия, п.26
A = 5979 руб.;
Количество = 12 (одно определение);</t>
  </si>
  <si>
    <t>A * Количество * Ктек
5979 руб. * 12 * 1</t>
  </si>
  <si>
    <t>2.9</t>
  </si>
  <si>
    <t>Определение физических свойств, химического состава и агрессивности подземных вод</t>
  </si>
  <si>
    <t>№281/пр. Работы по инженерно-геологическим изысканиям (ИГИ). 2025 г. Таблица 63. ПЗл. Затраты на работы на лабораторные определения сокращенного перечня физических свойств, химического состава и агрессивности водной вытяжки из грунтов, п.1
A = 11731 руб.;
Количество = 6 (одно определение);</t>
  </si>
  <si>
    <t>A * Количество * Ктек
11731 руб. * 6 * 1</t>
  </si>
  <si>
    <t>Камеральная обработка результатов лабораторных исследований физических свойств, химического состава и агрессивности водной вытяжки из грунтов и удельного электрического сопротивления и средней плотности катодного тока грунта</t>
  </si>
  <si>
    <t>№281/пр. Работы по инженерно-геологическим изысканиям (ИГИ). 2025 г. Таблица 64. ПЗк. Затраты на работы по камеральной обработке результатов лабораторных определений физических свойств и химического состава подземных и поверхностных вод и вытяжек из грунтов, коррозионной агрессивности грунтов, п.2
A = 352 руб.;
Количество = 6 (один образец);</t>
  </si>
  <si>
    <t>A * Количество * Ктек
352 руб. * 6 * 1</t>
  </si>
  <si>
    <t xml:space="preserve">Камеральная обработка результатов лабораторных определений физических свойств грунтов: песчаных. </t>
  </si>
  <si>
    <t>№281/пр. Работы по инженерно-геологическим изысканиям (ИГИ). 2025 г. Таблица 62. ПЗк. Затраты на работы по камеральной обработке результатов лабораторных определений свойств грунтов, п.1
A = 320 руб.;
Количество = 10 (один образец);</t>
  </si>
  <si>
    <t>A * Количество * Ктек
320 руб. * 10 * 1</t>
  </si>
  <si>
    <t xml:space="preserve">Камеральная обработка результатов лабораторных определений физических свойств грунтов: глинистых. </t>
  </si>
  <si>
    <t>№281/пр. Работы по инженерно-геологическим изысканиям (ИГИ). 2025 г. Таблица 62. ПЗк. Затраты на работы по камеральной обработке результатов лабораторных определений свойств грунтов, п.2
A = 381 руб.;
Количество = 18 (один образец);</t>
  </si>
  <si>
    <t>A * Количество * Ктек
381 руб. * 18 * 1</t>
  </si>
  <si>
    <t xml:space="preserve">Камеральная обработка результатов лабораторных исследований механических свойств грунтов (методом компрессионного сжатия, методом одноплоскостного среза, методом трехосного сжатия): глинистых. </t>
  </si>
  <si>
    <t>№281/пр. Работы по инженерно-геологическим изысканиям (ИГИ). 2025 г. Таблица 62. ПЗк. Затраты на работы по камеральной обработке результатов лабораторных определений свойств грунтов, п.6
A = 730 руб.;
Количество = 20 (один образец);</t>
  </si>
  <si>
    <t>A * Количество * Ктек
730 руб. * 20 * 1</t>
  </si>
  <si>
    <t>Составление технического отчета по результатам выполнения работ по ИГИ при общей стоимости камеральных работ в уровне цен по состоянию на 1 января 2024 г. (без учета дополнительных затрат), определенной по показателям затрат, приведенным в НЗ, в условиях инженерно-геологических условий категории сложности I, тысяч рублей:</t>
  </si>
  <si>
    <t>№281/пр. Работы по инженерно-геологическим изысканиям (ИГИ). 2025 г. Таблица 65. ПЗк. Затраты на камеральные работы по составлению технического отчета по результатам инженерно-геологических изысканий, п.1
Aпред = 111 747 руб.; Aслед = 165 377 руб.;
Xпред = 20.0 тыс. руб.; Xслед = 50.0 тыс. руб.; 
X = 38.64 тыс. руб.;
Количество = 1;</t>
  </si>
  <si>
    <t>(Апред + (Аслед - Апред) / (Xслед - Xпред) * (X - Xпред)) * Количество * Ктек
(111 747 руб. + (165 377 руб. - 111 747 руб.) / (50 000 руб. - 20 000 руб.) * (38 640 руб. - 20 000 руб.)) * 1 * 1</t>
  </si>
  <si>
    <t>3.7</t>
  </si>
  <si>
    <t xml:space="preserve">Составление программы инженерно-геологических изысканий для II категории сложности инженерно-геологических условий: при площади земельного участка (участка для строительства) от 1 (одного) до 10 (десяти) гектаров включительно. Максимальная глубина исследования от 10 до 15 метров включительно. </t>
  </si>
  <si>
    <t>№281/пр. Работы по инженерно-геологическим изысканиям (ИГИ). 2025 г. Таблица 66. ПЗдоп. Затраты на работы по составлению программы инженерно-геологических изысканий, п.10
A = 143559 руб.;
Количество = 1 (одна программа);</t>
  </si>
  <si>
    <t>A * Количество * Ктек
143559 руб. * 1 * 1</t>
  </si>
  <si>
    <t>СМЕТА №3</t>
  </si>
  <si>
    <t xml:space="preserve">Рекогносцировочное почвенное обследование при проходимости: хорошей. Категория сложности II. </t>
  </si>
  <si>
    <t>Инженерно-геологические и инженерно-экологические изыскания для строительства. 1999 г. Глава 1. Инженерно-геологическое, инженерно-гидрогеологическое и инженерно-экологическое рекогносцировочное (маршрутное) обследование Таблица 9. Рекогносцировочное обследование п.4
A = 3.24 руб.;
Количество = 0.4 (1 км маршрута);</t>
  </si>
  <si>
    <t>A * Количество
3.24 руб. * 0.4</t>
  </si>
  <si>
    <t xml:space="preserve">Отбор точечных проб для анализа на загрязненность по химическим показателям: почво-грунтов (методами конверта, по диагонали и т.п.) </t>
  </si>
  <si>
    <t>Инженерно-геологические и инженерно-экологические изыскания для строительства. 1999 г. Глава 16. Отбор проб Таблица 60. Цены на отбор проб воды, льда, снега, донных отложений, почво-грунтов, воздуха почвенного (грунтового) и приземной атмосферы для анализов на загрязненность по химическим и бактериологическим (микробиологическим и гидробиологическим) показателям. п.7
A = 6.9 руб.;
Количество = 1 (1 проба);</t>
  </si>
  <si>
    <t>A * Количество
6.9 руб. * 1</t>
  </si>
  <si>
    <t xml:space="preserve">Отбор проб для бактериологического анализа: почво-грунтов с одной пробной площадки. </t>
  </si>
  <si>
    <t>Инженерно-геологические и инженерно-экологические изыскания для строительства. 1999 г. Глава 16. Отбор проб Таблица 60. Цены на отбор проб воды, льда, снега, донных отложений, почво-грунтов, воздуха почвенного (грунтового) и приземной атмосферы для анализов на загрязненность по химическим и бактериологическим (микробиологическим и гидробиологическим) показателям. п.10
A = 37.7 руб.;
Количество = 2 (1 проба);</t>
  </si>
  <si>
    <t>A * Количество
37.7 руб. * 2</t>
  </si>
  <si>
    <t>A * Количество * K1
6.9 руб. * 1 * 1.2</t>
  </si>
  <si>
    <t xml:space="preserve">Стоимость отбора пробы на радиоактивное загрязнение или газохимические исследования определяется с коэффициентом </t>
  </si>
  <si>
    <t>K1 = 1.2
Часть V, Глава 16, примечание 2 к таблице 60 (Ценообразующий)</t>
  </si>
  <si>
    <t xml:space="preserve">Радиационное обследование участка площадью, га: св. 0,5 до 1,0. </t>
  </si>
  <si>
    <t>Инженерно-геологические и инженерно-экологические. 1999 г. Глава 24. Радиометрические работы Таблица 92. Цены на радиационное обследование участка. п.2
A = 60 руб.;
Количество = 0.06 (0,1 га);</t>
  </si>
  <si>
    <t>A * Количество
60 руб. * 0.06</t>
  </si>
  <si>
    <t>1.7</t>
  </si>
  <si>
    <t>Расходы по внешнему транспорту. Расстояние проезда и перевозки в одном направлении св. 1000 до 2000 км. Продолжительность экспедиции до 1 мес.</t>
  </si>
  <si>
    <t>СБЦ на инженерно-геологические и инженерно-экологические изыскания для строительства (ОУ п. 10 Таблица 5)</t>
  </si>
  <si>
    <t>36.4% от п.1.6</t>
  </si>
  <si>
    <t>1.8</t>
  </si>
  <si>
    <t>Расходы по организации и ликвидации работ. Виды работ: инженерно-геологические, инженерно-экологические, гидрогеологические и инженерно-геодезические (кроме геофизических)</t>
  </si>
  <si>
    <t>СБЦ на инженерно-геологические и инженерно-экологические изыскания для строительства (Проект)(ОУ п.13 Таблица 6)</t>
  </si>
  <si>
    <t>6% от п.1.6</t>
  </si>
  <si>
    <t>Комплексные исследования химического состава грунтов (почв). Валовой анализ грунтов и почв, анализ нерастворимого остатка. Гидроскопическая влажность, двуокись кремния, сумма полуторных окислов, общее железо, алюминий, закисное железо, титан. марганец, кальций и магний, валовая сера, потери при прокаливании, натрий и калий методом пламенной фотометрии, углекислота карбонатов</t>
  </si>
  <si>
    <t>Инженерно-геологические и инженерно-экологические изыскания для строительства. 1999 г. Глава 18. Единичные определения и комплексные исследования химического состава грунтов (почв) и воды Таблица 71. Цены на комплексные исследования химического состава грунтов (почв). п.7
A = 162.1 руб.;
Количество = 5 (1 образец);</t>
  </si>
  <si>
    <t>A * Количество
162.1 руб. * 5</t>
  </si>
  <si>
    <t>Комплексные исследования химического состава. Полный анализ воды. Физические свойства (запах, цветность, взвешенные вещества, вкус), водородный показатель -рН, углекислота свободная, гидрокарбонаты и карбонаты, хлориды, сульфаты, нитриты, нитраты, аммоний, гидрокарбонат и карбонат-ионы, кальций, магний, калий, натрий, железо закисное, железо окисное, кремниевая кислота, сухой остаток, окисляемость, виды жестокости (расчетом)</t>
  </si>
  <si>
    <t>Инженерно-геологические и инженерно-экологические изыскания для строительства. 1999 г. Глава 18. Единичные определения и комплексные исследования химического состава грунтов (почв) и воды Таблица 73. Цены на комплексные исследования химического состава воды. п.1
A = 96.2 руб.;
Количество = 1 (1 проба);</t>
  </si>
  <si>
    <t>A * Количество
96.2 руб. * 1</t>
  </si>
  <si>
    <t>Инженерно-геологические и инженерно-экологические изыскания для строительства. 1999 г. Глава 1. Инженерно-геологическое, инженерно-гидрогеологическое и инженерно-экологическое рекогносцировочное (маршрутное) обследование Таблица 9. Рекогносцировочное обследование п.4
A = 1.69 руб.;
Количество = 0.4 (1 км маршрута);</t>
  </si>
  <si>
    <t>A * Количество
1.69 руб. * 0.4</t>
  </si>
  <si>
    <t xml:space="preserve">Составление технического отчета (заключения) о результатах выполненных работ. Стоимость камеральных работ до 5 тыс.руб. Категория сложности инженерно-геологических условий II. </t>
  </si>
  <si>
    <t>Справочник базовых цен на инженерно-геологические и инженерно-экологические изыскания для строительства. 1999 г. Таблица 87. Составление технического отчета (заключения) о результатах выполненных работ, п.1</t>
  </si>
  <si>
    <t>21% от п.3.1
1 руб. * 21 / 100</t>
  </si>
  <si>
    <t xml:space="preserve">Цены на составление программы производства работ. Средняя глубина исследования свыше 5 до 10 м. Исследуемая площадь до 1 км2. </t>
  </si>
  <si>
    <t>Инженерно-геологические и инженерно-экологические. 1999 г. Глава 20. Предполевые камеральные работы Таблица 81. Цены на составление программы производства работ. п.2
A = 500 руб.;
Количество = 1 (1 программа);</t>
  </si>
  <si>
    <t>A * Количество
500 руб. * 1</t>
  </si>
  <si>
    <t>Инженерно-геологические и инженерно-экологические. 1999 г. Глава 24. Радиометрические работы Таблица 92. Цены на радиационное обследование участка. п.2
A = 17.8 руб.;
Количество = 0.06 (0,1 га);</t>
  </si>
  <si>
    <t>A * Количество
17.8 руб. * 0.06</t>
  </si>
  <si>
    <t xml:space="preserve">Камеральная обработка комплексных исследований и отдельных определений:. химического состава грунтов и почв. </t>
  </si>
  <si>
    <t>Справочник базовых цен на инженерно-геологические и инженерно-экологические изыскания для строительства. 1999 г. Таблица 86. Цены на камеральную обработку данных лабораторных исследований, п.4</t>
  </si>
  <si>
    <t>12% от п.2.1
811 руб. * 12 / 100</t>
  </si>
  <si>
    <t xml:space="preserve">Камеральная обработка химических и бактериологических анализов на загрязненность почво-грунтов, воды, льда, снега и донных отложений при инженерно-экологических изысканиях. </t>
  </si>
  <si>
    <t xml:space="preserve">Справочник базовых цен на инженерно-геологические и инженерно-экологические изыскания для строительства. 1999 г. Таблица 86. Цены на камеральную обработку данных лабораторных исследований, п.6, </t>
  </si>
  <si>
    <t>20% от п.2.1-2.2
907 руб. * 20 / 100</t>
  </si>
  <si>
    <t xml:space="preserve">Цены на составление программы производства работ. Средняя глубина исследования до 5 м. Исследуемая площадь до 1 км2. </t>
  </si>
  <si>
    <t>Инженерно-геологические и инженерно-экологические. 1999 г. Глава 20. Предполевые камеральные работы Таблица 81. Цены на составление программы производства работ. п.1
A = 200 руб.;
Количество = 1 (1 программа);</t>
  </si>
  <si>
    <t>A * Количество
200 руб. * 1</t>
  </si>
  <si>
    <t>3.8</t>
  </si>
  <si>
    <t>Измерение потока радона на участке (камеральные работы)</t>
  </si>
  <si>
    <t>Инженерно-геологические и инженерно-экологические изыскания для строительства. 1999 г. Глава 24. Радиометрические работы. Таблица 91. Цены на определение плотности потока радона. п.2
A = 161 руб.;
Количество = 0.5 (20 точек);</t>
  </si>
  <si>
    <t>A * Количество
161 руб. * 0.5</t>
  </si>
  <si>
    <t>3.10</t>
  </si>
  <si>
    <t>Составление технического отчета (заключения) о результатах выполненных работ(табл. 87)</t>
  </si>
  <si>
    <t>Коэф-т 0.21 от п.3.9</t>
  </si>
  <si>
    <t>Индекс на II квартал 2026 года на изыскательские работы к уровню цен на 01.01.1991</t>
  </si>
  <si>
    <t>Коэф-т 80.58 от п.5</t>
  </si>
  <si>
    <t>Смета №4</t>
  </si>
  <si>
    <t>на проектные (изыскательские) работы</t>
  </si>
  <si>
    <t>Наименование предприятия, здания, сооружения, стадии проектирования, этапа, вида проектных или изыскательских работ</t>
  </si>
  <si>
    <t>Наименование объекта проектирования или вида проектных работ</t>
  </si>
  <si>
    <t>Наименование, номера глав, таблиц, параграфов и пунктов МНЗ на проектные работы</t>
  </si>
  <si>
    <t>Стоимость, руб.</t>
  </si>
  <si>
    <t>Ячейка одного комплекта элегазового выключателя напряжением 110 кВ (ОРУ)</t>
  </si>
  <si>
    <t xml:space="preserve">Укрупненные стоимостные показатели линий электропередачи и подстанций напряжением 35-750 КВ. 2013 г. Таблица 13. Стоимость ячейки одного комплекта выключателя в РУ 35-750 кВ, п.3
Цена = 7703 тыс. руб.;
Ед. измерения = объект
Количество ед. измерения в объекте = 1;
Количество объектов = 1;
</t>
  </si>
  <si>
    <t>Полный комплекс работ
(100%):
Цена * Кол-во ед.измер * Кол-во объектов * Ктек * Кст * K1
7 703 000 руб. * 1 * 1 * 1 * 1 * 0.94</t>
  </si>
  <si>
    <t>7 240 820 (не учитывается в расчетах)</t>
  </si>
  <si>
    <t>Стадия: Проектная документация</t>
  </si>
  <si>
    <t>Кст = 1</t>
  </si>
  <si>
    <t xml:space="preserve">Коэффициент, учитывающий регионально-климатические условия осуществления строительства объектов энергетического строительства для Южного федерального округа </t>
  </si>
  <si>
    <t>K1 = 0.94
Прил. 2, табл, п.3 (Ценообразующий)</t>
  </si>
  <si>
    <t>Ячейка одного комплекта вакуумного выключателя напряжением 10 кВ (минимальная)</t>
  </si>
  <si>
    <t xml:space="preserve">Укрупненные стоимостные показатели линий электропередачи и подстанций напряжением 35-750 КВ. 2013 г. Таблица 13. Стоимость ячейки одного комплекта выключателя в РУ 35-750 кВ, п.1
Цена = 88 тыс. руб.;
Ед. измерения = объект
Количество ед. измерения в объекте = 1;
Количество объектов = 5;
</t>
  </si>
  <si>
    <t>Полный комплекс работ
(100%):
Цена * Кол-во ед.измер * Кол-во объектов * Ктек * Кст * K1
88 000 руб. * 1 * 5 * 1 * 1 * 0.94</t>
  </si>
  <si>
    <t>413 600 (не учитывается в расчетах)</t>
  </si>
  <si>
    <t>Трансформатор 110/НН мощностью 25 МВА</t>
  </si>
  <si>
    <t xml:space="preserve">Укрупненные стоимостные показатели линий электропередачи и подстанций напряжением 35-750 КВ. 2013 г. Таблица 14. Стоимость ячейки трансформаторов 35-220 кВ, п.3
Цена = 6900 тыс. руб.;
Ед. измерения = объект
Количество ед. измерения в объекте = 1;
Количество объектов = 1;
</t>
  </si>
  <si>
    <t>Полный комплекс работ
(100%):
Цена * Кол-во ед.измер * Кол-во объектов * Ктек * Кст * K1
6 900 000 руб. * 1 * 1 * 1 * 1 * 0.94</t>
  </si>
  <si>
    <t>6 486 000 (не учитывается в расчетах)</t>
  </si>
  <si>
    <t>Схема РУ на стороне ВН: четырехугольник - 220-7, напряжением 220/110/10 кВ. Открытая ПС</t>
  </si>
  <si>
    <t xml:space="preserve">Укрупненные стоимостные показатели линий электропередачи и подстанций напряжением 35-750 КВ. 2013 г. Таблица 25. Постоянная часть затрат по ПС 35-750 кВ, п.1
Цена = 25333 тыс. руб.;
Ед. измерения = объект
Количество ед. измерения в объекте = 1;
Количество объектов = 0.5;
</t>
  </si>
  <si>
    <t>Полный комплекс работ
(100%):
Цена * Кол-во ед.измер * Кол-во объектов * Ктек * Кст * K1
25 333 000 руб. * 1 * 0.5 * 1 * 1 * 0.94</t>
  </si>
  <si>
    <t>11 906 510 (не учитывается в расчетах)</t>
  </si>
  <si>
    <t xml:space="preserve">Открытые электрические подстанции напряжением 35–1150 кВ </t>
  </si>
  <si>
    <t xml:space="preserve">Объекты энергетики. Электросетевые объекты. 2016 г. Таблица 1. Открытые и закрытые электрические подстанции напряжением 35-1150 кВ
α = 6.08819398;
αпред=6.3; αслед=5.82; 
Спред=30 (млн.руб.); Сслед=36 (млн.руб.); 
Стоим строит.
С = 26.047 (млн.руб.);
С 2001 = 26.047/1*1.25=32.55875 (млн.руб.);
К 2000-2001 = 1.25 (Методические указания по применению СБЦ на проектные работы в строительстве 2009 г.);
</t>
  </si>
  <si>
    <t>Полный комплекс работ
(100%):
C 2001 * (αпред - ((αпред - αслед) / (Сслед - Спред)) * (С 2001 - Спред)) / 100 * Ктек * Кст * K1
32.55875 млн.руб. * (6.3 - ((6.3 - 5.82) / (35.9 - 29.92)) * (32.55875 - 29.92)) / 100 * 7.1 * 1 * 1 * 0.7</t>
  </si>
  <si>
    <t>Стадия: Проектная и рабочая документация</t>
  </si>
  <si>
    <t xml:space="preserve">инд.2кв.2026г.к 01.01.2001 на пр.раб. </t>
  </si>
  <si>
    <t>Ктек = 7.1
Письмо Минстроя России от 08.04.2026 №20212-ИФ/09</t>
  </si>
  <si>
    <t xml:space="preserve">В случае, когда объем строительно-монтажных работ по объекту строительства составляет от 30% до 20% от общей стоимости строительства, к ценам на проектные работы применяется коэффициент </t>
  </si>
  <si>
    <t>K1 = 0.7
Глава 2, п.2.4 (Ценообразующий)</t>
  </si>
  <si>
    <t xml:space="preserve">Разделы документации </t>
  </si>
  <si>
    <t>1. Пол ком раб</t>
  </si>
  <si>
    <t>100%</t>
  </si>
  <si>
    <t xml:space="preserve">Сбор исходных данных по объекту (подстанции или линии электропередачи), поручаемый Заказчиком проектной организации. Напряжение ПС 35-110 кВ. </t>
  </si>
  <si>
    <t>Объекты энергетики. Электросетевые объекты. 2016 г. Таблица 16. Высокочастотные каналы по линиям электропередачи, п.10.1
A = 58.95 тыс.руб; 
Количество = 1 (1 объект)</t>
  </si>
  <si>
    <t>Полный комплекс работ
(100%):
A * Количество * Ктек * Кст
58 950 руб. * 1 * 7.1 * 1</t>
  </si>
  <si>
    <t>Расчёт пожарных рисков для площадочных или линейных объектов (один объект)</t>
  </si>
  <si>
    <t>Объекты энергетики. Электросетевые объекты. 2016 г. Таблица 18. Раздел «Промышленная безопасность» (стадия «Проектная документация»), п.8
A = 20 тыс. руб.
Количество = 1 (1 комплект документов)</t>
  </si>
  <si>
    <t>Полный комплекс работ
(100%):
A * Количество * Ктек * Кст
20 000 руб. * 1 * 7.1 * 1</t>
  </si>
  <si>
    <t xml:space="preserve">Сеть, содержащая от 2 до 128 узлов. Наивысшее напряжение 110-220 кВ. </t>
  </si>
  <si>
    <t>Объекты энергетики. Электросетевые объекты. 2016 г. Таблица 12. Противоаварийная автоматика, п.1
A = 55.76 тыс.руб; B = 8.59 тыс.руб;
Xмин = 2;
Xзад = 1 (1 узел);
Количество = 1</t>
  </si>
  <si>
    <t>Полный комплекс работ
(100%):
(A + B * (0.4 * Xмин + 0.6 * Xзад)) * Количество * Ктек * Кст
(55 760 руб. + 8 590 руб. * (0.4 * 2 + 0.6 * 1)) * 1 * 7.1 * 1</t>
  </si>
  <si>
    <t xml:space="preserve">Расчет восстанавливающихся напряжений при отключении коротких замыканий для характерной точки сети 110 кВ и выше. Расчет коммутационной аппаратуры и релейного оборудования. До 8 расчетов для одной точки. </t>
  </si>
  <si>
    <t>Объекты энергетики. Электросетевые объекты. 2016 г. Таблица 11. Расчеты токов короткого замыкания в сетях напряжением 35-1150 кВ, п.15
A = 1.94 тыс.руб; 
Количество = 26 (точка)</t>
  </si>
  <si>
    <t>Полный комплекс работ
(100%):
A * Количество * Ктек * Кст
1 940 руб. * 26 * 7.1 * 1</t>
  </si>
  <si>
    <t>Двухстадийная разработка проектной документации на АСУТП</t>
  </si>
  <si>
    <t>Справочник базовых цен на проектные работы в строительстве. Автоматизированные системы управления технологическими процессами (АСУТП). 2016 г. Таблица 2. Трудоемкость разработки документации на АСУТП п.1
Количество = 1;</t>
  </si>
  <si>
    <t>Полный комплекс работ
(100%):
Ц = Цио + Цто
15 027 + 35 965 = 50 992 руб.</t>
  </si>
  <si>
    <t>Факторы</t>
  </si>
  <si>
    <t>Характер протекания управляемого технологического процеса во времени (Ф2):</t>
  </si>
  <si>
    <t>Отсутствует</t>
  </si>
  <si>
    <t>Количество технологических операций, контролируемых или управляемых АСУТП (Ф5):</t>
  </si>
  <si>
    <t>1 (1)(Таблица 2 п.2.1)</t>
  </si>
  <si>
    <t>Степень развитости информационных функций АСУТП (Ф6):</t>
  </si>
  <si>
    <t>Степень развитости управляющих функций АСУТП (Ф7):</t>
  </si>
  <si>
    <t>Режим выполнения управляющих функций АСУТП (Ф8):</t>
  </si>
  <si>
    <t>Количество переменных, измеряемых, контролируемых и регистрируемых АСУТП (Ф9):</t>
  </si>
  <si>
    <t>1 (1)(Таблица 2 п.6.1)</t>
  </si>
  <si>
    <t>Количество управляющих воздействий, вырабатываемых АСУТП (Ф10):</t>
  </si>
  <si>
    <t>1 (1)(Таблица 2 п.7.1)</t>
  </si>
  <si>
    <t xml:space="preserve">Проектирование АСУТП заключается в привязке документации на ранее разработанную АСУТП (типовую, либо импортируемую, либо индивидуально разработанную) к условиям конкретного ТОУ (К11) (1. Применяется для частей документации на АСУТП, требующих привязки. 2. Величина коэффициента определяется в зависимости от объема работ по привязке документации на АСУТП (для документации ТО – не менее 0.3). 3. Цены частей документации на АСУТП, не требующих привязки, определяются затратами на ее размножение) (минимальный) </t>
  </si>
  <si>
    <t>K1 = 0.05
Таблица 3, п.11 (Ценообразующий)</t>
  </si>
  <si>
    <t xml:space="preserve">Части и разделы документации </t>
  </si>
  <si>
    <t>ИО (Информационное обеспечение)</t>
  </si>
  <si>
    <t>Sио = 14.11 (тыс. руб.);
SumБио = 3;
Кст ио = 1</t>
  </si>
  <si>
    <t>Sио * SumБио * Количество * Ктек * Кст ио * K1
= 14 110 руб. * 3 * 1 * 7.1 * 1 * 0.05 = 15 027 руб.
Процент РПД:
(100%) = 100%</t>
  </si>
  <si>
    <t>ТО (Техническое обеспечение)</t>
  </si>
  <si>
    <t>Sто = 33.77 (тыс. руб.);
SumБто = 3;
Кст то = 1</t>
  </si>
  <si>
    <t>Sто * SumБто * Количество * Ктек * Кст то * K1
= 33 770 руб. * 3 * 1 * 7.1 * 1 * 0.05 = 35 965 руб.
Процент РПД:
(100%) = 100%</t>
  </si>
  <si>
    <t xml:space="preserve">Локальная вычислительная сеть. Число узлов от 2 до 10. </t>
  </si>
  <si>
    <t>Объекты связи. 2010 г. Раздел 4. Таблица 24. Локальные вычислительные сети, структурированные кабельные сети, п.2
A = 2.45 тыс.руб; B = 3.68 тыс.руб;
Xзад = 10 (1 узел);
Количество = 1</t>
  </si>
  <si>
    <t>Полный комплекс работ
(100%):
(A + B * Xзад) * Количество * Ктек * Кст
(2 450 руб. + 3 680 руб. * 10) * 1 * 7.1 * 1</t>
  </si>
  <si>
    <t>Разработка раздела "ИТМ ГОЧС"</t>
  </si>
  <si>
    <t>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2006 г. Глава 1. Инженерно-технические мероприятия гражданской обороны. Мероприятия по предупреждению черезвычайных ситуаций проектов строительства объектов без защитных сооружений гражданской обороны и других специальных сооружений, п.1
A = 30.5 тыс. руб.
Количество = 1 (1 объект)</t>
  </si>
  <si>
    <t>Полный комплекс работ
(100%):
A * Количество * Ктек * Кст * K1 * K2 * K3
30 500 руб. * 1 * 7.1 * 1 * 1.04 * 1.15 * 0.82</t>
  </si>
  <si>
    <t xml:space="preserve">Коэффициент, учитывающий категорию объекта по ГО, отнесенных категориям "особой важности", 1 и 2 (Кго) </t>
  </si>
  <si>
    <t>K1 = 1.04
гл.1, п.2 (Ценообразующий)</t>
  </si>
  <si>
    <t xml:space="preserve">Коэффициент, учитывающий функциональное назначение объекта, для объектов производственного назначения (Коб) </t>
  </si>
  <si>
    <t>K2 = 1.15
гл.1, п.2 (Ценообразующий)</t>
  </si>
  <si>
    <t xml:space="preserve">Коэффициент, учитывающий однотипность решений по предупреждению ЧС для различных источников ЧС с одинаковыми поражающими факторами, для количества источников ЧС с одинаковыми поражающими факторами - 4 (Кпф) </t>
  </si>
  <si>
    <t>K3 = 0.82
гл.1, таб.4 (Ценообразующий)</t>
  </si>
  <si>
    <t xml:space="preserve">Расчет электрических режимов. II категория сложности. </t>
  </si>
  <si>
    <t>Объекты энергетики. Электросетевые объекты. 2016 г. Таблица 13. Расчеты электрических режимов и устойчивости в сетях напряжением до 1150 кВ включительно, п.2
A = 1.57 тыс.руб; B = 0.31 тыс.руб;
Xзад = 132 (1 расчетный шаг);
Количество = 1</t>
  </si>
  <si>
    <t>Полный комплекс работ
(100%):
(A + B * Xзад) * Количество * Ктек * Кст * K1
(1 570 руб. + 310 руб. * 132) * 1 * 7.1 * 1 * 1.2</t>
  </si>
  <si>
    <t xml:space="preserve">Базовая цена проектирования объектов электрических сетей с применением международных (либо иных) систем классификации и кодирования в энергетике, например, системы KKS и других применяемых совместно с ней систем классификации определяется с применением коэффициента, учитывающего объем выполняемых работ </t>
  </si>
  <si>
    <t>K1 = 1.2
ОП, п.1.9 (Ценообразующий)</t>
  </si>
  <si>
    <t>10</t>
  </si>
  <si>
    <t xml:space="preserve">Сеть сложной разветвленной кольцевой системы напряжением 110-500 кВ, с общим количеством станций и подстанций 25 - 20 в следующих сочетаниях: генераторных станций - 5, подстанций - 20; генераторных станций - 6, подстанций - 17; генераторных станций - 7, подстанций - 14 или генераторных станций - 8, подстанций - 12. Расчет коммутационной аппаратуры и релейного оборудования. </t>
  </si>
  <si>
    <t>Объекты энергетики. Электросетевые объекты. 2016 г. Таблица 11. Расчеты токов короткого замыкания в сетях напряжением 35-1150 кВ, п.9
A = 15.42 тыс.руб; 
Количество = 1 (1 сеть)</t>
  </si>
  <si>
    <t>Полный комплекс работ
(100%):
A * Количество * Ктек * Кст * K1
15 420 руб. * 1 * 7.1 * 1 * 1.2</t>
  </si>
  <si>
    <t>11</t>
  </si>
  <si>
    <t>12</t>
  </si>
  <si>
    <t>Смета №5</t>
  </si>
  <si>
    <t>ВЛ напряжением 110 кВ переменного тока на стальных решетчатых опорах, свободностоящие промежуточные опоры, провода сталеалюминиевые сечением до 150 шт. х мм2, количество цепей на опоре: 1 шт.</t>
  </si>
  <si>
    <t xml:space="preserve">Укрупненные стоимостные показатели линий электропередачи и подстанций напряжением 35-750 КВ. 2013 г. Таблица 1. Базисные показатели стоимости ВЛ 35-750 кВ переменного тока на стальных и железобетонных опорах, п.5
Цена = 811.6 тыс. руб.;
Ед. измерения = км
Количество ед. измерения в объекте = 1;
Количество объектов = 1;
</t>
  </si>
  <si>
    <t>Полный комплекс работ
(100%):
Цена * Кол-во ед.измер * Кол-во объектов * Ктек * Кст * K1
811 600 руб. * 1 * 1 * 1 * 1 * 0.94</t>
  </si>
  <si>
    <t>762 904 (не учитывается в расчетах)</t>
  </si>
  <si>
    <t xml:space="preserve">Воздушные линии электропередачи напряжением 35-1150 кВ </t>
  </si>
  <si>
    <t xml:space="preserve">Объекты энергетики. Электросетевые объекты. 2016 г. Таблица 2. Воздушные линии электропередачи напряжением 35-1150 кВ
α = 5.82;
С 2001 крайн. показ. = 3 (млн.руб.);
Стоим строит.
С = 0.7629 (млн.руб.);
С 2001 = 0.7629/1*1.25=0.953625 (млн.руб.);
К 2000-2001 = 1.25 (Методические указания по применению СБЦ на проектные работы в строительстве 2009 г.);
</t>
  </si>
  <si>
    <t>Полный комплекс работ
(100%):
C 2001 * α / 100 * Ктек * Кст
0.953625 млн.руб. * 5.82 / 100 * 7.1 * 1 * 1</t>
  </si>
  <si>
    <t>Смета №6</t>
  </si>
  <si>
    <t>Сооружения кабельной электрической линии напряжением до 20 кВ. Протяженность от 100 до 500 п.м включительно  1-й кабель</t>
  </si>
  <si>
    <t>НЗ №847/пр Строительство, реконструкция сетей инженерно-технического обеспечения и объектов инфраструктуры. 2023 г. Таблица 3.11. Сооружения кабельных линий электропередачи, п.1
A = 17.7 тыс.руб; B = 0.234 тыс.руб;
Xзад = 250 (п.м);
Количество = 1</t>
  </si>
  <si>
    <t>(A + B * Xзад) * Количество * Ктек * Кст
(17 700 руб. + 234 руб. * 250) * 1 * 1.68 * 1</t>
  </si>
  <si>
    <t xml:space="preserve">инд.2кв.2026г.к 01.01.2021 на пр.раб. </t>
  </si>
  <si>
    <t>Ктек = 1.68
Письмо Минстроя России от 08.04.2026 №20212-ИФ/09</t>
  </si>
  <si>
    <t>1. Поя зап</t>
  </si>
  <si>
    <t>0.5%</t>
  </si>
  <si>
    <t>2. Про пол отв</t>
  </si>
  <si>
    <t>2.4%</t>
  </si>
  <si>
    <t>3. Тех и кон реш лин объ. Иск соо</t>
  </si>
  <si>
    <t>84.1%</t>
  </si>
  <si>
    <t>4. Про орг стр</t>
  </si>
  <si>
    <t>4.2%</t>
  </si>
  <si>
    <t>5. Мер по охр окр сре</t>
  </si>
  <si>
    <t>3%</t>
  </si>
  <si>
    <t>6. Мер по обе пож без</t>
  </si>
  <si>
    <t>0.8%</t>
  </si>
  <si>
    <t>7. Сме на стр</t>
  </si>
  <si>
    <t>5%</t>
  </si>
  <si>
    <t xml:space="preserve">Сооружения кабельной электрической линии напряжением до 20 кВ. Протяженность от 100 до 500 п.м включительно 2-й кабель </t>
  </si>
  <si>
    <t>НЗ №847/пр Строительство, реконструкция сетей инженерно-технического обеспечения и объектов инфраструктуры. 2023 г. Таблица 3.11. Сооружения кабельных линий электропередачи, п.1
A = 17.7 тыс.руб; B = 0.234 тыс.руб;
Xзад = 250 (п.м);
Количество = 3</t>
  </si>
  <si>
    <t>(A + B * Xзад) * Количество * Ктек * Кст * K1
(17 700 руб. + 234 руб. * 250) * 3 * 1.68 * 1 * 0.3</t>
  </si>
  <si>
    <t xml:space="preserve">Проектирование с 2 по 6 параллельных кабелей сооружений кабельной электрической линии, прокладываемых одинаковым способом определяется с корректирующим коэффициентом к стоимости проектирования каждого последующего после первого кабеля </t>
  </si>
  <si>
    <t>K1 = 0.3
Табл.3.11.1, п.2.1 (Ценообразующий)</t>
  </si>
  <si>
    <t>ВОЛС-ВЛ II категории сложности длиной до 30 км</t>
  </si>
  <si>
    <t>Полный комплекс работ
(100%):
(A + B * (0.4 * Lмин + 0.6 * (Lмин / 2))) * Количество * Кпон * Ктек * Кст
(252 000 руб. + 7 280 руб. * (0.4 * 30 + 0.6 * (30 / 2))) * 1 * 0.3 * 7.1 * 1</t>
  </si>
  <si>
    <t>К'пон = Xзад / (0.5 * Xмин)</t>
  </si>
  <si>
    <t>К'пон = 0.3
понижающий коэффициент, учитывающий разницу в трудоемкости работ по проектируемому объекту и объекту аналогу. (Методика 707/пр п.131(3)) (Ценообразующий)</t>
  </si>
  <si>
    <t>Сметный расчет составлен в ценах 2 кв. 2026 г.</t>
  </si>
  <si>
    <t>Объекты энергетики. Электросетевые объекты. 2016 г. Таблица 17. Волоконно-оптические линии связи (ВОЛС) по опорам ВЛ 110 кВ и выше, п.3
A = 252 тыс. руб.B = 7.28 тыс. руб.;
Lмин = 30;
Протяженность линии l = 4,5 ( тыс. руб.);
Кол-во линий n = 1;
Суммарная длина линий (l*n) L = 4,5 ( тыс. руб.);
Количество = 1</t>
  </si>
  <si>
    <t>Сметная стоимость в уровне цен, сложившемся на день составления сметной документации,  руб.</t>
  </si>
  <si>
    <t>1. Полевые работы</t>
  </si>
  <si>
    <t>2. Камеральные работы</t>
  </si>
  <si>
    <t>Итого по разделу 2</t>
  </si>
  <si>
    <t>3. Дополнительные и специальные работы</t>
  </si>
  <si>
    <t>Итого по разделу 3</t>
  </si>
  <si>
    <t>Сметная стоимость,  руб.</t>
  </si>
  <si>
    <t>НДС 22%</t>
  </si>
  <si>
    <t>Всего</t>
  </si>
  <si>
    <t>Всего с НДС 22%</t>
  </si>
  <si>
    <r>
      <t xml:space="preserve">Всего с учетом 2% </t>
    </r>
    <r>
      <rPr>
        <b/>
        <sz val="9"/>
        <rFont val="Arial"/>
        <family val="2"/>
        <charset val="204"/>
      </rPr>
      <t>непредвиденных затрат</t>
    </r>
  </si>
  <si>
    <t>Проектирование мобильной модульной подстанции 110/10(6)/10(6) кВ с мощностью силового трансформатора 25 МВА</t>
  </si>
  <si>
    <t>УТВЕРЖДЕНО:</t>
  </si>
  <si>
    <t>Заместитель директора - начальник отдела организации строительства</t>
  </si>
  <si>
    <t>И.С. Алиев</t>
  </si>
  <si>
    <t>"____"___________________2026 г.</t>
  </si>
  <si>
    <t>м.п.</t>
  </si>
  <si>
    <t xml:space="preserve">Составил </t>
  </si>
  <si>
    <t xml:space="preserve"> </t>
  </si>
  <si>
    <t xml:space="preserve">инженер по проектно-сметной работе </t>
  </si>
  <si>
    <t>(В.Л. Власьев)</t>
  </si>
  <si>
    <t>(Ф.И.О)</t>
  </si>
  <si>
    <t>Форма по прил.№11 к приказу №421 от 08.07.2026г.</t>
  </si>
  <si>
    <t>инженер по проектно-сметной работе                                                                                                    В.Л. Власьев</t>
  </si>
  <si>
    <t xml:space="preserve">Проектирование мобильной модульной подстанции 110/10(6)/10(6) кВ с мощностью силового трансформатора 25 МВА </t>
  </si>
</sst>
</file>

<file path=xl/styles.xml><?xml version="1.0" encoding="utf-8"?>
<styleSheet xmlns="http://schemas.openxmlformats.org/spreadsheetml/2006/main">
  <numFmts count="1">
    <numFmt numFmtId="164" formatCode="#,##0.00000"/>
  </numFmts>
  <fonts count="11">
    <font>
      <sz val="11"/>
      <name val="Calibri"/>
    </font>
    <font>
      <sz val="10"/>
      <name val="Arial"/>
    </font>
    <font>
      <sz val="7"/>
      <name val="Arial"/>
    </font>
    <font>
      <b/>
      <sz val="10"/>
      <name val="Arial"/>
    </font>
    <font>
      <i/>
      <sz val="10"/>
      <name val="Arial"/>
    </font>
    <font>
      <u/>
      <sz val="10"/>
      <name val="Arial"/>
    </font>
    <font>
      <b/>
      <sz val="10"/>
      <name val="Arial"/>
      <family val="2"/>
      <charset val="204"/>
    </font>
    <font>
      <sz val="10"/>
      <name val="Arial"/>
      <family val="2"/>
      <charset val="204"/>
    </font>
    <font>
      <b/>
      <sz val="9"/>
      <name val="Arial"/>
      <family val="2"/>
      <charset val="204"/>
    </font>
    <font>
      <u/>
      <sz val="10"/>
      <name val="Arial"/>
      <family val="2"/>
      <charset val="204"/>
    </font>
    <font>
      <sz val="7"/>
      <name val="Arial"/>
      <family val="2"/>
      <charset val="204"/>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diagonal/>
    </border>
  </borders>
  <cellStyleXfs count="1">
    <xf numFmtId="0" fontId="0" fillId="0" borderId="0"/>
  </cellStyleXfs>
  <cellXfs count="61">
    <xf numFmtId="0" fontId="0" fillId="0" borderId="0" xfId="0"/>
    <xf numFmtId="0" fontId="1" fillId="0" borderId="0" xfId="0" applyFont="1" applyAlignment="1">
      <alignment horizontal="left" vertical="top" wrapText="1"/>
    </xf>
    <xf numFmtId="0" fontId="1" fillId="0" borderId="2" xfId="0" applyFont="1" applyBorder="1" applyAlignment="1">
      <alignment horizontal="center" vertical="center" wrapText="1"/>
    </xf>
    <xf numFmtId="0" fontId="1" fillId="0" borderId="2" xfId="0" applyFont="1" applyBorder="1" applyAlignment="1">
      <alignment horizontal="left" vertical="top" wrapText="1"/>
    </xf>
    <xf numFmtId="0" fontId="3" fillId="0" borderId="2" xfId="0" applyFont="1" applyBorder="1" applyAlignment="1">
      <alignment horizontal="left" vertical="top" wrapText="1"/>
    </xf>
    <xf numFmtId="0" fontId="1" fillId="0" borderId="3"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1" fillId="0" borderId="4" xfId="0" applyFont="1" applyBorder="1" applyAlignment="1">
      <alignment horizontal="left" vertical="top" wrapText="1"/>
    </xf>
    <xf numFmtId="3" fontId="1" fillId="0" borderId="0" xfId="0" applyNumberFormat="1" applyFont="1" applyAlignment="1">
      <alignment horizontal="left" vertical="top" wrapText="1"/>
    </xf>
    <xf numFmtId="0" fontId="1" fillId="0" borderId="0" xfId="0" applyFont="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1" fillId="0" borderId="1" xfId="0" applyFont="1" applyBorder="1" applyAlignment="1">
      <alignment horizontal="lef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1" fillId="0" borderId="0" xfId="0" applyFont="1" applyAlignment="1">
      <alignment horizontal="right" vertical="top" wrapText="1"/>
    </xf>
    <xf numFmtId="0" fontId="2" fillId="0" borderId="0" xfId="0" applyFont="1" applyAlignment="1">
      <alignment horizontal="left" vertical="top" wrapText="1"/>
    </xf>
    <xf numFmtId="0" fontId="1" fillId="0" borderId="0" xfId="0" applyFont="1" applyAlignment="1">
      <alignment horizontal="right" vertical="top" wrapText="1"/>
    </xf>
    <xf numFmtId="0" fontId="3" fillId="0" borderId="0" xfId="0"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left" vertical="top" wrapText="1"/>
    </xf>
    <xf numFmtId="0" fontId="7" fillId="0" borderId="1" xfId="0" applyFont="1" applyBorder="1" applyAlignment="1">
      <alignment horizontal="left" vertical="top" wrapText="1"/>
    </xf>
    <xf numFmtId="0" fontId="1" fillId="0" borderId="1" xfId="0" applyFont="1" applyBorder="1" applyAlignment="1">
      <alignment horizontal="left" vertical="top" wrapText="1"/>
    </xf>
    <xf numFmtId="0" fontId="7" fillId="0" borderId="0" xfId="0" applyFont="1" applyAlignment="1">
      <alignment horizontal="left" vertical="top" wrapText="1"/>
    </xf>
    <xf numFmtId="0" fontId="1" fillId="0" borderId="2" xfId="0" applyFont="1" applyBorder="1" applyAlignment="1">
      <alignment horizontal="center" vertical="center" wrapText="1"/>
    </xf>
    <xf numFmtId="0" fontId="1" fillId="0" borderId="2" xfId="0" applyFont="1" applyBorder="1" applyAlignment="1">
      <alignment horizontal="left" vertical="top" wrapText="1"/>
    </xf>
    <xf numFmtId="4" fontId="1" fillId="0" borderId="2" xfId="0" applyNumberFormat="1" applyFont="1" applyBorder="1" applyAlignment="1">
      <alignment horizontal="center" vertical="top" wrapText="1"/>
    </xf>
    <xf numFmtId="0" fontId="3" fillId="0" borderId="2" xfId="0" applyFont="1" applyBorder="1" applyAlignment="1">
      <alignment horizontal="left" vertical="top" wrapText="1"/>
    </xf>
    <xf numFmtId="4" fontId="3" fillId="0" borderId="2" xfId="0" applyNumberFormat="1" applyFont="1" applyBorder="1" applyAlignment="1">
      <alignment horizontal="center" vertical="top" wrapText="1"/>
    </xf>
    <xf numFmtId="0" fontId="6" fillId="0" borderId="2" xfId="0" applyFont="1" applyBorder="1" applyAlignment="1">
      <alignment horizontal="left" vertical="top" wrapText="1"/>
    </xf>
    <xf numFmtId="0" fontId="7" fillId="0" borderId="2" xfId="0" applyFont="1" applyBorder="1" applyAlignment="1">
      <alignment horizontal="left" vertical="top" wrapText="1"/>
    </xf>
    <xf numFmtId="164" fontId="3" fillId="0" borderId="2" xfId="0" applyNumberFormat="1" applyFont="1" applyBorder="1" applyAlignment="1">
      <alignment horizontal="center" vertical="top" wrapText="1"/>
    </xf>
    <xf numFmtId="0" fontId="1" fillId="0" borderId="0" xfId="0" applyFont="1" applyAlignment="1">
      <alignment horizontal="center" vertical="top" wrapText="1"/>
    </xf>
    <xf numFmtId="0" fontId="3" fillId="0" borderId="0" xfId="0" applyFont="1" applyAlignment="1">
      <alignment horizontal="center" vertical="top" wrapText="1"/>
    </xf>
    <xf numFmtId="0" fontId="4" fillId="0" borderId="0" xfId="0" applyFont="1" applyAlignment="1">
      <alignment horizontal="center" vertical="top" wrapText="1"/>
    </xf>
    <xf numFmtId="0" fontId="3" fillId="0" borderId="3" xfId="0" applyFont="1" applyBorder="1" applyAlignment="1">
      <alignment horizontal="left" vertical="top" wrapText="1"/>
    </xf>
    <xf numFmtId="0" fontId="1" fillId="0" borderId="3" xfId="0" applyFont="1" applyBorder="1" applyAlignment="1">
      <alignment horizontal="left" vertical="top" wrapText="1"/>
    </xf>
    <xf numFmtId="4" fontId="1" fillId="0" borderId="3" xfId="0" applyNumberFormat="1" applyFont="1" applyBorder="1" applyAlignment="1">
      <alignment horizontal="right" vertical="top" wrapText="1"/>
    </xf>
    <xf numFmtId="4" fontId="3" fillId="0" borderId="2" xfId="0" applyNumberFormat="1" applyFont="1" applyBorder="1" applyAlignment="1">
      <alignment horizontal="right" vertical="top" wrapText="1"/>
    </xf>
    <xf numFmtId="4" fontId="1" fillId="0" borderId="2" xfId="0" applyNumberFormat="1" applyFont="1" applyBorder="1" applyAlignment="1">
      <alignment horizontal="right" vertical="top" wrapText="1"/>
    </xf>
    <xf numFmtId="0" fontId="1" fillId="0" borderId="1" xfId="0" applyFont="1" applyBorder="1" applyAlignment="1">
      <alignment horizontal="center" vertical="top" wrapText="1"/>
    </xf>
    <xf numFmtId="3" fontId="1" fillId="0" borderId="3" xfId="0" applyNumberFormat="1" applyFont="1" applyBorder="1" applyAlignment="1">
      <alignment horizontal="right" vertical="top" wrapText="1"/>
    </xf>
    <xf numFmtId="0" fontId="3" fillId="0" borderId="4" xfId="0" applyFont="1" applyBorder="1" applyAlignment="1">
      <alignment horizontal="left" vertical="top" wrapText="1"/>
    </xf>
    <xf numFmtId="0" fontId="1" fillId="0" borderId="4" xfId="0" applyFont="1" applyBorder="1" applyAlignment="1">
      <alignment horizontal="left" vertical="top" wrapText="1"/>
    </xf>
    <xf numFmtId="3" fontId="3" fillId="0" borderId="2" xfId="0" applyNumberFormat="1" applyFont="1" applyBorder="1" applyAlignment="1">
      <alignment horizontal="right" vertical="top" wrapText="1"/>
    </xf>
    <xf numFmtId="3" fontId="1" fillId="0" borderId="2" xfId="0" applyNumberFormat="1" applyFont="1" applyBorder="1" applyAlignment="1">
      <alignment horizontal="right" vertical="top" wrapText="1"/>
    </xf>
    <xf numFmtId="0" fontId="5" fillId="0" borderId="0" xfId="0" applyFont="1" applyAlignment="1">
      <alignment horizontal="left" vertical="top" wrapText="1"/>
    </xf>
    <xf numFmtId="0" fontId="9" fillId="0" borderId="1" xfId="0" applyFont="1" applyBorder="1" applyAlignment="1">
      <alignment horizontal="right" vertical="top" wrapText="1"/>
    </xf>
    <xf numFmtId="0" fontId="7" fillId="0" borderId="1" xfId="0" applyFont="1" applyBorder="1" applyAlignment="1">
      <alignment horizontal="center"/>
    </xf>
    <xf numFmtId="0" fontId="9" fillId="0" borderId="1" xfId="0" applyFont="1" applyBorder="1" applyAlignment="1">
      <alignment horizontal="center"/>
    </xf>
    <xf numFmtId="0" fontId="7" fillId="0" borderId="0" xfId="0" applyFont="1" applyAlignment="1">
      <alignment horizontal="right" vertical="top" wrapText="1"/>
    </xf>
    <xf numFmtId="0" fontId="7" fillId="0" borderId="0" xfId="0" applyFont="1" applyAlignment="1">
      <alignment horizontal="center" vertical="top" wrapText="1"/>
    </xf>
    <xf numFmtId="0" fontId="7" fillId="0" borderId="5" xfId="0" applyFont="1" applyBorder="1" applyAlignment="1">
      <alignment horizontal="left" wrapText="1"/>
    </xf>
    <xf numFmtId="0" fontId="7" fillId="0" borderId="0" xfId="0" applyFont="1" applyAlignment="1">
      <alignment horizontal="right" vertical="top" wrapText="1"/>
    </xf>
    <xf numFmtId="0" fontId="7" fillId="0" borderId="1" xfId="0" applyFont="1" applyBorder="1" applyAlignment="1">
      <alignment horizontal="center" vertical="top" wrapText="1"/>
    </xf>
    <xf numFmtId="0" fontId="7" fillId="0" borderId="1" xfId="0" applyFont="1" applyBorder="1" applyAlignment="1">
      <alignment horizontal="center" wrapText="1"/>
    </xf>
    <xf numFmtId="0" fontId="1" fillId="0" borderId="1" xfId="0" applyFont="1" applyBorder="1" applyAlignment="1">
      <alignment horizontal="center" wrapText="1"/>
    </xf>
    <xf numFmtId="0" fontId="10" fillId="0" borderId="0" xfId="0" applyFont="1" applyAlignment="1">
      <alignment horizontal="left" vertical="top" wrapText="1"/>
    </xf>
    <xf numFmtId="0" fontId="10" fillId="0" borderId="0" xfId="0" applyFont="1" applyAlignment="1">
      <alignment horizontal="left" vertical="top" wrapText="1"/>
    </xf>
    <xf numFmtId="0" fontId="4" fillId="0" borderId="5" xfId="0" applyFont="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AX48"/>
  <sheetViews>
    <sheetView showRuler="0" zoomScaleNormal="100" workbookViewId="0">
      <selection activeCell="S11" sqref="S11"/>
    </sheetView>
  </sheetViews>
  <sheetFormatPr defaultRowHeight="15"/>
  <cols>
    <col min="1" max="50" width="8" style="1" customWidth="1"/>
  </cols>
  <sheetData>
    <row r="1" spans="1:50" ht="18" customHeight="1">
      <c r="A1" s="58" t="s">
        <v>368</v>
      </c>
      <c r="B1" s="17"/>
      <c r="C1" s="17"/>
      <c r="D1" s="54" t="s">
        <v>372</v>
      </c>
      <c r="E1" s="18"/>
      <c r="F1" s="18"/>
      <c r="G1" s="18"/>
      <c r="H1" s="18"/>
      <c r="I1" s="18"/>
      <c r="J1" s="18"/>
      <c r="K1" s="18"/>
      <c r="L1" s="18"/>
      <c r="M1" s="18"/>
    </row>
    <row r="2" spans="1:50" ht="16.5" customHeight="1">
      <c r="A2" s="15"/>
      <c r="B2" s="15"/>
      <c r="C2" s="15"/>
      <c r="D2" s="16"/>
      <c r="E2" s="16"/>
      <c r="F2" s="16"/>
      <c r="G2" s="16"/>
      <c r="H2" s="16"/>
      <c r="I2" s="33" t="s">
        <v>362</v>
      </c>
      <c r="J2" s="33"/>
      <c r="K2" s="33"/>
      <c r="L2" s="33"/>
      <c r="M2" s="33"/>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row>
    <row r="3" spans="1:50" ht="27.2" customHeight="1">
      <c r="A3" s="15"/>
      <c r="B3" s="15"/>
      <c r="C3" s="15"/>
      <c r="D3" s="16"/>
      <c r="E3" s="16"/>
      <c r="F3" s="16"/>
      <c r="G3" s="16"/>
      <c r="H3" s="16"/>
      <c r="I3" s="21" t="s">
        <v>363</v>
      </c>
      <c r="J3" s="21"/>
      <c r="K3" s="21"/>
      <c r="L3" s="21"/>
      <c r="M3" s="21"/>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row>
    <row r="4" spans="1:50" ht="22.5" customHeight="1">
      <c r="A4" s="15"/>
      <c r="B4" s="15"/>
      <c r="C4" s="15"/>
      <c r="D4" s="16"/>
      <c r="E4" s="16"/>
      <c r="F4" s="16"/>
      <c r="G4" s="16"/>
      <c r="H4" s="16"/>
      <c r="I4" s="48"/>
      <c r="J4" s="48"/>
      <c r="K4" s="48"/>
      <c r="L4" s="49" t="s">
        <v>364</v>
      </c>
      <c r="M4" s="50"/>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row>
    <row r="5" spans="1:50" ht="23.25" customHeight="1">
      <c r="A5" s="15"/>
      <c r="B5" s="15"/>
      <c r="C5" s="15"/>
      <c r="D5" s="16"/>
      <c r="E5" s="16"/>
      <c r="F5" s="16"/>
      <c r="G5" s="16"/>
      <c r="H5" s="16"/>
      <c r="I5" s="53" t="s">
        <v>365</v>
      </c>
      <c r="J5" s="53"/>
      <c r="K5" s="53"/>
      <c r="L5" s="53"/>
      <c r="M5" s="53"/>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row>
    <row r="6" spans="1:50" ht="15.75" customHeight="1">
      <c r="A6" s="15"/>
      <c r="B6" s="15"/>
      <c r="C6" s="15"/>
      <c r="D6" s="16"/>
      <c r="E6" s="16"/>
      <c r="F6" s="16"/>
      <c r="G6" s="16"/>
      <c r="H6" s="16"/>
      <c r="I6" s="51" t="s">
        <v>366</v>
      </c>
      <c r="J6" s="16"/>
      <c r="K6" s="16"/>
      <c r="L6" s="16"/>
      <c r="M6" s="16"/>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row>
    <row r="7" spans="1:50" ht="15" customHeight="1"/>
    <row r="8" spans="1:50" ht="15" customHeight="1">
      <c r="A8" s="19" t="s">
        <v>0</v>
      </c>
      <c r="B8" s="19"/>
      <c r="C8" s="19"/>
      <c r="D8" s="19"/>
      <c r="E8" s="19"/>
      <c r="F8" s="19"/>
      <c r="G8" s="19"/>
      <c r="H8" s="19"/>
      <c r="I8" s="19"/>
      <c r="J8" s="19"/>
      <c r="K8" s="19"/>
      <c r="L8" s="19"/>
      <c r="M8" s="19"/>
    </row>
    <row r="9" spans="1:50" ht="15" customHeight="1">
      <c r="A9" s="20" t="s">
        <v>1</v>
      </c>
      <c r="B9" s="20"/>
      <c r="C9" s="20"/>
      <c r="D9" s="20"/>
      <c r="E9" s="20"/>
      <c r="F9" s="20"/>
      <c r="G9" s="20"/>
      <c r="H9" s="20"/>
      <c r="I9" s="20"/>
      <c r="J9" s="20"/>
      <c r="K9" s="20"/>
      <c r="L9" s="20"/>
      <c r="M9" s="20"/>
    </row>
    <row r="10" spans="1:50" ht="15" customHeight="1"/>
    <row r="11" spans="1:50" ht="27.2" customHeight="1">
      <c r="A11" s="21" t="s">
        <v>2</v>
      </c>
      <c r="B11" s="21"/>
      <c r="C11" s="21"/>
      <c r="D11" s="21"/>
      <c r="E11" s="22" t="s">
        <v>361</v>
      </c>
      <c r="F11" s="23"/>
      <c r="G11" s="23"/>
      <c r="H11" s="23"/>
      <c r="I11" s="23"/>
      <c r="J11" s="23"/>
      <c r="K11" s="23"/>
      <c r="L11" s="23"/>
      <c r="M11" s="23"/>
    </row>
    <row r="12" spans="1:50" ht="15" customHeight="1"/>
    <row r="13" spans="1:50" ht="15" customHeight="1">
      <c r="A13" s="24" t="s">
        <v>348</v>
      </c>
      <c r="B13" s="21"/>
      <c r="C13" s="21"/>
      <c r="D13" s="21"/>
      <c r="E13" s="21"/>
      <c r="F13" s="21"/>
      <c r="G13" s="21"/>
      <c r="H13" s="21"/>
      <c r="I13" s="21"/>
      <c r="J13" s="21"/>
      <c r="K13" s="21"/>
      <c r="L13" s="21"/>
      <c r="M13" s="21"/>
    </row>
    <row r="14" spans="1:50" ht="15" customHeight="1"/>
    <row r="15" spans="1:50" ht="15" customHeight="1">
      <c r="A15" s="25" t="s">
        <v>3</v>
      </c>
      <c r="B15" s="25" t="s">
        <v>4</v>
      </c>
      <c r="C15" s="25"/>
      <c r="D15" s="25"/>
      <c r="E15" s="25"/>
      <c r="F15" s="25"/>
      <c r="G15" s="25" t="s">
        <v>5</v>
      </c>
      <c r="H15" s="25"/>
      <c r="I15" s="25"/>
      <c r="J15" s="25" t="s">
        <v>356</v>
      </c>
      <c r="K15" s="25"/>
      <c r="L15" s="25"/>
      <c r="M15" s="25"/>
    </row>
    <row r="16" spans="1:50" ht="40.9" customHeight="1">
      <c r="A16" s="25"/>
      <c r="B16" s="25"/>
      <c r="C16" s="25"/>
      <c r="D16" s="25"/>
      <c r="E16" s="25"/>
      <c r="F16" s="25"/>
      <c r="G16" s="25"/>
      <c r="H16" s="25"/>
      <c r="I16" s="25"/>
      <c r="J16" s="25" t="s">
        <v>6</v>
      </c>
      <c r="K16" s="25"/>
      <c r="L16" s="25" t="s">
        <v>7</v>
      </c>
      <c r="M16" s="25"/>
    </row>
    <row r="17" spans="1:50" ht="15" customHeight="1">
      <c r="A17" s="2">
        <v>1</v>
      </c>
      <c r="B17" s="25">
        <v>2</v>
      </c>
      <c r="C17" s="25"/>
      <c r="D17" s="25"/>
      <c r="E17" s="25"/>
      <c r="F17" s="25"/>
      <c r="G17" s="25">
        <v>3</v>
      </c>
      <c r="H17" s="25"/>
      <c r="I17" s="25"/>
      <c r="J17" s="25">
        <v>4</v>
      </c>
      <c r="K17" s="25"/>
      <c r="L17" s="25">
        <v>5</v>
      </c>
      <c r="M17" s="25"/>
    </row>
    <row r="18" spans="1:50" ht="15" customHeight="1">
      <c r="A18" s="3" t="s">
        <v>8</v>
      </c>
      <c r="B18" s="26" t="s">
        <v>9</v>
      </c>
      <c r="C18" s="26"/>
      <c r="D18" s="26"/>
      <c r="E18" s="26"/>
      <c r="F18" s="26"/>
      <c r="G18" s="26" t="s">
        <v>8</v>
      </c>
      <c r="H18" s="26"/>
      <c r="I18" s="26"/>
      <c r="J18" s="27">
        <v>144430</v>
      </c>
      <c r="K18" s="26"/>
      <c r="L18" s="27">
        <v>0</v>
      </c>
      <c r="M18" s="26"/>
    </row>
    <row r="19" spans="1:50" ht="15" customHeight="1">
      <c r="A19" s="3" t="s">
        <v>10</v>
      </c>
      <c r="B19" s="26" t="s">
        <v>11</v>
      </c>
      <c r="C19" s="26"/>
      <c r="D19" s="26"/>
      <c r="E19" s="26"/>
      <c r="F19" s="26"/>
      <c r="G19" s="26" t="s">
        <v>10</v>
      </c>
      <c r="H19" s="26"/>
      <c r="I19" s="26"/>
      <c r="J19" s="27">
        <v>1358266</v>
      </c>
      <c r="K19" s="26"/>
      <c r="L19" s="27">
        <v>0</v>
      </c>
      <c r="M19" s="26"/>
    </row>
    <row r="20" spans="1:50" ht="15" customHeight="1">
      <c r="A20" s="3" t="s">
        <v>12</v>
      </c>
      <c r="B20" s="26" t="s">
        <v>13</v>
      </c>
      <c r="C20" s="26"/>
      <c r="D20" s="26"/>
      <c r="E20" s="26"/>
      <c r="F20" s="26"/>
      <c r="G20" s="26" t="s">
        <v>12</v>
      </c>
      <c r="H20" s="26"/>
      <c r="I20" s="26"/>
      <c r="J20" s="27">
        <v>177034</v>
      </c>
      <c r="K20" s="26"/>
      <c r="L20" s="27">
        <v>0</v>
      </c>
      <c r="M20" s="26"/>
    </row>
    <row r="21" spans="1:50" ht="27.2" customHeight="1">
      <c r="A21" s="3" t="s">
        <v>14</v>
      </c>
      <c r="B21" s="26" t="s">
        <v>15</v>
      </c>
      <c r="C21" s="26"/>
      <c r="D21" s="26"/>
      <c r="E21" s="26"/>
      <c r="F21" s="26"/>
      <c r="G21" s="26" t="s">
        <v>14</v>
      </c>
      <c r="H21" s="26"/>
      <c r="I21" s="26"/>
      <c r="J21" s="27">
        <v>0</v>
      </c>
      <c r="K21" s="26"/>
      <c r="L21" s="27">
        <v>12287117</v>
      </c>
      <c r="M21" s="26"/>
    </row>
    <row r="22" spans="1:50" ht="15" customHeight="1">
      <c r="A22" s="3" t="s">
        <v>16</v>
      </c>
      <c r="B22" s="26" t="s">
        <v>17</v>
      </c>
      <c r="C22" s="26"/>
      <c r="D22" s="26"/>
      <c r="E22" s="26"/>
      <c r="F22" s="26"/>
      <c r="G22" s="26" t="s">
        <v>16</v>
      </c>
      <c r="H22" s="26"/>
      <c r="I22" s="26"/>
      <c r="J22" s="27">
        <v>0</v>
      </c>
      <c r="K22" s="26"/>
      <c r="L22" s="27">
        <v>394057</v>
      </c>
      <c r="M22" s="26"/>
    </row>
    <row r="23" spans="1:50" ht="15" customHeight="1">
      <c r="A23" s="3" t="s">
        <v>18</v>
      </c>
      <c r="B23" s="26" t="s">
        <v>19</v>
      </c>
      <c r="C23" s="26"/>
      <c r="D23" s="26"/>
      <c r="E23" s="26"/>
      <c r="F23" s="26"/>
      <c r="G23" s="26" t="s">
        <v>18</v>
      </c>
      <c r="H23" s="26"/>
      <c r="I23" s="26"/>
      <c r="J23" s="27">
        <v>0</v>
      </c>
      <c r="K23" s="26"/>
      <c r="L23" s="27">
        <v>1105624</v>
      </c>
      <c r="M23" s="26"/>
    </row>
    <row r="24" spans="1:50" ht="15" customHeight="1">
      <c r="A24" s="4" t="s">
        <v>20</v>
      </c>
      <c r="B24" s="28" t="s">
        <v>21</v>
      </c>
      <c r="C24" s="28"/>
      <c r="D24" s="28"/>
      <c r="E24" s="28"/>
      <c r="F24" s="28"/>
      <c r="G24" s="28"/>
      <c r="H24" s="28"/>
      <c r="I24" s="28"/>
      <c r="J24" s="29">
        <f>ROUND(SUM($J$18:$J$23),2)</f>
        <v>1679730</v>
      </c>
      <c r="K24" s="28"/>
      <c r="L24" s="29">
        <f>ROUND(SUM($L$18:$L$23),2)</f>
        <v>13786798</v>
      </c>
      <c r="M24" s="28"/>
    </row>
    <row r="25" spans="1:50" ht="15" hidden="1" customHeight="1">
      <c r="A25" s="4" t="s">
        <v>23</v>
      </c>
      <c r="B25" s="28" t="s">
        <v>24</v>
      </c>
      <c r="C25" s="28"/>
      <c r="D25" s="28"/>
      <c r="E25" s="28"/>
      <c r="F25" s="28"/>
      <c r="G25" s="28" t="s">
        <v>25</v>
      </c>
      <c r="H25" s="28"/>
      <c r="I25" s="28"/>
      <c r="J25" s="32">
        <f ca="1">ROUND((SUM($J$24:$J$29)) * 1,5)</f>
        <v>1679.74</v>
      </c>
      <c r="K25" s="28"/>
      <c r="L25" s="32">
        <f ca="1">ROUND((SUM($L$24:$L$29)) * 1,5)</f>
        <v>13786.8</v>
      </c>
      <c r="M25" s="28"/>
    </row>
    <row r="26" spans="1:50" ht="15" customHeight="1">
      <c r="A26" s="4">
        <v>8</v>
      </c>
      <c r="B26" s="30" t="s">
        <v>358</v>
      </c>
      <c r="C26" s="28"/>
      <c r="D26" s="28"/>
      <c r="E26" s="28"/>
      <c r="F26" s="28"/>
      <c r="G26" s="28"/>
      <c r="H26" s="28"/>
      <c r="I26" s="28"/>
      <c r="J26" s="29">
        <f>J24+L24</f>
        <v>15466528</v>
      </c>
      <c r="K26" s="29"/>
      <c r="L26" s="29"/>
      <c r="M26" s="29"/>
    </row>
    <row r="27" spans="1:50" ht="15" customHeight="1">
      <c r="A27" s="11">
        <v>9</v>
      </c>
      <c r="B27" s="30" t="s">
        <v>360</v>
      </c>
      <c r="C27" s="30"/>
      <c r="D27" s="30"/>
      <c r="E27" s="30"/>
      <c r="F27" s="30"/>
      <c r="G27" s="31"/>
      <c r="H27" s="26"/>
      <c r="I27" s="26"/>
      <c r="J27" s="29">
        <f>J26*1.02</f>
        <v>15775858.560000001</v>
      </c>
      <c r="K27" s="29"/>
      <c r="L27" s="29"/>
      <c r="M27" s="29"/>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row>
    <row r="28" spans="1:50" ht="15" customHeight="1">
      <c r="A28" s="11">
        <v>10</v>
      </c>
      <c r="B28" s="30" t="s">
        <v>357</v>
      </c>
      <c r="C28" s="30"/>
      <c r="D28" s="30"/>
      <c r="E28" s="30"/>
      <c r="F28" s="30"/>
      <c r="G28" s="31"/>
      <c r="H28" s="26"/>
      <c r="I28" s="26"/>
      <c r="J28" s="29">
        <f>J27*0.22</f>
        <v>3470688.8832</v>
      </c>
      <c r="K28" s="29"/>
      <c r="L28" s="29"/>
      <c r="M28" s="29"/>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row>
    <row r="29" spans="1:50" ht="15" customHeight="1">
      <c r="A29" s="11">
        <v>11</v>
      </c>
      <c r="B29" s="30" t="s">
        <v>359</v>
      </c>
      <c r="C29" s="30"/>
      <c r="D29" s="30"/>
      <c r="E29" s="30"/>
      <c r="F29" s="30"/>
      <c r="G29" s="31"/>
      <c r="H29" s="26"/>
      <c r="I29" s="26"/>
      <c r="J29" s="29">
        <f>J27+J28</f>
        <v>19246547.4432</v>
      </c>
      <c r="K29" s="29"/>
      <c r="L29" s="29"/>
      <c r="M29" s="29"/>
    </row>
    <row r="30" spans="1:50" ht="15" customHeight="1"/>
    <row r="31" spans="1:50" ht="15" customHeight="1">
      <c r="A31" s="16"/>
      <c r="B31" s="16"/>
      <c r="C31" s="16"/>
    </row>
    <row r="32" spans="1:50" ht="29.25" customHeight="1">
      <c r="A32" s="54" t="s">
        <v>367</v>
      </c>
      <c r="B32" s="18"/>
      <c r="C32" s="18"/>
      <c r="D32" s="55" t="s">
        <v>369</v>
      </c>
      <c r="E32" s="55"/>
      <c r="F32" s="55"/>
      <c r="G32" s="55"/>
      <c r="H32" s="23"/>
      <c r="I32" s="23"/>
      <c r="J32" s="13"/>
      <c r="K32" s="56" t="s">
        <v>370</v>
      </c>
      <c r="L32" s="57"/>
      <c r="M32" s="57"/>
    </row>
    <row r="33" spans="4:13" ht="27.2" customHeight="1">
      <c r="D33" s="33" t="s">
        <v>27</v>
      </c>
      <c r="E33" s="33"/>
      <c r="F33" s="33"/>
      <c r="H33" s="33" t="s">
        <v>26</v>
      </c>
      <c r="I33" s="33"/>
      <c r="K33" s="52" t="s">
        <v>371</v>
      </c>
      <c r="L33" s="33"/>
      <c r="M33" s="33"/>
    </row>
    <row r="34" spans="4:13" ht="15" customHeight="1"/>
    <row r="35" spans="4:13" ht="15" customHeight="1"/>
    <row r="36" spans="4:13" ht="15" customHeight="1"/>
    <row r="37" spans="4:13" ht="15" customHeight="1"/>
    <row r="38" spans="4:13" ht="15" customHeight="1"/>
    <row r="39" spans="4:13" ht="15" customHeight="1"/>
    <row r="40" spans="4:13" ht="15" customHeight="1"/>
    <row r="41" spans="4:13" ht="15" customHeight="1"/>
    <row r="42" spans="4:13" ht="15" customHeight="1"/>
    <row r="43" spans="4:13" ht="15" customHeight="1"/>
    <row r="44" spans="4:13" ht="15" customHeight="1"/>
    <row r="45" spans="4:13" ht="15" customHeight="1"/>
    <row r="46" spans="4:13" ht="15" customHeight="1"/>
    <row r="47" spans="4:13" ht="15" customHeight="1"/>
    <row r="48" spans="4:13" ht="15" customHeight="1"/>
  </sheetData>
  <mergeCells count="72">
    <mergeCell ref="K33:M33"/>
    <mergeCell ref="H32:I32"/>
    <mergeCell ref="H33:I33"/>
    <mergeCell ref="D33:F33"/>
    <mergeCell ref="D32:G32"/>
    <mergeCell ref="A32:C32"/>
    <mergeCell ref="B25:F25"/>
    <mergeCell ref="G25:I25"/>
    <mergeCell ref="J25:K25"/>
    <mergeCell ref="L25:M25"/>
    <mergeCell ref="B26:F26"/>
    <mergeCell ref="G26:I26"/>
    <mergeCell ref="J26:M26"/>
    <mergeCell ref="K32:M32"/>
    <mergeCell ref="B24:F24"/>
    <mergeCell ref="G24:I24"/>
    <mergeCell ref="J24:K24"/>
    <mergeCell ref="L24:M24"/>
    <mergeCell ref="B29:F29"/>
    <mergeCell ref="G29:I29"/>
    <mergeCell ref="J29:M29"/>
    <mergeCell ref="B28:F28"/>
    <mergeCell ref="G28:I28"/>
    <mergeCell ref="J28:M28"/>
    <mergeCell ref="B27:F27"/>
    <mergeCell ref="G27:I27"/>
    <mergeCell ref="J27:M27"/>
    <mergeCell ref="B22:F22"/>
    <mergeCell ref="G22:I22"/>
    <mergeCell ref="J22:K22"/>
    <mergeCell ref="L22:M22"/>
    <mergeCell ref="B23:F23"/>
    <mergeCell ref="G23:I23"/>
    <mergeCell ref="J23:K23"/>
    <mergeCell ref="L23:M23"/>
    <mergeCell ref="B20:F20"/>
    <mergeCell ref="G20:I20"/>
    <mergeCell ref="J20:K20"/>
    <mergeCell ref="L20:M20"/>
    <mergeCell ref="B21:F21"/>
    <mergeCell ref="G21:I21"/>
    <mergeCell ref="J21:K21"/>
    <mergeCell ref="L21:M21"/>
    <mergeCell ref="B18:F18"/>
    <mergeCell ref="G18:I18"/>
    <mergeCell ref="J18:K18"/>
    <mergeCell ref="L18:M18"/>
    <mergeCell ref="B19:F19"/>
    <mergeCell ref="G19:I19"/>
    <mergeCell ref="J19:K19"/>
    <mergeCell ref="L19:M19"/>
    <mergeCell ref="A13:M13"/>
    <mergeCell ref="A15:A16"/>
    <mergeCell ref="B15:F16"/>
    <mergeCell ref="B17:F17"/>
    <mergeCell ref="G15:I16"/>
    <mergeCell ref="G17:I17"/>
    <mergeCell ref="J15:M15"/>
    <mergeCell ref="J16:K16"/>
    <mergeCell ref="J17:K17"/>
    <mergeCell ref="L16:M16"/>
    <mergeCell ref="L17:M17"/>
    <mergeCell ref="A1:C1"/>
    <mergeCell ref="D1:M1"/>
    <mergeCell ref="A8:M8"/>
    <mergeCell ref="A9:M9"/>
    <mergeCell ref="A11:D11"/>
    <mergeCell ref="E11:M11"/>
    <mergeCell ref="I2:M2"/>
    <mergeCell ref="I3:M3"/>
    <mergeCell ref="L4:M4"/>
    <mergeCell ref="I5:M5"/>
  </mergeCells>
  <pageMargins left="0.4" right="0.4"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dimension ref="A1:AX45"/>
  <sheetViews>
    <sheetView showRuler="0" view="pageBreakPreview" topLeftCell="A6" zoomScale="60" zoomScaleNormal="100" workbookViewId="0">
      <selection sqref="A1:P38"/>
    </sheetView>
  </sheetViews>
  <sheetFormatPr defaultRowHeight="15"/>
  <cols>
    <col min="1" max="1" width="6.42578125" style="1" customWidth="1"/>
    <col min="2" max="50" width="8" style="1" customWidth="1"/>
  </cols>
  <sheetData>
    <row r="1" spans="1:50" ht="15.75" customHeight="1">
      <c r="A1" s="58" t="s">
        <v>368</v>
      </c>
      <c r="B1" s="17"/>
      <c r="C1" s="17"/>
      <c r="D1" s="17"/>
      <c r="E1" s="54" t="s">
        <v>368</v>
      </c>
      <c r="F1" s="18"/>
      <c r="G1" s="18"/>
      <c r="H1" s="18"/>
      <c r="I1" s="18"/>
      <c r="J1" s="18"/>
      <c r="K1" s="18"/>
      <c r="L1" s="18"/>
      <c r="M1" s="18"/>
      <c r="N1" s="18"/>
      <c r="O1" s="18"/>
      <c r="P1" s="18"/>
    </row>
    <row r="2" spans="1:50" ht="15.75" customHeight="1">
      <c r="A2" s="59"/>
      <c r="B2" s="15"/>
      <c r="C2" s="15"/>
      <c r="D2" s="15"/>
      <c r="E2" s="51"/>
      <c r="F2" s="16"/>
      <c r="G2" s="16"/>
      <c r="H2" s="16"/>
      <c r="I2" s="16"/>
      <c r="J2" s="16"/>
      <c r="K2" s="16"/>
      <c r="L2" s="16"/>
      <c r="M2" s="16"/>
      <c r="N2" s="16"/>
      <c r="O2" s="16"/>
      <c r="P2" s="16"/>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row>
    <row r="3" spans="1:50" ht="15.75" customHeight="1">
      <c r="A3" s="59"/>
      <c r="B3" s="15"/>
      <c r="C3" s="15"/>
      <c r="D3" s="15"/>
      <c r="E3" s="16"/>
      <c r="F3" s="16"/>
      <c r="G3" s="16"/>
      <c r="H3" s="16"/>
      <c r="I3" s="16"/>
      <c r="J3" s="16"/>
      <c r="K3" s="16"/>
      <c r="L3" s="33" t="s">
        <v>362</v>
      </c>
      <c r="M3" s="33"/>
      <c r="N3" s="33"/>
      <c r="O3" s="33"/>
      <c r="P3" s="33"/>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row>
    <row r="4" spans="1:50" ht="30.75" customHeight="1">
      <c r="A4" s="59"/>
      <c r="B4" s="15"/>
      <c r="C4" s="15"/>
      <c r="D4" s="15"/>
      <c r="E4" s="16"/>
      <c r="F4" s="16"/>
      <c r="G4" s="16"/>
      <c r="H4" s="16"/>
      <c r="I4" s="16"/>
      <c r="J4" s="16"/>
      <c r="K4" s="16"/>
      <c r="L4" s="21" t="s">
        <v>363</v>
      </c>
      <c r="M4" s="21"/>
      <c r="N4" s="21"/>
      <c r="O4" s="21"/>
      <c r="P4" s="21"/>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row>
    <row r="5" spans="1:50" ht="35.25" customHeight="1">
      <c r="A5" s="59"/>
      <c r="B5" s="15"/>
      <c r="C5" s="15"/>
      <c r="D5" s="15"/>
      <c r="E5" s="16"/>
      <c r="F5" s="16"/>
      <c r="G5" s="16"/>
      <c r="H5" s="16"/>
      <c r="I5" s="16"/>
      <c r="J5" s="16"/>
      <c r="K5" s="16"/>
      <c r="L5" s="48"/>
      <c r="M5" s="48"/>
      <c r="N5" s="48"/>
      <c r="O5" s="49" t="s">
        <v>364</v>
      </c>
      <c r="P5" s="50"/>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row>
    <row r="6" spans="1:50" ht="21" customHeight="1">
      <c r="A6" s="59"/>
      <c r="B6" s="15"/>
      <c r="C6" s="15"/>
      <c r="D6" s="15"/>
      <c r="E6" s="16"/>
      <c r="F6" s="16"/>
      <c r="G6" s="16"/>
      <c r="H6" s="16"/>
      <c r="I6" s="16"/>
      <c r="J6" s="16"/>
      <c r="K6" s="16"/>
      <c r="L6" s="53" t="s">
        <v>365</v>
      </c>
      <c r="M6" s="53"/>
      <c r="N6" s="53"/>
      <c r="O6" s="53"/>
      <c r="P6" s="53"/>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row>
    <row r="7" spans="1:50" ht="16.5" customHeight="1">
      <c r="A7" s="59"/>
      <c r="B7" s="15"/>
      <c r="C7" s="15"/>
      <c r="D7" s="15"/>
      <c r="E7" s="16"/>
      <c r="F7" s="16"/>
      <c r="G7" s="16"/>
      <c r="H7" s="16"/>
      <c r="I7" s="16"/>
      <c r="J7" s="16"/>
      <c r="K7" s="16"/>
      <c r="L7" s="51" t="s">
        <v>366</v>
      </c>
      <c r="M7" s="16"/>
      <c r="N7" s="16"/>
      <c r="O7" s="16"/>
      <c r="P7" s="16"/>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row>
    <row r="8" spans="1:50" ht="15" customHeight="1"/>
    <row r="9" spans="1:50" ht="15" customHeight="1">
      <c r="A9" s="33" t="s">
        <v>28</v>
      </c>
      <c r="B9" s="33"/>
      <c r="C9" s="33"/>
      <c r="D9" s="33"/>
      <c r="E9" s="33"/>
      <c r="F9" s="33"/>
      <c r="G9" s="33"/>
      <c r="H9" s="33"/>
      <c r="I9" s="33"/>
      <c r="J9" s="33"/>
      <c r="K9" s="33"/>
      <c r="L9" s="33"/>
      <c r="M9" s="33"/>
      <c r="N9" s="33"/>
      <c r="O9" s="33"/>
      <c r="P9" s="33"/>
    </row>
    <row r="10" spans="1:50" ht="15" customHeight="1">
      <c r="A10" s="34" t="s">
        <v>29</v>
      </c>
      <c r="B10" s="34"/>
      <c r="C10" s="34"/>
      <c r="D10" s="34"/>
      <c r="E10" s="34"/>
      <c r="F10" s="34"/>
      <c r="G10" s="34"/>
      <c r="H10" s="34"/>
      <c r="I10" s="34"/>
      <c r="J10" s="34"/>
      <c r="K10" s="34"/>
      <c r="L10" s="34"/>
      <c r="M10" s="34"/>
      <c r="N10" s="34"/>
      <c r="O10" s="34"/>
      <c r="P10" s="34"/>
    </row>
    <row r="11" spans="1:50" ht="15" customHeight="1"/>
    <row r="12" spans="1:50" ht="15" customHeight="1">
      <c r="A12" s="33" t="s">
        <v>9</v>
      </c>
      <c r="B12" s="33"/>
      <c r="C12" s="33"/>
      <c r="D12" s="33"/>
      <c r="E12" s="33"/>
      <c r="F12" s="33"/>
      <c r="G12" s="33"/>
      <c r="H12" s="33"/>
      <c r="I12" s="33"/>
      <c r="J12" s="33"/>
      <c r="K12" s="33"/>
      <c r="L12" s="33"/>
      <c r="M12" s="33"/>
      <c r="N12" s="33"/>
      <c r="O12" s="33"/>
      <c r="P12" s="33"/>
    </row>
    <row r="13" spans="1:50" ht="15" customHeight="1">
      <c r="A13" s="35" t="s">
        <v>30</v>
      </c>
      <c r="B13" s="35"/>
      <c r="C13" s="35"/>
      <c r="D13" s="35"/>
      <c r="E13" s="35"/>
      <c r="F13" s="35"/>
      <c r="G13" s="35"/>
      <c r="H13" s="35"/>
      <c r="I13" s="35"/>
      <c r="J13" s="35"/>
      <c r="K13" s="35"/>
      <c r="L13" s="35"/>
      <c r="M13" s="35"/>
      <c r="N13" s="35"/>
      <c r="O13" s="35"/>
      <c r="P13" s="35"/>
    </row>
    <row r="14" spans="1:50" ht="15" customHeight="1"/>
    <row r="15" spans="1:50" ht="122.45" customHeight="1">
      <c r="A15" s="2" t="s">
        <v>31</v>
      </c>
      <c r="B15" s="25" t="s">
        <v>32</v>
      </c>
      <c r="C15" s="25"/>
      <c r="D15" s="25"/>
      <c r="E15" s="25"/>
      <c r="F15" s="25"/>
      <c r="G15" s="25" t="s">
        <v>33</v>
      </c>
      <c r="H15" s="25"/>
      <c r="I15" s="25"/>
      <c r="J15" s="25"/>
      <c r="K15" s="25" t="s">
        <v>34</v>
      </c>
      <c r="L15" s="25"/>
      <c r="M15" s="25"/>
      <c r="N15" s="25"/>
      <c r="O15" s="25" t="s">
        <v>350</v>
      </c>
      <c r="P15" s="25"/>
    </row>
    <row r="16" spans="1:50" ht="15" customHeight="1">
      <c r="A16" s="2">
        <v>1</v>
      </c>
      <c r="B16" s="25">
        <v>2</v>
      </c>
      <c r="C16" s="25"/>
      <c r="D16" s="25"/>
      <c r="E16" s="25"/>
      <c r="F16" s="25"/>
      <c r="G16" s="25">
        <v>3</v>
      </c>
      <c r="H16" s="25"/>
      <c r="I16" s="25"/>
      <c r="J16" s="25"/>
      <c r="K16" s="25">
        <v>4</v>
      </c>
      <c r="L16" s="25"/>
      <c r="M16" s="25"/>
      <c r="N16" s="25"/>
      <c r="O16" s="25">
        <v>5</v>
      </c>
      <c r="P16" s="25"/>
    </row>
    <row r="17" spans="1:16" ht="15" customHeight="1">
      <c r="A17" s="4"/>
      <c r="B17" s="28" t="s">
        <v>351</v>
      </c>
      <c r="C17" s="28"/>
      <c r="D17" s="28"/>
      <c r="E17" s="28"/>
      <c r="F17" s="28"/>
      <c r="G17" s="28"/>
      <c r="H17" s="28"/>
      <c r="I17" s="28"/>
      <c r="J17" s="28"/>
      <c r="K17" s="28"/>
      <c r="L17" s="28"/>
      <c r="M17" s="28"/>
      <c r="N17" s="28"/>
      <c r="O17" s="28"/>
      <c r="P17" s="28"/>
    </row>
    <row r="18" spans="1:16" ht="190.35" customHeight="1">
      <c r="A18" s="6" t="s">
        <v>36</v>
      </c>
      <c r="B18" s="36" t="s">
        <v>37</v>
      </c>
      <c r="C18" s="37"/>
      <c r="D18" s="37"/>
      <c r="E18" s="37"/>
      <c r="F18" s="37"/>
      <c r="G18" s="37" t="s">
        <v>38</v>
      </c>
      <c r="H18" s="37"/>
      <c r="I18" s="37"/>
      <c r="J18" s="37"/>
      <c r="K18" s="37" t="s">
        <v>39</v>
      </c>
      <c r="L18" s="37"/>
      <c r="M18" s="37"/>
      <c r="N18" s="37"/>
      <c r="O18" s="38">
        <f>ROUND(38848 * 1.14, 0)</f>
        <v>44287</v>
      </c>
      <c r="P18" s="37"/>
    </row>
    <row r="19" spans="1:16" ht="231.2" customHeight="1">
      <c r="A19" s="6" t="s">
        <v>40</v>
      </c>
      <c r="B19" s="36" t="s">
        <v>41</v>
      </c>
      <c r="C19" s="37"/>
      <c r="D19" s="37"/>
      <c r="E19" s="37"/>
      <c r="F19" s="37"/>
      <c r="G19" s="37" t="s">
        <v>42</v>
      </c>
      <c r="H19" s="37"/>
      <c r="I19" s="37"/>
      <c r="J19" s="37"/>
      <c r="K19" s="37" t="s">
        <v>43</v>
      </c>
      <c r="L19" s="37"/>
      <c r="M19" s="37"/>
      <c r="N19" s="37"/>
      <c r="O19" s="38">
        <f>ROUND(13.2 / 100 * 44290 * 1, 0)</f>
        <v>5846</v>
      </c>
      <c r="P19" s="37"/>
    </row>
    <row r="20" spans="1:16" ht="122.45" customHeight="1">
      <c r="A20" s="6" t="s">
        <v>44</v>
      </c>
      <c r="B20" s="36" t="s">
        <v>45</v>
      </c>
      <c r="C20" s="37"/>
      <c r="D20" s="37"/>
      <c r="E20" s="37"/>
      <c r="F20" s="37"/>
      <c r="G20" s="37" t="s">
        <v>46</v>
      </c>
      <c r="H20" s="37"/>
      <c r="I20" s="37"/>
      <c r="J20" s="37"/>
      <c r="K20" s="37" t="s">
        <v>47</v>
      </c>
      <c r="L20" s="37"/>
      <c r="M20" s="37"/>
      <c r="N20" s="37"/>
      <c r="O20" s="38">
        <f>ROUND(30.7 / 100 * 44290 * 1, 0)</f>
        <v>13597</v>
      </c>
      <c r="P20" s="37"/>
    </row>
    <row r="21" spans="1:16" ht="15" customHeight="1">
      <c r="A21" s="4"/>
      <c r="B21" s="28" t="s">
        <v>50</v>
      </c>
      <c r="C21" s="28"/>
      <c r="D21" s="28"/>
      <c r="E21" s="28"/>
      <c r="F21" s="28"/>
      <c r="G21" s="28"/>
      <c r="H21" s="28"/>
      <c r="I21" s="28"/>
      <c r="J21" s="28"/>
      <c r="K21" s="28" t="s">
        <v>49</v>
      </c>
      <c r="L21" s="28"/>
      <c r="M21" s="28"/>
      <c r="N21" s="28"/>
      <c r="O21" s="39">
        <f>ROUND(SUM($O$18:$O$20),2)</f>
        <v>63730</v>
      </c>
      <c r="P21" s="28"/>
    </row>
    <row r="22" spans="1:16" ht="15" customHeight="1">
      <c r="A22" s="4"/>
      <c r="B22" s="28" t="s">
        <v>352</v>
      </c>
      <c r="C22" s="28"/>
      <c r="D22" s="28"/>
      <c r="E22" s="28"/>
      <c r="F22" s="28"/>
      <c r="G22" s="28"/>
      <c r="H22" s="28"/>
      <c r="I22" s="28"/>
      <c r="J22" s="28"/>
      <c r="K22" s="28"/>
      <c r="L22" s="28"/>
      <c r="M22" s="28"/>
      <c r="N22" s="28"/>
      <c r="O22" s="28"/>
      <c r="P22" s="28"/>
    </row>
    <row r="23" spans="1:16" ht="149.65" customHeight="1">
      <c r="A23" s="12">
        <v>2.1</v>
      </c>
      <c r="B23" s="36" t="s">
        <v>60</v>
      </c>
      <c r="C23" s="37"/>
      <c r="D23" s="37"/>
      <c r="E23" s="37"/>
      <c r="F23" s="37"/>
      <c r="G23" s="37" t="s">
        <v>61</v>
      </c>
      <c r="H23" s="37"/>
      <c r="I23" s="37"/>
      <c r="J23" s="37"/>
      <c r="K23" s="37" t="s">
        <v>62</v>
      </c>
      <c r="L23" s="37"/>
      <c r="M23" s="37"/>
      <c r="N23" s="37"/>
      <c r="O23" s="38">
        <f>ROUND((1218 + 1883 * 1.14) * 1, 0)</f>
        <v>3365</v>
      </c>
      <c r="P23" s="37"/>
    </row>
    <row r="24" spans="1:16" ht="135.94999999999999" customHeight="1">
      <c r="A24" s="12">
        <v>2.2000000000000002</v>
      </c>
      <c r="B24" s="36" t="s">
        <v>64</v>
      </c>
      <c r="C24" s="37"/>
      <c r="D24" s="37"/>
      <c r="E24" s="37"/>
      <c r="F24" s="37"/>
      <c r="G24" s="37" t="s">
        <v>65</v>
      </c>
      <c r="H24" s="37"/>
      <c r="I24" s="37"/>
      <c r="J24" s="37"/>
      <c r="K24" s="37" t="s">
        <v>66</v>
      </c>
      <c r="L24" s="37"/>
      <c r="M24" s="37"/>
      <c r="N24" s="37"/>
      <c r="O24" s="38">
        <v>19000</v>
      </c>
      <c r="P24" s="37"/>
    </row>
    <row r="25" spans="1:16" ht="149.65" customHeight="1">
      <c r="A25" s="6">
        <v>2.2999999999999998</v>
      </c>
      <c r="B25" s="36" t="s">
        <v>68</v>
      </c>
      <c r="C25" s="37"/>
      <c r="D25" s="37"/>
      <c r="E25" s="37"/>
      <c r="F25" s="37"/>
      <c r="G25" s="37" t="s">
        <v>69</v>
      </c>
      <c r="H25" s="37"/>
      <c r="I25" s="37"/>
      <c r="J25" s="37"/>
      <c r="K25" s="37" t="s">
        <v>70</v>
      </c>
      <c r="L25" s="37"/>
      <c r="M25" s="37"/>
      <c r="N25" s="37"/>
      <c r="O25" s="38">
        <f>ROUND((1392 + 2331 * 1) * 1.14, 0)</f>
        <v>4244</v>
      </c>
      <c r="P25" s="37"/>
    </row>
    <row r="26" spans="1:16" ht="135.94999999999999" customHeight="1">
      <c r="A26" s="6">
        <v>2.4</v>
      </c>
      <c r="B26" s="36" t="s">
        <v>64</v>
      </c>
      <c r="C26" s="37"/>
      <c r="D26" s="37"/>
      <c r="E26" s="37"/>
      <c r="F26" s="37"/>
      <c r="G26" s="37" t="s">
        <v>72</v>
      </c>
      <c r="H26" s="37"/>
      <c r="I26" s="37"/>
      <c r="J26" s="37"/>
      <c r="K26" s="37" t="s">
        <v>66</v>
      </c>
      <c r="L26" s="37"/>
      <c r="M26" s="37"/>
      <c r="N26" s="37"/>
      <c r="O26" s="38">
        <v>19000</v>
      </c>
      <c r="P26" s="37"/>
    </row>
    <row r="27" spans="1:16" ht="15" customHeight="1">
      <c r="A27" s="4"/>
      <c r="B27" s="28" t="s">
        <v>353</v>
      </c>
      <c r="C27" s="28"/>
      <c r="D27" s="28"/>
      <c r="E27" s="28"/>
      <c r="F27" s="28"/>
      <c r="G27" s="28"/>
      <c r="H27" s="28"/>
      <c r="I27" s="28"/>
      <c r="J27" s="28"/>
      <c r="K27" s="28" t="s">
        <v>49</v>
      </c>
      <c r="L27" s="28"/>
      <c r="M27" s="28"/>
      <c r="N27" s="28"/>
      <c r="O27" s="39">
        <f>ROUND(SUM($O$23:$O$26),2)</f>
        <v>45609</v>
      </c>
      <c r="P27" s="28"/>
    </row>
    <row r="28" spans="1:16" ht="27.2" customHeight="1">
      <c r="A28" s="4"/>
      <c r="B28" s="28" t="s">
        <v>354</v>
      </c>
      <c r="C28" s="28"/>
      <c r="D28" s="28"/>
      <c r="E28" s="28"/>
      <c r="F28" s="28"/>
      <c r="G28" s="28"/>
      <c r="H28" s="28"/>
      <c r="I28" s="28"/>
      <c r="J28" s="28"/>
      <c r="K28" s="28"/>
      <c r="L28" s="28"/>
      <c r="M28" s="28"/>
      <c r="N28" s="28"/>
      <c r="O28" s="28"/>
      <c r="P28" s="28"/>
    </row>
    <row r="29" spans="1:16" ht="135.94999999999999" customHeight="1">
      <c r="A29" s="6">
        <v>3.1</v>
      </c>
      <c r="B29" s="36" t="s">
        <v>79</v>
      </c>
      <c r="C29" s="37"/>
      <c r="D29" s="37"/>
      <c r="E29" s="37"/>
      <c r="F29" s="37"/>
      <c r="G29" s="37" t="s">
        <v>80</v>
      </c>
      <c r="H29" s="37"/>
      <c r="I29" s="37"/>
      <c r="J29" s="37"/>
      <c r="K29" s="37" t="s">
        <v>81</v>
      </c>
      <c r="L29" s="37"/>
      <c r="M29" s="37"/>
      <c r="N29" s="37"/>
      <c r="O29" s="38">
        <v>6205</v>
      </c>
      <c r="P29" s="37"/>
    </row>
    <row r="30" spans="1:16" ht="27.2" customHeight="1">
      <c r="A30" s="4"/>
      <c r="B30" s="28" t="s">
        <v>355</v>
      </c>
      <c r="C30" s="28"/>
      <c r="D30" s="28"/>
      <c r="E30" s="28"/>
      <c r="F30" s="28"/>
      <c r="G30" s="28"/>
      <c r="H30" s="28"/>
      <c r="I30" s="28"/>
      <c r="J30" s="28"/>
      <c r="K30" s="28" t="s">
        <v>49</v>
      </c>
      <c r="L30" s="28"/>
      <c r="M30" s="28"/>
      <c r="N30" s="28"/>
      <c r="O30" s="39">
        <f>ROUND($O$29,2)</f>
        <v>6205</v>
      </c>
      <c r="P30" s="28"/>
    </row>
    <row r="31" spans="1:16" ht="15" customHeight="1">
      <c r="A31" s="4">
        <v>4</v>
      </c>
      <c r="B31" s="28" t="s">
        <v>84</v>
      </c>
      <c r="C31" s="28"/>
      <c r="D31" s="28"/>
      <c r="E31" s="28"/>
      <c r="F31" s="28"/>
      <c r="G31" s="28"/>
      <c r="H31" s="28"/>
      <c r="I31" s="28"/>
      <c r="J31" s="28"/>
      <c r="K31" s="28" t="s">
        <v>49</v>
      </c>
      <c r="L31" s="28"/>
      <c r="M31" s="28"/>
      <c r="N31" s="28"/>
      <c r="O31" s="39">
        <f>O21+O27+O30</f>
        <v>115544</v>
      </c>
      <c r="P31" s="28"/>
    </row>
    <row r="32" spans="1:16" ht="40.9" customHeight="1">
      <c r="A32" s="4">
        <v>5</v>
      </c>
      <c r="B32" s="26" t="s">
        <v>85</v>
      </c>
      <c r="C32" s="26"/>
      <c r="D32" s="26"/>
      <c r="E32" s="26"/>
      <c r="F32" s="26"/>
      <c r="G32" s="26" t="s">
        <v>86</v>
      </c>
      <c r="H32" s="26"/>
      <c r="I32" s="26"/>
      <c r="J32" s="26"/>
      <c r="K32" s="26" t="s">
        <v>87</v>
      </c>
      <c r="L32" s="26"/>
      <c r="M32" s="26"/>
      <c r="N32" s="26"/>
      <c r="O32" s="40">
        <f>ROUND(($O$31) * 1.25,0)</f>
        <v>144430</v>
      </c>
      <c r="P32" s="26"/>
    </row>
    <row r="33" spans="1:16" ht="15" customHeight="1">
      <c r="A33" s="4">
        <v>6</v>
      </c>
      <c r="B33" s="28" t="s">
        <v>88</v>
      </c>
      <c r="C33" s="28"/>
      <c r="D33" s="28"/>
      <c r="E33" s="28"/>
      <c r="F33" s="28"/>
      <c r="G33" s="28"/>
      <c r="H33" s="28"/>
      <c r="I33" s="28"/>
      <c r="J33" s="28"/>
      <c r="K33" s="28" t="s">
        <v>49</v>
      </c>
      <c r="L33" s="28"/>
      <c r="M33" s="28"/>
      <c r="N33" s="28"/>
      <c r="O33" s="39">
        <f>ROUND(($O$32),2)</f>
        <v>144430</v>
      </c>
      <c r="P33" s="28"/>
    </row>
    <row r="34" spans="1:16" ht="15" customHeight="1"/>
    <row r="35" spans="1:16" ht="15" customHeight="1"/>
    <row r="36" spans="1:16" ht="15" customHeight="1">
      <c r="A36" s="21" t="s">
        <v>89</v>
      </c>
      <c r="B36" s="21"/>
      <c r="C36" s="21"/>
      <c r="D36" s="55" t="s">
        <v>373</v>
      </c>
      <c r="E36" s="41"/>
      <c r="F36" s="41"/>
      <c r="G36" s="41"/>
      <c r="H36" s="41"/>
      <c r="I36" s="41"/>
      <c r="J36" s="41"/>
      <c r="K36" s="41"/>
      <c r="L36" s="41"/>
      <c r="M36" s="41"/>
      <c r="N36" s="41"/>
      <c r="O36" s="41"/>
      <c r="P36" s="41"/>
    </row>
    <row r="37" spans="1:16" ht="15" customHeight="1">
      <c r="D37" s="35" t="s">
        <v>90</v>
      </c>
      <c r="E37" s="35"/>
      <c r="F37" s="35"/>
      <c r="G37" s="35"/>
      <c r="H37" s="35"/>
      <c r="I37" s="35"/>
      <c r="J37" s="35"/>
      <c r="K37" s="35"/>
      <c r="L37" s="35"/>
      <c r="M37" s="35"/>
      <c r="N37" s="35"/>
      <c r="O37" s="35"/>
      <c r="P37" s="35"/>
    </row>
    <row r="38" spans="1:16" ht="15" customHeight="1"/>
    <row r="39" spans="1:16" ht="15" customHeight="1"/>
    <row r="40" spans="1:16" ht="15" customHeight="1"/>
    <row r="41" spans="1:16" ht="15" customHeight="1"/>
    <row r="42" spans="1:16" ht="15" customHeight="1"/>
    <row r="43" spans="1:16" ht="15" customHeight="1"/>
    <row r="44" spans="1:16" ht="15" customHeight="1"/>
    <row r="45" spans="1:16" ht="15" customHeight="1"/>
  </sheetData>
  <mergeCells count="89">
    <mergeCell ref="L3:P3"/>
    <mergeCell ref="L4:P4"/>
    <mergeCell ref="O5:P5"/>
    <mergeCell ref="L6:P6"/>
    <mergeCell ref="B33:F33"/>
    <mergeCell ref="G33:J33"/>
    <mergeCell ref="K33:N33"/>
    <mergeCell ref="O33:P33"/>
    <mergeCell ref="A36:C36"/>
    <mergeCell ref="D36:P36"/>
    <mergeCell ref="D37:P37"/>
    <mergeCell ref="B31:F31"/>
    <mergeCell ref="G31:J31"/>
    <mergeCell ref="K31:N31"/>
    <mergeCell ref="O31:P31"/>
    <mergeCell ref="B32:F32"/>
    <mergeCell ref="G32:J32"/>
    <mergeCell ref="K32:N32"/>
    <mergeCell ref="O32:P32"/>
    <mergeCell ref="B29:F29"/>
    <mergeCell ref="G29:J29"/>
    <mergeCell ref="K29:N29"/>
    <mergeCell ref="O29:P29"/>
    <mergeCell ref="B30:F30"/>
    <mergeCell ref="G30:J30"/>
    <mergeCell ref="K30:N30"/>
    <mergeCell ref="O30:P30"/>
    <mergeCell ref="B27:F27"/>
    <mergeCell ref="G27:J27"/>
    <mergeCell ref="K27:N27"/>
    <mergeCell ref="O27:P27"/>
    <mergeCell ref="B28:F28"/>
    <mergeCell ref="G28:J28"/>
    <mergeCell ref="K28:N28"/>
    <mergeCell ref="O28:P28"/>
    <mergeCell ref="B25:F25"/>
    <mergeCell ref="G25:J25"/>
    <mergeCell ref="K25:N25"/>
    <mergeCell ref="O25:P25"/>
    <mergeCell ref="B26:F26"/>
    <mergeCell ref="G26:J26"/>
    <mergeCell ref="K26:N26"/>
    <mergeCell ref="O26:P26"/>
    <mergeCell ref="B23:F23"/>
    <mergeCell ref="G23:J23"/>
    <mergeCell ref="K23:N23"/>
    <mergeCell ref="O23:P23"/>
    <mergeCell ref="B24:F24"/>
    <mergeCell ref="G24:J24"/>
    <mergeCell ref="K24:N24"/>
    <mergeCell ref="O24:P24"/>
    <mergeCell ref="B21:F21"/>
    <mergeCell ref="G21:J21"/>
    <mergeCell ref="K21:N21"/>
    <mergeCell ref="O21:P21"/>
    <mergeCell ref="B22:F22"/>
    <mergeCell ref="G22:J22"/>
    <mergeCell ref="K22:N22"/>
    <mergeCell ref="O22:P22"/>
    <mergeCell ref="B19:F19"/>
    <mergeCell ref="G19:J19"/>
    <mergeCell ref="K19:N19"/>
    <mergeCell ref="O19:P19"/>
    <mergeCell ref="B20:F20"/>
    <mergeCell ref="G20:J20"/>
    <mergeCell ref="K20:N20"/>
    <mergeCell ref="O20:P20"/>
    <mergeCell ref="B17:F17"/>
    <mergeCell ref="G17:J17"/>
    <mergeCell ref="K17:N17"/>
    <mergeCell ref="O17:P17"/>
    <mergeCell ref="B18:F18"/>
    <mergeCell ref="G18:J18"/>
    <mergeCell ref="K18:N18"/>
    <mergeCell ref="O18:P18"/>
    <mergeCell ref="A13:P13"/>
    <mergeCell ref="B15:F15"/>
    <mergeCell ref="B16:F16"/>
    <mergeCell ref="G15:J15"/>
    <mergeCell ref="G16:J16"/>
    <mergeCell ref="K15:N15"/>
    <mergeCell ref="K16:N16"/>
    <mergeCell ref="O15:P15"/>
    <mergeCell ref="O16:P16"/>
    <mergeCell ref="A1:D1"/>
    <mergeCell ref="E1:P1"/>
    <mergeCell ref="A9:P9"/>
    <mergeCell ref="A10:P10"/>
    <mergeCell ref="A12:P12"/>
  </mergeCells>
  <pageMargins left="0.4" right="0.4" top="0.75" bottom="0.75" header="0.3" footer="0.3"/>
  <pageSetup paperSize="9" scale="75" orientation="portrait" r:id="rId1"/>
</worksheet>
</file>

<file path=xl/worksheets/sheet3.xml><?xml version="1.0" encoding="utf-8"?>
<worksheet xmlns="http://schemas.openxmlformats.org/spreadsheetml/2006/main" xmlns:r="http://schemas.openxmlformats.org/officeDocument/2006/relationships">
  <dimension ref="A1:AX89"/>
  <sheetViews>
    <sheetView showRuler="0" view="pageBreakPreview" zoomScale="60" zoomScaleNormal="100" workbookViewId="0">
      <selection activeCell="A2" sqref="A2:XFD6"/>
    </sheetView>
  </sheetViews>
  <sheetFormatPr defaultRowHeight="15"/>
  <cols>
    <col min="1" max="1" width="6.42578125" style="1" customWidth="1"/>
    <col min="2" max="50" width="8" style="1" customWidth="1"/>
  </cols>
  <sheetData>
    <row r="1" spans="1:50" ht="15.75" customHeight="1">
      <c r="A1" s="17" t="s">
        <v>368</v>
      </c>
      <c r="B1" s="17"/>
      <c r="C1" s="17"/>
      <c r="D1" s="17"/>
      <c r="E1" s="18" t="s">
        <v>368</v>
      </c>
      <c r="F1" s="18"/>
      <c r="G1" s="18"/>
      <c r="H1" s="18"/>
      <c r="I1" s="18"/>
      <c r="J1" s="18"/>
      <c r="K1" s="18"/>
      <c r="L1" s="18"/>
      <c r="M1" s="18"/>
      <c r="N1" s="18"/>
      <c r="O1" s="18"/>
      <c r="P1" s="18"/>
    </row>
    <row r="2" spans="1:50" ht="15.75" customHeight="1">
      <c r="A2" s="59"/>
      <c r="B2" s="15"/>
      <c r="C2" s="15"/>
      <c r="D2" s="15"/>
      <c r="E2" s="16"/>
      <c r="F2" s="16"/>
      <c r="G2" s="16"/>
      <c r="H2" s="16"/>
      <c r="I2" s="16"/>
      <c r="J2" s="16"/>
      <c r="K2" s="16"/>
      <c r="L2" s="33" t="s">
        <v>362</v>
      </c>
      <c r="M2" s="33"/>
      <c r="N2" s="33"/>
      <c r="O2" s="33"/>
      <c r="P2" s="33"/>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row>
    <row r="3" spans="1:50" ht="30.75" customHeight="1">
      <c r="A3" s="59"/>
      <c r="B3" s="15"/>
      <c r="C3" s="15"/>
      <c r="D3" s="15"/>
      <c r="E3" s="16"/>
      <c r="F3" s="16"/>
      <c r="G3" s="16"/>
      <c r="H3" s="16"/>
      <c r="I3" s="16"/>
      <c r="J3" s="16"/>
      <c r="K3" s="16"/>
      <c r="L3" s="21" t="s">
        <v>363</v>
      </c>
      <c r="M3" s="21"/>
      <c r="N3" s="21"/>
      <c r="O3" s="21"/>
      <c r="P3" s="21"/>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row>
    <row r="4" spans="1:50" ht="35.25" customHeight="1">
      <c r="A4" s="59"/>
      <c r="B4" s="15"/>
      <c r="C4" s="15"/>
      <c r="D4" s="15"/>
      <c r="E4" s="16"/>
      <c r="F4" s="16"/>
      <c r="G4" s="16"/>
      <c r="H4" s="16"/>
      <c r="I4" s="16"/>
      <c r="J4" s="16"/>
      <c r="K4" s="16"/>
      <c r="L4" s="48"/>
      <c r="M4" s="48"/>
      <c r="N4" s="48"/>
      <c r="O4" s="49" t="s">
        <v>364</v>
      </c>
      <c r="P4" s="50"/>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row>
    <row r="5" spans="1:50" ht="21" customHeight="1">
      <c r="A5" s="59"/>
      <c r="B5" s="15"/>
      <c r="C5" s="15"/>
      <c r="D5" s="15"/>
      <c r="E5" s="16"/>
      <c r="F5" s="16"/>
      <c r="G5" s="16"/>
      <c r="H5" s="16"/>
      <c r="I5" s="16"/>
      <c r="J5" s="16"/>
      <c r="K5" s="16"/>
      <c r="L5" s="53" t="s">
        <v>365</v>
      </c>
      <c r="M5" s="53"/>
      <c r="N5" s="53"/>
      <c r="O5" s="53"/>
      <c r="P5" s="53"/>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row>
    <row r="6" spans="1:50" ht="16.5" customHeight="1">
      <c r="A6" s="59"/>
      <c r="B6" s="15"/>
      <c r="C6" s="15"/>
      <c r="D6" s="15"/>
      <c r="E6" s="16"/>
      <c r="F6" s="16"/>
      <c r="G6" s="16"/>
      <c r="H6" s="16"/>
      <c r="I6" s="16"/>
      <c r="J6" s="16"/>
      <c r="K6" s="16"/>
      <c r="L6" s="51" t="s">
        <v>366</v>
      </c>
      <c r="M6" s="16"/>
      <c r="N6" s="16"/>
      <c r="O6" s="16"/>
      <c r="P6" s="16"/>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row>
    <row r="7" spans="1:50" ht="15" customHeight="1">
      <c r="A7" s="14"/>
      <c r="B7" s="14"/>
      <c r="C7" s="14"/>
      <c r="D7" s="14"/>
      <c r="E7" s="14"/>
      <c r="F7" s="14"/>
      <c r="G7" s="14"/>
      <c r="H7" s="14"/>
      <c r="I7" s="14"/>
      <c r="J7" s="14"/>
      <c r="K7" s="14"/>
      <c r="L7" s="14"/>
      <c r="M7" s="14"/>
      <c r="N7" s="14"/>
      <c r="O7" s="14"/>
      <c r="P7" s="14"/>
    </row>
    <row r="8" spans="1:50" ht="15" customHeight="1">
      <c r="A8" s="33" t="s">
        <v>91</v>
      </c>
      <c r="B8" s="33"/>
      <c r="C8" s="33"/>
      <c r="D8" s="33"/>
      <c r="E8" s="33"/>
      <c r="F8" s="33"/>
      <c r="G8" s="33"/>
      <c r="H8" s="33"/>
      <c r="I8" s="33"/>
      <c r="J8" s="33"/>
      <c r="K8" s="33"/>
      <c r="L8" s="33"/>
      <c r="M8" s="33"/>
      <c r="N8" s="33"/>
      <c r="O8" s="33"/>
      <c r="P8" s="33"/>
    </row>
    <row r="9" spans="1:50" ht="15" customHeight="1">
      <c r="A9" s="34" t="s">
        <v>29</v>
      </c>
      <c r="B9" s="34"/>
      <c r="C9" s="34"/>
      <c r="D9" s="34"/>
      <c r="E9" s="34"/>
      <c r="F9" s="34"/>
      <c r="G9" s="34"/>
      <c r="H9" s="34"/>
      <c r="I9" s="34"/>
      <c r="J9" s="34"/>
      <c r="K9" s="34"/>
      <c r="L9" s="34"/>
      <c r="M9" s="34"/>
      <c r="N9" s="34"/>
      <c r="O9" s="34"/>
      <c r="P9" s="34"/>
    </row>
    <row r="10" spans="1:50" ht="15" customHeight="1">
      <c r="A10" s="14"/>
      <c r="B10" s="14"/>
      <c r="C10" s="14"/>
      <c r="D10" s="14"/>
      <c r="E10" s="14"/>
      <c r="F10" s="14"/>
      <c r="G10" s="14"/>
      <c r="H10" s="14"/>
      <c r="I10" s="14"/>
      <c r="J10" s="14"/>
      <c r="K10" s="14"/>
      <c r="L10" s="14"/>
      <c r="M10" s="14"/>
      <c r="N10" s="14"/>
      <c r="O10" s="14"/>
      <c r="P10" s="14"/>
    </row>
    <row r="11" spans="1:50" ht="15" customHeight="1">
      <c r="A11" s="33" t="s">
        <v>11</v>
      </c>
      <c r="B11" s="33"/>
      <c r="C11" s="33"/>
      <c r="D11" s="33"/>
      <c r="E11" s="33"/>
      <c r="F11" s="33"/>
      <c r="G11" s="33"/>
      <c r="H11" s="33"/>
      <c r="I11" s="33"/>
      <c r="J11" s="33"/>
      <c r="K11" s="33"/>
      <c r="L11" s="33"/>
      <c r="M11" s="33"/>
      <c r="N11" s="33"/>
      <c r="O11" s="33"/>
      <c r="P11" s="33"/>
    </row>
    <row r="12" spans="1:50" ht="15" customHeight="1">
      <c r="A12" s="35" t="s">
        <v>30</v>
      </c>
      <c r="B12" s="35"/>
      <c r="C12" s="35"/>
      <c r="D12" s="35"/>
      <c r="E12" s="35"/>
      <c r="F12" s="35"/>
      <c r="G12" s="35"/>
      <c r="H12" s="35"/>
      <c r="I12" s="35"/>
      <c r="J12" s="35"/>
      <c r="K12" s="35"/>
      <c r="L12" s="35"/>
      <c r="M12" s="35"/>
      <c r="N12" s="35"/>
      <c r="O12" s="35"/>
      <c r="P12" s="35"/>
    </row>
    <row r="13" spans="1:50" ht="15" customHeight="1"/>
    <row r="14" spans="1:50" ht="122.45" customHeight="1">
      <c r="A14" s="2" t="s">
        <v>31</v>
      </c>
      <c r="B14" s="25" t="s">
        <v>32</v>
      </c>
      <c r="C14" s="25"/>
      <c r="D14" s="25"/>
      <c r="E14" s="25"/>
      <c r="F14" s="25"/>
      <c r="G14" s="25" t="s">
        <v>33</v>
      </c>
      <c r="H14" s="25"/>
      <c r="I14" s="25"/>
      <c r="J14" s="25"/>
      <c r="K14" s="25" t="s">
        <v>34</v>
      </c>
      <c r="L14" s="25"/>
      <c r="M14" s="25"/>
      <c r="N14" s="25"/>
      <c r="O14" s="25" t="s">
        <v>92</v>
      </c>
      <c r="P14" s="25"/>
    </row>
    <row r="15" spans="1:50" ht="15" customHeight="1">
      <c r="A15" s="2">
        <v>1</v>
      </c>
      <c r="B15" s="25">
        <v>2</v>
      </c>
      <c r="C15" s="25"/>
      <c r="D15" s="25"/>
      <c r="E15" s="25"/>
      <c r="F15" s="25"/>
      <c r="G15" s="25">
        <v>3</v>
      </c>
      <c r="H15" s="25"/>
      <c r="I15" s="25"/>
      <c r="J15" s="25"/>
      <c r="K15" s="25">
        <v>4</v>
      </c>
      <c r="L15" s="25"/>
      <c r="M15" s="25"/>
      <c r="N15" s="25"/>
      <c r="O15" s="25">
        <v>5</v>
      </c>
      <c r="P15" s="25"/>
    </row>
    <row r="16" spans="1:50" ht="15" customHeight="1">
      <c r="A16" s="4"/>
      <c r="B16" s="28" t="s">
        <v>35</v>
      </c>
      <c r="C16" s="28"/>
      <c r="D16" s="28"/>
      <c r="E16" s="28"/>
      <c r="F16" s="28"/>
      <c r="G16" s="28"/>
      <c r="H16" s="28"/>
      <c r="I16" s="28"/>
      <c r="J16" s="28"/>
      <c r="K16" s="28"/>
      <c r="L16" s="28"/>
      <c r="M16" s="28"/>
      <c r="N16" s="28"/>
      <c r="O16" s="28"/>
      <c r="P16" s="28"/>
    </row>
    <row r="17" spans="1:16" ht="135.94999999999999" customHeight="1">
      <c r="A17" s="6" t="s">
        <v>36</v>
      </c>
      <c r="B17" s="36" t="s">
        <v>93</v>
      </c>
      <c r="C17" s="37"/>
      <c r="D17" s="37"/>
      <c r="E17" s="37"/>
      <c r="F17" s="37"/>
      <c r="G17" s="37" t="s">
        <v>94</v>
      </c>
      <c r="H17" s="37"/>
      <c r="I17" s="37"/>
      <c r="J17" s="37"/>
      <c r="K17" s="37" t="s">
        <v>95</v>
      </c>
      <c r="L17" s="37"/>
      <c r="M17" s="37"/>
      <c r="N17" s="37"/>
      <c r="O17" s="42">
        <f>ROUND(2967 * 6 * 1, 0)</f>
        <v>17802</v>
      </c>
      <c r="P17" s="37"/>
    </row>
    <row r="18" spans="1:16" ht="15" customHeight="1">
      <c r="A18" s="7"/>
      <c r="B18" s="43" t="s">
        <v>96</v>
      </c>
      <c r="C18" s="43"/>
      <c r="D18" s="43"/>
      <c r="E18" s="43"/>
      <c r="F18" s="43"/>
      <c r="G18" s="43" t="s">
        <v>49</v>
      </c>
      <c r="H18" s="43"/>
      <c r="I18" s="43"/>
      <c r="J18" s="43"/>
      <c r="K18" s="43" t="s">
        <v>49</v>
      </c>
      <c r="L18" s="43"/>
      <c r="M18" s="43"/>
      <c r="N18" s="43"/>
      <c r="O18" s="43"/>
      <c r="P18" s="43"/>
    </row>
    <row r="19" spans="1:16" ht="15" customHeight="1">
      <c r="A19" s="8"/>
      <c r="B19" s="44" t="s">
        <v>97</v>
      </c>
      <c r="C19" s="44"/>
      <c r="D19" s="44"/>
      <c r="E19" s="44"/>
      <c r="F19" s="44"/>
      <c r="G19" s="44" t="s">
        <v>98</v>
      </c>
      <c r="H19" s="44"/>
      <c r="I19" s="44"/>
      <c r="J19" s="44"/>
      <c r="K19" s="44" t="s">
        <v>49</v>
      </c>
      <c r="L19" s="44"/>
      <c r="M19" s="44"/>
      <c r="N19" s="44"/>
      <c r="O19" s="44"/>
      <c r="P19" s="44"/>
    </row>
    <row r="20" spans="1:16" ht="122.45" customHeight="1">
      <c r="A20" s="6" t="s">
        <v>40</v>
      </c>
      <c r="B20" s="36" t="s">
        <v>99</v>
      </c>
      <c r="C20" s="37"/>
      <c r="D20" s="37"/>
      <c r="E20" s="37"/>
      <c r="F20" s="37"/>
      <c r="G20" s="37" t="s">
        <v>100</v>
      </c>
      <c r="H20" s="37"/>
      <c r="I20" s="37"/>
      <c r="J20" s="37"/>
      <c r="K20" s="37" t="s">
        <v>101</v>
      </c>
      <c r="L20" s="37"/>
      <c r="M20" s="37"/>
      <c r="N20" s="37"/>
      <c r="O20" s="42">
        <f>ROUND(3862 * 90 * 1, 0)</f>
        <v>347580</v>
      </c>
      <c r="P20" s="37"/>
    </row>
    <row r="21" spans="1:16" ht="15" customHeight="1">
      <c r="A21" s="7"/>
      <c r="B21" s="43" t="s">
        <v>96</v>
      </c>
      <c r="C21" s="43"/>
      <c r="D21" s="43"/>
      <c r="E21" s="43"/>
      <c r="F21" s="43"/>
      <c r="G21" s="43" t="s">
        <v>49</v>
      </c>
      <c r="H21" s="43"/>
      <c r="I21" s="43"/>
      <c r="J21" s="43"/>
      <c r="K21" s="43" t="s">
        <v>49</v>
      </c>
      <c r="L21" s="43"/>
      <c r="M21" s="43"/>
      <c r="N21" s="43"/>
      <c r="O21" s="43"/>
      <c r="P21" s="43"/>
    </row>
    <row r="22" spans="1:16" ht="15" customHeight="1">
      <c r="A22" s="8"/>
      <c r="B22" s="44" t="s">
        <v>97</v>
      </c>
      <c r="C22" s="44"/>
      <c r="D22" s="44"/>
      <c r="E22" s="44"/>
      <c r="F22" s="44"/>
      <c r="G22" s="44" t="s">
        <v>98</v>
      </c>
      <c r="H22" s="44"/>
      <c r="I22" s="44"/>
      <c r="J22" s="44"/>
      <c r="K22" s="44" t="s">
        <v>49</v>
      </c>
      <c r="L22" s="44"/>
      <c r="M22" s="44"/>
      <c r="N22" s="44"/>
      <c r="O22" s="44"/>
      <c r="P22" s="44"/>
    </row>
    <row r="23" spans="1:16" ht="163.15" customHeight="1">
      <c r="A23" s="6" t="s">
        <v>44</v>
      </c>
      <c r="B23" s="36" t="s">
        <v>102</v>
      </c>
      <c r="C23" s="37"/>
      <c r="D23" s="37"/>
      <c r="E23" s="37"/>
      <c r="F23" s="37"/>
      <c r="G23" s="37" t="s">
        <v>103</v>
      </c>
      <c r="H23" s="37"/>
      <c r="I23" s="37"/>
      <c r="J23" s="37"/>
      <c r="K23" s="37" t="s">
        <v>104</v>
      </c>
      <c r="L23" s="37"/>
      <c r="M23" s="37"/>
      <c r="N23" s="37"/>
      <c r="O23" s="42">
        <f>ROUND((365.382 * ((24.7 + (7.4 - 24.7) / (1000 - 300) * (365.382 - 300)) / 100) * 1 * 1) * 1000, 0)</f>
        <v>84345</v>
      </c>
      <c r="P23" s="37"/>
    </row>
    <row r="24" spans="1:16" ht="15" customHeight="1">
      <c r="A24" s="7"/>
      <c r="B24" s="43" t="s">
        <v>96</v>
      </c>
      <c r="C24" s="43"/>
      <c r="D24" s="43"/>
      <c r="E24" s="43"/>
      <c r="F24" s="43"/>
      <c r="G24" s="43" t="s">
        <v>49</v>
      </c>
      <c r="H24" s="43"/>
      <c r="I24" s="43"/>
      <c r="J24" s="43"/>
      <c r="K24" s="43" t="s">
        <v>49</v>
      </c>
      <c r="L24" s="43"/>
      <c r="M24" s="43"/>
      <c r="N24" s="43"/>
      <c r="O24" s="43"/>
      <c r="P24" s="43"/>
    </row>
    <row r="25" spans="1:16" ht="15" customHeight="1">
      <c r="A25" s="8"/>
      <c r="B25" s="44" t="s">
        <v>97</v>
      </c>
      <c r="C25" s="44"/>
      <c r="D25" s="44"/>
      <c r="E25" s="44"/>
      <c r="F25" s="44"/>
      <c r="G25" s="44" t="s">
        <v>98</v>
      </c>
      <c r="H25" s="44"/>
      <c r="I25" s="44"/>
      <c r="J25" s="44"/>
      <c r="K25" s="44" t="s">
        <v>49</v>
      </c>
      <c r="L25" s="44"/>
      <c r="M25" s="44"/>
      <c r="N25" s="44"/>
      <c r="O25" s="44"/>
      <c r="P25" s="44"/>
    </row>
    <row r="26" spans="1:16" ht="15" customHeight="1">
      <c r="A26" s="4"/>
      <c r="B26" s="28" t="s">
        <v>50</v>
      </c>
      <c r="C26" s="28"/>
      <c r="D26" s="28"/>
      <c r="E26" s="28"/>
      <c r="F26" s="28"/>
      <c r="G26" s="28"/>
      <c r="H26" s="28"/>
      <c r="I26" s="28"/>
      <c r="J26" s="28"/>
      <c r="K26" s="28" t="s">
        <v>49</v>
      </c>
      <c r="L26" s="28"/>
      <c r="M26" s="28"/>
      <c r="N26" s="28"/>
      <c r="O26" s="45">
        <f>ROUND(SUM($O$17:$O$23),0)</f>
        <v>449727</v>
      </c>
      <c r="P26" s="28"/>
    </row>
    <row r="27" spans="1:16" ht="15" customHeight="1">
      <c r="A27" s="4"/>
      <c r="B27" s="28" t="s">
        <v>52</v>
      </c>
      <c r="C27" s="28"/>
      <c r="D27" s="28"/>
      <c r="E27" s="28"/>
      <c r="F27" s="28"/>
      <c r="G27" s="28"/>
      <c r="H27" s="28"/>
      <c r="I27" s="28"/>
      <c r="J27" s="28"/>
      <c r="K27" s="28" t="s">
        <v>49</v>
      </c>
      <c r="L27" s="28"/>
      <c r="M27" s="28"/>
      <c r="N27" s="28"/>
      <c r="O27" s="45">
        <f>ROUND(($O$26),0)</f>
        <v>449727</v>
      </c>
      <c r="P27" s="28"/>
    </row>
    <row r="28" spans="1:16" ht="15" customHeight="1">
      <c r="A28" s="4"/>
      <c r="B28" s="28" t="s">
        <v>53</v>
      </c>
      <c r="C28" s="28"/>
      <c r="D28" s="28"/>
      <c r="E28" s="28"/>
      <c r="F28" s="28"/>
      <c r="G28" s="28"/>
      <c r="H28" s="28"/>
      <c r="I28" s="28"/>
      <c r="J28" s="28"/>
      <c r="K28" s="28"/>
      <c r="L28" s="28"/>
      <c r="M28" s="28"/>
      <c r="N28" s="28"/>
      <c r="O28" s="28"/>
      <c r="P28" s="28"/>
    </row>
    <row r="29" spans="1:16" ht="108.75" customHeight="1">
      <c r="A29" s="6" t="s">
        <v>54</v>
      </c>
      <c r="B29" s="36" t="s">
        <v>105</v>
      </c>
      <c r="C29" s="37"/>
      <c r="D29" s="37"/>
      <c r="E29" s="37"/>
      <c r="F29" s="37"/>
      <c r="G29" s="37" t="s">
        <v>106</v>
      </c>
      <c r="H29" s="37"/>
      <c r="I29" s="37"/>
      <c r="J29" s="37"/>
      <c r="K29" s="37" t="s">
        <v>107</v>
      </c>
      <c r="L29" s="37"/>
      <c r="M29" s="37"/>
      <c r="N29" s="37"/>
      <c r="O29" s="42">
        <f>ROUND(229 * 10 * 1, 0)</f>
        <v>2290</v>
      </c>
      <c r="P29" s="37"/>
    </row>
    <row r="30" spans="1:16" ht="15" customHeight="1">
      <c r="A30" s="7"/>
      <c r="B30" s="43" t="s">
        <v>96</v>
      </c>
      <c r="C30" s="43"/>
      <c r="D30" s="43"/>
      <c r="E30" s="43"/>
      <c r="F30" s="43"/>
      <c r="G30" s="43" t="s">
        <v>49</v>
      </c>
      <c r="H30" s="43"/>
      <c r="I30" s="43"/>
      <c r="J30" s="43"/>
      <c r="K30" s="43" t="s">
        <v>49</v>
      </c>
      <c r="L30" s="43"/>
      <c r="M30" s="43"/>
      <c r="N30" s="43"/>
      <c r="O30" s="43"/>
      <c r="P30" s="43"/>
    </row>
    <row r="31" spans="1:16" ht="15" customHeight="1">
      <c r="A31" s="8"/>
      <c r="B31" s="44" t="s">
        <v>97</v>
      </c>
      <c r="C31" s="44"/>
      <c r="D31" s="44"/>
      <c r="E31" s="44"/>
      <c r="F31" s="44"/>
      <c r="G31" s="44" t="s">
        <v>98</v>
      </c>
      <c r="H31" s="44"/>
      <c r="I31" s="44"/>
      <c r="J31" s="44"/>
      <c r="K31" s="44" t="s">
        <v>49</v>
      </c>
      <c r="L31" s="44"/>
      <c r="M31" s="44"/>
      <c r="N31" s="44"/>
      <c r="O31" s="44"/>
      <c r="P31" s="44"/>
    </row>
    <row r="32" spans="1:16" ht="163.15" customHeight="1">
      <c r="A32" s="6" t="s">
        <v>56</v>
      </c>
      <c r="B32" s="36" t="s">
        <v>108</v>
      </c>
      <c r="C32" s="37"/>
      <c r="D32" s="37"/>
      <c r="E32" s="37"/>
      <c r="F32" s="37"/>
      <c r="G32" s="37" t="s">
        <v>109</v>
      </c>
      <c r="H32" s="37"/>
      <c r="I32" s="37"/>
      <c r="J32" s="37"/>
      <c r="K32" s="37" t="s">
        <v>110</v>
      </c>
      <c r="L32" s="37"/>
      <c r="M32" s="37"/>
      <c r="N32" s="37"/>
      <c r="O32" s="42">
        <f>ROUND(917 * 8 * 1, 0)</f>
        <v>7336</v>
      </c>
      <c r="P32" s="37"/>
    </row>
    <row r="33" spans="1:16" ht="15" customHeight="1">
      <c r="A33" s="7"/>
      <c r="B33" s="43" t="s">
        <v>96</v>
      </c>
      <c r="C33" s="43"/>
      <c r="D33" s="43"/>
      <c r="E33" s="43"/>
      <c r="F33" s="43"/>
      <c r="G33" s="43" t="s">
        <v>49</v>
      </c>
      <c r="H33" s="43"/>
      <c r="I33" s="43"/>
      <c r="J33" s="43"/>
      <c r="K33" s="43" t="s">
        <v>49</v>
      </c>
      <c r="L33" s="43"/>
      <c r="M33" s="43"/>
      <c r="N33" s="43"/>
      <c r="O33" s="43"/>
      <c r="P33" s="43"/>
    </row>
    <row r="34" spans="1:16" ht="15" customHeight="1">
      <c r="A34" s="8"/>
      <c r="B34" s="44" t="s">
        <v>97</v>
      </c>
      <c r="C34" s="44"/>
      <c r="D34" s="44"/>
      <c r="E34" s="44"/>
      <c r="F34" s="44"/>
      <c r="G34" s="44" t="s">
        <v>98</v>
      </c>
      <c r="H34" s="44"/>
      <c r="I34" s="44"/>
      <c r="J34" s="44"/>
      <c r="K34" s="44" t="s">
        <v>49</v>
      </c>
      <c r="L34" s="44"/>
      <c r="M34" s="44"/>
      <c r="N34" s="44"/>
      <c r="O34" s="44"/>
      <c r="P34" s="44"/>
    </row>
    <row r="35" spans="1:16" ht="108.75" customHeight="1">
      <c r="A35" s="6" t="s">
        <v>111</v>
      </c>
      <c r="B35" s="36" t="s">
        <v>112</v>
      </c>
      <c r="C35" s="37"/>
      <c r="D35" s="37"/>
      <c r="E35" s="37"/>
      <c r="F35" s="37"/>
      <c r="G35" s="37" t="s">
        <v>113</v>
      </c>
      <c r="H35" s="37"/>
      <c r="I35" s="37"/>
      <c r="J35" s="37"/>
      <c r="K35" s="37" t="s">
        <v>114</v>
      </c>
      <c r="L35" s="37"/>
      <c r="M35" s="37"/>
      <c r="N35" s="37"/>
      <c r="O35" s="42">
        <f>ROUND(512 * 10 * 1, 0)</f>
        <v>5120</v>
      </c>
      <c r="P35" s="37"/>
    </row>
    <row r="36" spans="1:16" ht="15" customHeight="1">
      <c r="A36" s="7"/>
      <c r="B36" s="43" t="s">
        <v>96</v>
      </c>
      <c r="C36" s="43"/>
      <c r="D36" s="43"/>
      <c r="E36" s="43"/>
      <c r="F36" s="43"/>
      <c r="G36" s="43" t="s">
        <v>49</v>
      </c>
      <c r="H36" s="43"/>
      <c r="I36" s="43"/>
      <c r="J36" s="43"/>
      <c r="K36" s="43" t="s">
        <v>49</v>
      </c>
      <c r="L36" s="43"/>
      <c r="M36" s="43"/>
      <c r="N36" s="43"/>
      <c r="O36" s="43"/>
      <c r="P36" s="43"/>
    </row>
    <row r="37" spans="1:16" ht="15" customHeight="1">
      <c r="A37" s="8"/>
      <c r="B37" s="44" t="s">
        <v>97</v>
      </c>
      <c r="C37" s="44"/>
      <c r="D37" s="44"/>
      <c r="E37" s="44"/>
      <c r="F37" s="44"/>
      <c r="G37" s="44" t="s">
        <v>98</v>
      </c>
      <c r="H37" s="44"/>
      <c r="I37" s="44"/>
      <c r="J37" s="44"/>
      <c r="K37" s="44" t="s">
        <v>49</v>
      </c>
      <c r="L37" s="44"/>
      <c r="M37" s="44"/>
      <c r="N37" s="44"/>
      <c r="O37" s="44"/>
      <c r="P37" s="44"/>
    </row>
    <row r="38" spans="1:16" ht="108.75" customHeight="1">
      <c r="A38" s="6" t="s">
        <v>115</v>
      </c>
      <c r="B38" s="36" t="s">
        <v>105</v>
      </c>
      <c r="C38" s="37"/>
      <c r="D38" s="37"/>
      <c r="E38" s="37"/>
      <c r="F38" s="37"/>
      <c r="G38" s="37" t="s">
        <v>116</v>
      </c>
      <c r="H38" s="37"/>
      <c r="I38" s="37"/>
      <c r="J38" s="37"/>
      <c r="K38" s="37" t="s">
        <v>117</v>
      </c>
      <c r="L38" s="37"/>
      <c r="M38" s="37"/>
      <c r="N38" s="37"/>
      <c r="O38" s="42">
        <f>ROUND(229 * 20 * 1, 0)</f>
        <v>4580</v>
      </c>
      <c r="P38" s="37"/>
    </row>
    <row r="39" spans="1:16" ht="15" customHeight="1">
      <c r="A39" s="7"/>
      <c r="B39" s="43" t="s">
        <v>96</v>
      </c>
      <c r="C39" s="43"/>
      <c r="D39" s="43"/>
      <c r="E39" s="43"/>
      <c r="F39" s="43"/>
      <c r="G39" s="43" t="s">
        <v>49</v>
      </c>
      <c r="H39" s="43"/>
      <c r="I39" s="43"/>
      <c r="J39" s="43"/>
      <c r="K39" s="43" t="s">
        <v>49</v>
      </c>
      <c r="L39" s="43"/>
      <c r="M39" s="43"/>
      <c r="N39" s="43"/>
      <c r="O39" s="43"/>
      <c r="P39" s="43"/>
    </row>
    <row r="40" spans="1:16" ht="15" customHeight="1">
      <c r="A40" s="8"/>
      <c r="B40" s="44" t="s">
        <v>97</v>
      </c>
      <c r="C40" s="44"/>
      <c r="D40" s="44"/>
      <c r="E40" s="44"/>
      <c r="F40" s="44"/>
      <c r="G40" s="44" t="s">
        <v>98</v>
      </c>
      <c r="H40" s="44"/>
      <c r="I40" s="44"/>
      <c r="J40" s="44"/>
      <c r="K40" s="44" t="s">
        <v>49</v>
      </c>
      <c r="L40" s="44"/>
      <c r="M40" s="44"/>
      <c r="N40" s="44"/>
      <c r="O40" s="44"/>
      <c r="P40" s="44"/>
    </row>
    <row r="41" spans="1:16" ht="135.94999999999999" customHeight="1">
      <c r="A41" s="6" t="s">
        <v>118</v>
      </c>
      <c r="B41" s="36" t="s">
        <v>119</v>
      </c>
      <c r="C41" s="37"/>
      <c r="D41" s="37"/>
      <c r="E41" s="37"/>
      <c r="F41" s="37"/>
      <c r="G41" s="37" t="s">
        <v>120</v>
      </c>
      <c r="H41" s="37"/>
      <c r="I41" s="37"/>
      <c r="J41" s="37"/>
      <c r="K41" s="37" t="s">
        <v>121</v>
      </c>
      <c r="L41" s="37"/>
      <c r="M41" s="37"/>
      <c r="N41" s="37"/>
      <c r="O41" s="42">
        <f>ROUND(1676 * 18 * 1, 0)</f>
        <v>30168</v>
      </c>
      <c r="P41" s="37"/>
    </row>
    <row r="42" spans="1:16" ht="15" customHeight="1">
      <c r="A42" s="7"/>
      <c r="B42" s="43" t="s">
        <v>96</v>
      </c>
      <c r="C42" s="43"/>
      <c r="D42" s="43"/>
      <c r="E42" s="43"/>
      <c r="F42" s="43"/>
      <c r="G42" s="43" t="s">
        <v>49</v>
      </c>
      <c r="H42" s="43"/>
      <c r="I42" s="43"/>
      <c r="J42" s="43"/>
      <c r="K42" s="43" t="s">
        <v>49</v>
      </c>
      <c r="L42" s="43"/>
      <c r="M42" s="43"/>
      <c r="N42" s="43"/>
      <c r="O42" s="43"/>
      <c r="P42" s="43"/>
    </row>
    <row r="43" spans="1:16" ht="15" customHeight="1">
      <c r="A43" s="8"/>
      <c r="B43" s="44" t="s">
        <v>97</v>
      </c>
      <c r="C43" s="44"/>
      <c r="D43" s="44"/>
      <c r="E43" s="44"/>
      <c r="F43" s="44"/>
      <c r="G43" s="44" t="s">
        <v>98</v>
      </c>
      <c r="H43" s="44"/>
      <c r="I43" s="44"/>
      <c r="J43" s="44"/>
      <c r="K43" s="44" t="s">
        <v>49</v>
      </c>
      <c r="L43" s="44"/>
      <c r="M43" s="44"/>
      <c r="N43" s="44"/>
      <c r="O43" s="44"/>
      <c r="P43" s="44"/>
    </row>
    <row r="44" spans="1:16" ht="108.75" customHeight="1">
      <c r="A44" s="6" t="s">
        <v>122</v>
      </c>
      <c r="B44" s="36" t="s">
        <v>123</v>
      </c>
      <c r="C44" s="37"/>
      <c r="D44" s="37"/>
      <c r="E44" s="37"/>
      <c r="F44" s="37"/>
      <c r="G44" s="37" t="s">
        <v>124</v>
      </c>
      <c r="H44" s="37"/>
      <c r="I44" s="37"/>
      <c r="J44" s="37"/>
      <c r="K44" s="37" t="s">
        <v>125</v>
      </c>
      <c r="L44" s="37"/>
      <c r="M44" s="37"/>
      <c r="N44" s="37"/>
      <c r="O44" s="42">
        <f>ROUND(529 * 20 * 1, 0)</f>
        <v>10580</v>
      </c>
      <c r="P44" s="37"/>
    </row>
    <row r="45" spans="1:16" ht="15" customHeight="1">
      <c r="A45" s="7"/>
      <c r="B45" s="43" t="s">
        <v>96</v>
      </c>
      <c r="C45" s="43"/>
      <c r="D45" s="43"/>
      <c r="E45" s="43"/>
      <c r="F45" s="43"/>
      <c r="G45" s="43" t="s">
        <v>49</v>
      </c>
      <c r="H45" s="43"/>
      <c r="I45" s="43"/>
      <c r="J45" s="43"/>
      <c r="K45" s="43" t="s">
        <v>49</v>
      </c>
      <c r="L45" s="43"/>
      <c r="M45" s="43"/>
      <c r="N45" s="43"/>
      <c r="O45" s="43"/>
      <c r="P45" s="43"/>
    </row>
    <row r="46" spans="1:16" ht="15" customHeight="1">
      <c r="A46" s="8"/>
      <c r="B46" s="44" t="s">
        <v>97</v>
      </c>
      <c r="C46" s="44"/>
      <c r="D46" s="44"/>
      <c r="E46" s="44"/>
      <c r="F46" s="44"/>
      <c r="G46" s="44" t="s">
        <v>98</v>
      </c>
      <c r="H46" s="44"/>
      <c r="I46" s="44"/>
      <c r="J46" s="44"/>
      <c r="K46" s="44" t="s">
        <v>49</v>
      </c>
      <c r="L46" s="44"/>
      <c r="M46" s="44"/>
      <c r="N46" s="44"/>
      <c r="O46" s="44"/>
      <c r="P46" s="44"/>
    </row>
    <row r="47" spans="1:16" ht="135.94999999999999" customHeight="1">
      <c r="A47" s="6" t="s">
        <v>126</v>
      </c>
      <c r="B47" s="36" t="s">
        <v>127</v>
      </c>
      <c r="C47" s="37"/>
      <c r="D47" s="37"/>
      <c r="E47" s="37"/>
      <c r="F47" s="37"/>
      <c r="G47" s="37" t="s">
        <v>128</v>
      </c>
      <c r="H47" s="37"/>
      <c r="I47" s="37"/>
      <c r="J47" s="37"/>
      <c r="K47" s="37" t="s">
        <v>129</v>
      </c>
      <c r="L47" s="37"/>
      <c r="M47" s="37"/>
      <c r="N47" s="37"/>
      <c r="O47" s="42">
        <f>ROUND(8520 * 14 * 1, 0)</f>
        <v>119280</v>
      </c>
      <c r="P47" s="37"/>
    </row>
    <row r="48" spans="1:16" ht="15" customHeight="1">
      <c r="A48" s="7"/>
      <c r="B48" s="43" t="s">
        <v>96</v>
      </c>
      <c r="C48" s="43"/>
      <c r="D48" s="43"/>
      <c r="E48" s="43"/>
      <c r="F48" s="43"/>
      <c r="G48" s="43" t="s">
        <v>49</v>
      </c>
      <c r="H48" s="43"/>
      <c r="I48" s="43"/>
      <c r="J48" s="43"/>
      <c r="K48" s="43" t="s">
        <v>49</v>
      </c>
      <c r="L48" s="43"/>
      <c r="M48" s="43"/>
      <c r="N48" s="43"/>
      <c r="O48" s="43"/>
      <c r="P48" s="43"/>
    </row>
    <row r="49" spans="1:16" ht="15" customHeight="1">
      <c r="A49" s="8"/>
      <c r="B49" s="44" t="s">
        <v>97</v>
      </c>
      <c r="C49" s="44"/>
      <c r="D49" s="44"/>
      <c r="E49" s="44"/>
      <c r="F49" s="44"/>
      <c r="G49" s="44" t="s">
        <v>98</v>
      </c>
      <c r="H49" s="44"/>
      <c r="I49" s="44"/>
      <c r="J49" s="44"/>
      <c r="K49" s="44" t="s">
        <v>49</v>
      </c>
      <c r="L49" s="44"/>
      <c r="M49" s="44"/>
      <c r="N49" s="44"/>
      <c r="O49" s="44"/>
      <c r="P49" s="44"/>
    </row>
    <row r="50" spans="1:16" ht="122.45" customHeight="1">
      <c r="A50" s="6" t="s">
        <v>130</v>
      </c>
      <c r="B50" s="36" t="s">
        <v>131</v>
      </c>
      <c r="C50" s="37"/>
      <c r="D50" s="37"/>
      <c r="E50" s="37"/>
      <c r="F50" s="37"/>
      <c r="G50" s="37" t="s">
        <v>132</v>
      </c>
      <c r="H50" s="37"/>
      <c r="I50" s="37"/>
      <c r="J50" s="37"/>
      <c r="K50" s="37" t="s">
        <v>133</v>
      </c>
      <c r="L50" s="37"/>
      <c r="M50" s="37"/>
      <c r="N50" s="37"/>
      <c r="O50" s="42">
        <f>ROUND(5979 * 12 * 1, 0)</f>
        <v>71748</v>
      </c>
      <c r="P50" s="37"/>
    </row>
    <row r="51" spans="1:16" ht="15" customHeight="1">
      <c r="A51" s="7"/>
      <c r="B51" s="43" t="s">
        <v>96</v>
      </c>
      <c r="C51" s="43"/>
      <c r="D51" s="43"/>
      <c r="E51" s="43"/>
      <c r="F51" s="43"/>
      <c r="G51" s="43" t="s">
        <v>49</v>
      </c>
      <c r="H51" s="43"/>
      <c r="I51" s="43"/>
      <c r="J51" s="43"/>
      <c r="K51" s="43" t="s">
        <v>49</v>
      </c>
      <c r="L51" s="43"/>
      <c r="M51" s="43"/>
      <c r="N51" s="43"/>
      <c r="O51" s="43"/>
      <c r="P51" s="43"/>
    </row>
    <row r="52" spans="1:16" ht="15" customHeight="1">
      <c r="A52" s="8"/>
      <c r="B52" s="44" t="s">
        <v>97</v>
      </c>
      <c r="C52" s="44"/>
      <c r="D52" s="44"/>
      <c r="E52" s="44"/>
      <c r="F52" s="44"/>
      <c r="G52" s="44" t="s">
        <v>98</v>
      </c>
      <c r="H52" s="44"/>
      <c r="I52" s="44"/>
      <c r="J52" s="44"/>
      <c r="K52" s="44" t="s">
        <v>49</v>
      </c>
      <c r="L52" s="44"/>
      <c r="M52" s="44"/>
      <c r="N52" s="44"/>
      <c r="O52" s="44"/>
      <c r="P52" s="44"/>
    </row>
    <row r="53" spans="1:16" ht="163.15" customHeight="1">
      <c r="A53" s="6" t="s">
        <v>134</v>
      </c>
      <c r="B53" s="36" t="s">
        <v>135</v>
      </c>
      <c r="C53" s="37"/>
      <c r="D53" s="37"/>
      <c r="E53" s="37"/>
      <c r="F53" s="37"/>
      <c r="G53" s="37" t="s">
        <v>136</v>
      </c>
      <c r="H53" s="37"/>
      <c r="I53" s="37"/>
      <c r="J53" s="37"/>
      <c r="K53" s="37" t="s">
        <v>137</v>
      </c>
      <c r="L53" s="37"/>
      <c r="M53" s="37"/>
      <c r="N53" s="37"/>
      <c r="O53" s="42">
        <f>ROUND(11731 * 6 * 1, 0)</f>
        <v>70386</v>
      </c>
      <c r="P53" s="37"/>
    </row>
    <row r="54" spans="1:16">
      <c r="A54" s="7"/>
      <c r="B54" s="43" t="s">
        <v>96</v>
      </c>
      <c r="C54" s="43"/>
      <c r="D54" s="43"/>
      <c r="E54" s="43"/>
      <c r="F54" s="43"/>
      <c r="G54" s="43" t="s">
        <v>49</v>
      </c>
      <c r="H54" s="43"/>
      <c r="I54" s="43"/>
      <c r="J54" s="43"/>
      <c r="K54" s="43" t="s">
        <v>49</v>
      </c>
      <c r="L54" s="43"/>
      <c r="M54" s="43"/>
      <c r="N54" s="43"/>
      <c r="O54" s="43"/>
      <c r="P54" s="43"/>
    </row>
    <row r="55" spans="1:16">
      <c r="A55" s="8"/>
      <c r="B55" s="44" t="s">
        <v>97</v>
      </c>
      <c r="C55" s="44"/>
      <c r="D55" s="44"/>
      <c r="E55" s="44"/>
      <c r="F55" s="44"/>
      <c r="G55" s="44" t="s">
        <v>98</v>
      </c>
      <c r="H55" s="44"/>
      <c r="I55" s="44"/>
      <c r="J55" s="44"/>
      <c r="K55" s="44" t="s">
        <v>49</v>
      </c>
      <c r="L55" s="44"/>
      <c r="M55" s="44"/>
      <c r="N55" s="44"/>
      <c r="O55" s="44"/>
      <c r="P55" s="44"/>
    </row>
    <row r="56" spans="1:16">
      <c r="A56" s="4"/>
      <c r="B56" s="28" t="s">
        <v>55</v>
      </c>
      <c r="C56" s="28"/>
      <c r="D56" s="28"/>
      <c r="E56" s="28"/>
      <c r="F56" s="28"/>
      <c r="G56" s="28"/>
      <c r="H56" s="28"/>
      <c r="I56" s="28"/>
      <c r="J56" s="28"/>
      <c r="K56" s="28" t="s">
        <v>49</v>
      </c>
      <c r="L56" s="28"/>
      <c r="M56" s="28"/>
      <c r="N56" s="28"/>
      <c r="O56" s="45">
        <f>ROUND(SUM($O$29:$O$53),0)</f>
        <v>321488</v>
      </c>
      <c r="P56" s="28"/>
    </row>
    <row r="57" spans="1:16">
      <c r="A57" s="4"/>
      <c r="B57" s="28" t="s">
        <v>57</v>
      </c>
      <c r="C57" s="28"/>
      <c r="D57" s="28"/>
      <c r="E57" s="28"/>
      <c r="F57" s="28"/>
      <c r="G57" s="28"/>
      <c r="H57" s="28"/>
      <c r="I57" s="28"/>
      <c r="J57" s="28"/>
      <c r="K57" s="28" t="s">
        <v>49</v>
      </c>
      <c r="L57" s="28"/>
      <c r="M57" s="28"/>
      <c r="N57" s="28"/>
      <c r="O57" s="45">
        <f>ROUND(($O$56),0)</f>
        <v>321488</v>
      </c>
      <c r="P57" s="28"/>
    </row>
    <row r="58" spans="1:16">
      <c r="A58" s="4"/>
      <c r="B58" s="28" t="s">
        <v>58</v>
      </c>
      <c r="C58" s="28"/>
      <c r="D58" s="28"/>
      <c r="E58" s="28"/>
      <c r="F58" s="28"/>
      <c r="G58" s="28"/>
      <c r="H58" s="28"/>
      <c r="I58" s="28"/>
      <c r="J58" s="28"/>
      <c r="K58" s="28"/>
      <c r="L58" s="28"/>
      <c r="M58" s="28"/>
      <c r="N58" s="28"/>
      <c r="O58" s="28"/>
      <c r="P58" s="28"/>
    </row>
    <row r="59" spans="1:16" ht="163.15" customHeight="1">
      <c r="A59" s="6" t="s">
        <v>59</v>
      </c>
      <c r="B59" s="36" t="s">
        <v>138</v>
      </c>
      <c r="C59" s="37"/>
      <c r="D59" s="37"/>
      <c r="E59" s="37"/>
      <c r="F59" s="37"/>
      <c r="G59" s="37" t="s">
        <v>139</v>
      </c>
      <c r="H59" s="37"/>
      <c r="I59" s="37"/>
      <c r="J59" s="37"/>
      <c r="K59" s="37" t="s">
        <v>140</v>
      </c>
      <c r="L59" s="37"/>
      <c r="M59" s="37"/>
      <c r="N59" s="37"/>
      <c r="O59" s="42">
        <f>ROUND(352 * 6 * 1, 0)</f>
        <v>2112</v>
      </c>
      <c r="P59" s="37"/>
    </row>
    <row r="60" spans="1:16">
      <c r="A60" s="7"/>
      <c r="B60" s="43" t="s">
        <v>96</v>
      </c>
      <c r="C60" s="43"/>
      <c r="D60" s="43"/>
      <c r="E60" s="43"/>
      <c r="F60" s="43"/>
      <c r="G60" s="43" t="s">
        <v>49</v>
      </c>
      <c r="H60" s="43"/>
      <c r="I60" s="43"/>
      <c r="J60" s="43"/>
      <c r="K60" s="43" t="s">
        <v>49</v>
      </c>
      <c r="L60" s="43"/>
      <c r="M60" s="43"/>
      <c r="N60" s="43"/>
      <c r="O60" s="43"/>
      <c r="P60" s="43"/>
    </row>
    <row r="61" spans="1:16">
      <c r="A61" s="8"/>
      <c r="B61" s="44" t="s">
        <v>97</v>
      </c>
      <c r="C61" s="44"/>
      <c r="D61" s="44"/>
      <c r="E61" s="44"/>
      <c r="F61" s="44"/>
      <c r="G61" s="44" t="s">
        <v>98</v>
      </c>
      <c r="H61" s="44"/>
      <c r="I61" s="44"/>
      <c r="J61" s="44"/>
      <c r="K61" s="44" t="s">
        <v>49</v>
      </c>
      <c r="L61" s="44"/>
      <c r="M61" s="44"/>
      <c r="N61" s="44"/>
      <c r="O61" s="44"/>
      <c r="P61" s="44"/>
    </row>
    <row r="62" spans="1:16" ht="108.75" customHeight="1">
      <c r="A62" s="6" t="s">
        <v>63</v>
      </c>
      <c r="B62" s="36" t="s">
        <v>141</v>
      </c>
      <c r="C62" s="37"/>
      <c r="D62" s="37"/>
      <c r="E62" s="37"/>
      <c r="F62" s="37"/>
      <c r="G62" s="37" t="s">
        <v>142</v>
      </c>
      <c r="H62" s="37"/>
      <c r="I62" s="37"/>
      <c r="J62" s="37"/>
      <c r="K62" s="37" t="s">
        <v>143</v>
      </c>
      <c r="L62" s="37"/>
      <c r="M62" s="37"/>
      <c r="N62" s="37"/>
      <c r="O62" s="42">
        <f>ROUND(320 * 10 * 1, 0)</f>
        <v>3200</v>
      </c>
      <c r="P62" s="37"/>
    </row>
    <row r="63" spans="1:16">
      <c r="A63" s="7"/>
      <c r="B63" s="43" t="s">
        <v>96</v>
      </c>
      <c r="C63" s="43"/>
      <c r="D63" s="43"/>
      <c r="E63" s="43"/>
      <c r="F63" s="43"/>
      <c r="G63" s="43" t="s">
        <v>49</v>
      </c>
      <c r="H63" s="43"/>
      <c r="I63" s="43"/>
      <c r="J63" s="43"/>
      <c r="K63" s="43" t="s">
        <v>49</v>
      </c>
      <c r="L63" s="43"/>
      <c r="M63" s="43"/>
      <c r="N63" s="43"/>
      <c r="O63" s="43"/>
      <c r="P63" s="43"/>
    </row>
    <row r="64" spans="1:16">
      <c r="A64" s="8"/>
      <c r="B64" s="44" t="s">
        <v>97</v>
      </c>
      <c r="C64" s="44"/>
      <c r="D64" s="44"/>
      <c r="E64" s="44"/>
      <c r="F64" s="44"/>
      <c r="G64" s="44" t="s">
        <v>98</v>
      </c>
      <c r="H64" s="44"/>
      <c r="I64" s="44"/>
      <c r="J64" s="44"/>
      <c r="K64" s="44" t="s">
        <v>49</v>
      </c>
      <c r="L64" s="44"/>
      <c r="M64" s="44"/>
      <c r="N64" s="44"/>
      <c r="O64" s="44"/>
      <c r="P64" s="44"/>
    </row>
    <row r="65" spans="1:16" ht="108.75" customHeight="1">
      <c r="A65" s="6" t="s">
        <v>67</v>
      </c>
      <c r="B65" s="36" t="s">
        <v>144</v>
      </c>
      <c r="C65" s="37"/>
      <c r="D65" s="37"/>
      <c r="E65" s="37"/>
      <c r="F65" s="37"/>
      <c r="G65" s="37" t="s">
        <v>145</v>
      </c>
      <c r="H65" s="37"/>
      <c r="I65" s="37"/>
      <c r="J65" s="37"/>
      <c r="K65" s="37" t="s">
        <v>146</v>
      </c>
      <c r="L65" s="37"/>
      <c r="M65" s="37"/>
      <c r="N65" s="37"/>
      <c r="O65" s="42">
        <f>ROUND(381 * 18 * 1, 0)</f>
        <v>6858</v>
      </c>
      <c r="P65" s="37"/>
    </row>
    <row r="66" spans="1:16">
      <c r="A66" s="7"/>
      <c r="B66" s="43" t="s">
        <v>96</v>
      </c>
      <c r="C66" s="43"/>
      <c r="D66" s="43"/>
      <c r="E66" s="43"/>
      <c r="F66" s="43"/>
      <c r="G66" s="43" t="s">
        <v>49</v>
      </c>
      <c r="H66" s="43"/>
      <c r="I66" s="43"/>
      <c r="J66" s="43"/>
      <c r="K66" s="43" t="s">
        <v>49</v>
      </c>
      <c r="L66" s="43"/>
      <c r="M66" s="43"/>
      <c r="N66" s="43"/>
      <c r="O66" s="43"/>
      <c r="P66" s="43"/>
    </row>
    <row r="67" spans="1:16">
      <c r="A67" s="8"/>
      <c r="B67" s="44" t="s">
        <v>97</v>
      </c>
      <c r="C67" s="44"/>
      <c r="D67" s="44"/>
      <c r="E67" s="44"/>
      <c r="F67" s="44"/>
      <c r="G67" s="44" t="s">
        <v>98</v>
      </c>
      <c r="H67" s="44"/>
      <c r="I67" s="44"/>
      <c r="J67" s="44"/>
      <c r="K67" s="44" t="s">
        <v>49</v>
      </c>
      <c r="L67" s="44"/>
      <c r="M67" s="44"/>
      <c r="N67" s="44"/>
      <c r="O67" s="44"/>
      <c r="P67" s="44"/>
    </row>
    <row r="68" spans="1:16" ht="108.75" customHeight="1">
      <c r="A68" s="6" t="s">
        <v>71</v>
      </c>
      <c r="B68" s="36" t="s">
        <v>147</v>
      </c>
      <c r="C68" s="37"/>
      <c r="D68" s="37"/>
      <c r="E68" s="37"/>
      <c r="F68" s="37"/>
      <c r="G68" s="37" t="s">
        <v>148</v>
      </c>
      <c r="H68" s="37"/>
      <c r="I68" s="37"/>
      <c r="J68" s="37"/>
      <c r="K68" s="37" t="s">
        <v>149</v>
      </c>
      <c r="L68" s="37"/>
      <c r="M68" s="37"/>
      <c r="N68" s="37"/>
      <c r="O68" s="42">
        <f>ROUND(730 * 20 * 1, 0)</f>
        <v>14600</v>
      </c>
      <c r="P68" s="37"/>
    </row>
    <row r="69" spans="1:16">
      <c r="A69" s="7"/>
      <c r="B69" s="43" t="s">
        <v>96</v>
      </c>
      <c r="C69" s="43"/>
      <c r="D69" s="43"/>
      <c r="E69" s="43"/>
      <c r="F69" s="43"/>
      <c r="G69" s="43" t="s">
        <v>49</v>
      </c>
      <c r="H69" s="43"/>
      <c r="I69" s="43"/>
      <c r="J69" s="43"/>
      <c r="K69" s="43" t="s">
        <v>49</v>
      </c>
      <c r="L69" s="43"/>
      <c r="M69" s="43"/>
      <c r="N69" s="43"/>
      <c r="O69" s="43"/>
      <c r="P69" s="43"/>
    </row>
    <row r="70" spans="1:16">
      <c r="A70" s="8"/>
      <c r="B70" s="44" t="s">
        <v>97</v>
      </c>
      <c r="C70" s="44"/>
      <c r="D70" s="44"/>
      <c r="E70" s="44"/>
      <c r="F70" s="44"/>
      <c r="G70" s="44" t="s">
        <v>98</v>
      </c>
      <c r="H70" s="44"/>
      <c r="I70" s="44"/>
      <c r="J70" s="44"/>
      <c r="K70" s="44" t="s">
        <v>49</v>
      </c>
      <c r="L70" s="44"/>
      <c r="M70" s="44"/>
      <c r="N70" s="44"/>
      <c r="O70" s="44"/>
      <c r="P70" s="44"/>
    </row>
    <row r="71" spans="1:16" ht="176.85" customHeight="1">
      <c r="A71" s="6" t="s">
        <v>73</v>
      </c>
      <c r="B71" s="36" t="s">
        <v>150</v>
      </c>
      <c r="C71" s="37"/>
      <c r="D71" s="37"/>
      <c r="E71" s="37"/>
      <c r="F71" s="37"/>
      <c r="G71" s="37" t="s">
        <v>151</v>
      </c>
      <c r="H71" s="37"/>
      <c r="I71" s="37"/>
      <c r="J71" s="37"/>
      <c r="K71" s="37" t="s">
        <v>152</v>
      </c>
      <c r="L71" s="37"/>
      <c r="M71" s="37"/>
      <c r="N71" s="37"/>
      <c r="O71" s="42">
        <v>145069</v>
      </c>
      <c r="P71" s="37"/>
    </row>
    <row r="72" spans="1:16">
      <c r="A72" s="7"/>
      <c r="B72" s="43" t="s">
        <v>96</v>
      </c>
      <c r="C72" s="43"/>
      <c r="D72" s="43"/>
      <c r="E72" s="43"/>
      <c r="F72" s="43"/>
      <c r="G72" s="43" t="s">
        <v>49</v>
      </c>
      <c r="H72" s="43"/>
      <c r="I72" s="43"/>
      <c r="J72" s="43"/>
      <c r="K72" s="43" t="s">
        <v>49</v>
      </c>
      <c r="L72" s="43"/>
      <c r="M72" s="43"/>
      <c r="N72" s="43"/>
      <c r="O72" s="43"/>
      <c r="P72" s="43"/>
    </row>
    <row r="73" spans="1:16">
      <c r="A73" s="8"/>
      <c r="B73" s="44" t="s">
        <v>97</v>
      </c>
      <c r="C73" s="44"/>
      <c r="D73" s="44"/>
      <c r="E73" s="44"/>
      <c r="F73" s="44"/>
      <c r="G73" s="44" t="s">
        <v>98</v>
      </c>
      <c r="H73" s="44"/>
      <c r="I73" s="44"/>
      <c r="J73" s="44"/>
      <c r="K73" s="44" t="s">
        <v>49</v>
      </c>
      <c r="L73" s="44"/>
      <c r="M73" s="44"/>
      <c r="N73" s="44"/>
      <c r="O73" s="44"/>
      <c r="P73" s="44"/>
    </row>
    <row r="74" spans="1:16">
      <c r="A74" s="4"/>
      <c r="B74" s="28" t="s">
        <v>74</v>
      </c>
      <c r="C74" s="28"/>
      <c r="D74" s="28"/>
      <c r="E74" s="28"/>
      <c r="F74" s="28"/>
      <c r="G74" s="28"/>
      <c r="H74" s="28"/>
      <c r="I74" s="28"/>
      <c r="J74" s="28"/>
      <c r="K74" s="28" t="s">
        <v>49</v>
      </c>
      <c r="L74" s="28"/>
      <c r="M74" s="28"/>
      <c r="N74" s="28"/>
      <c r="O74" s="45">
        <f>ROUND(SUM($O$59:$O$71),0)</f>
        <v>171839</v>
      </c>
      <c r="P74" s="28"/>
    </row>
    <row r="75" spans="1:16">
      <c r="A75" s="4"/>
      <c r="B75" s="28" t="s">
        <v>76</v>
      </c>
      <c r="C75" s="28"/>
      <c r="D75" s="28"/>
      <c r="E75" s="28"/>
      <c r="F75" s="28"/>
      <c r="G75" s="28"/>
      <c r="H75" s="28"/>
      <c r="I75" s="28"/>
      <c r="J75" s="28"/>
      <c r="K75" s="28" t="s">
        <v>49</v>
      </c>
      <c r="L75" s="28"/>
      <c r="M75" s="28"/>
      <c r="N75" s="28"/>
      <c r="O75" s="45">
        <f>ROUND(($O$74),0)</f>
        <v>171839</v>
      </c>
      <c r="P75" s="28"/>
    </row>
    <row r="76" spans="1:16" ht="27.2" customHeight="1">
      <c r="A76" s="4"/>
      <c r="B76" s="28" t="s">
        <v>77</v>
      </c>
      <c r="C76" s="28"/>
      <c r="D76" s="28"/>
      <c r="E76" s="28"/>
      <c r="F76" s="28"/>
      <c r="G76" s="28"/>
      <c r="H76" s="28"/>
      <c r="I76" s="28"/>
      <c r="J76" s="28"/>
      <c r="K76" s="28"/>
      <c r="L76" s="28"/>
      <c r="M76" s="28"/>
      <c r="N76" s="28"/>
      <c r="O76" s="28"/>
      <c r="P76" s="28"/>
    </row>
    <row r="77" spans="1:16" ht="122.45" customHeight="1">
      <c r="A77" s="6" t="s">
        <v>78</v>
      </c>
      <c r="B77" s="36" t="s">
        <v>154</v>
      </c>
      <c r="C77" s="37"/>
      <c r="D77" s="37"/>
      <c r="E77" s="37"/>
      <c r="F77" s="37"/>
      <c r="G77" s="37" t="s">
        <v>155</v>
      </c>
      <c r="H77" s="37"/>
      <c r="I77" s="37"/>
      <c r="J77" s="37"/>
      <c r="K77" s="37" t="s">
        <v>156</v>
      </c>
      <c r="L77" s="37"/>
      <c r="M77" s="37"/>
      <c r="N77" s="37"/>
      <c r="O77" s="42">
        <f>ROUND(143559 * 1 * 1, 0)</f>
        <v>143559</v>
      </c>
      <c r="P77" s="37"/>
    </row>
    <row r="78" spans="1:16">
      <c r="A78" s="7"/>
      <c r="B78" s="43" t="s">
        <v>96</v>
      </c>
      <c r="C78" s="43"/>
      <c r="D78" s="43"/>
      <c r="E78" s="43"/>
      <c r="F78" s="43"/>
      <c r="G78" s="43" t="s">
        <v>49</v>
      </c>
      <c r="H78" s="43"/>
      <c r="I78" s="43"/>
      <c r="J78" s="43"/>
      <c r="K78" s="43" t="s">
        <v>49</v>
      </c>
      <c r="L78" s="43"/>
      <c r="M78" s="43"/>
      <c r="N78" s="43"/>
      <c r="O78" s="43"/>
      <c r="P78" s="43"/>
    </row>
    <row r="79" spans="1:16">
      <c r="A79" s="8"/>
      <c r="B79" s="44" t="s">
        <v>97</v>
      </c>
      <c r="C79" s="44"/>
      <c r="D79" s="44"/>
      <c r="E79" s="44"/>
      <c r="F79" s="44"/>
      <c r="G79" s="44" t="s">
        <v>98</v>
      </c>
      <c r="H79" s="44"/>
      <c r="I79" s="44"/>
      <c r="J79" s="44"/>
      <c r="K79" s="44" t="s">
        <v>49</v>
      </c>
      <c r="L79" s="44"/>
      <c r="M79" s="44"/>
      <c r="N79" s="44"/>
      <c r="O79" s="44"/>
      <c r="P79" s="44"/>
    </row>
    <row r="80" spans="1:16" ht="27.2" customHeight="1">
      <c r="A80" s="4"/>
      <c r="B80" s="28" t="s">
        <v>82</v>
      </c>
      <c r="C80" s="28"/>
      <c r="D80" s="28"/>
      <c r="E80" s="28"/>
      <c r="F80" s="28"/>
      <c r="G80" s="28"/>
      <c r="H80" s="28"/>
      <c r="I80" s="28"/>
      <c r="J80" s="28"/>
      <c r="K80" s="28" t="s">
        <v>49</v>
      </c>
      <c r="L80" s="28"/>
      <c r="M80" s="28"/>
      <c r="N80" s="28"/>
      <c r="O80" s="45">
        <f>ROUND($O$77,0)</f>
        <v>143559</v>
      </c>
      <c r="P80" s="28"/>
    </row>
    <row r="81" spans="1:16" ht="27.2" customHeight="1">
      <c r="A81" s="4"/>
      <c r="B81" s="28" t="s">
        <v>83</v>
      </c>
      <c r="C81" s="28"/>
      <c r="D81" s="28"/>
      <c r="E81" s="28"/>
      <c r="F81" s="28"/>
      <c r="G81" s="28"/>
      <c r="H81" s="28"/>
      <c r="I81" s="28"/>
      <c r="J81" s="28"/>
      <c r="K81" s="28" t="s">
        <v>49</v>
      </c>
      <c r="L81" s="28"/>
      <c r="M81" s="28"/>
      <c r="N81" s="28"/>
      <c r="O81" s="45">
        <f>ROUND(($O$80),0)</f>
        <v>143559</v>
      </c>
      <c r="P81" s="28"/>
    </row>
    <row r="82" spans="1:16">
      <c r="A82" s="4" t="s">
        <v>16</v>
      </c>
      <c r="B82" s="28" t="s">
        <v>84</v>
      </c>
      <c r="C82" s="28"/>
      <c r="D82" s="28"/>
      <c r="E82" s="28"/>
      <c r="F82" s="28"/>
      <c r="G82" s="28"/>
      <c r="H82" s="28"/>
      <c r="I82" s="28"/>
      <c r="J82" s="28"/>
      <c r="K82" s="28" t="s">
        <v>49</v>
      </c>
      <c r="L82" s="28"/>
      <c r="M82" s="28"/>
      <c r="N82" s="28"/>
      <c r="O82" s="45">
        <f>ROUND($O$27+$O$57+$O$75+$O$81,0)</f>
        <v>1086613</v>
      </c>
      <c r="P82" s="28"/>
    </row>
    <row r="83" spans="1:16" ht="40.9" customHeight="1">
      <c r="A83" s="4" t="s">
        <v>18</v>
      </c>
      <c r="B83" s="26" t="s">
        <v>85</v>
      </c>
      <c r="C83" s="26"/>
      <c r="D83" s="26"/>
      <c r="E83" s="26"/>
      <c r="F83" s="26"/>
      <c r="G83" s="26" t="s">
        <v>86</v>
      </c>
      <c r="H83" s="26"/>
      <c r="I83" s="26"/>
      <c r="J83" s="26"/>
      <c r="K83" s="26" t="s">
        <v>87</v>
      </c>
      <c r="L83" s="26"/>
      <c r="M83" s="26"/>
      <c r="N83" s="26"/>
      <c r="O83" s="46">
        <f>ROUND(($O$82) * 1.25,0)</f>
        <v>1358266</v>
      </c>
      <c r="P83" s="26"/>
    </row>
    <row r="84" spans="1:16">
      <c r="A84" s="4" t="s">
        <v>20</v>
      </c>
      <c r="B84" s="28" t="s">
        <v>88</v>
      </c>
      <c r="C84" s="28"/>
      <c r="D84" s="28"/>
      <c r="E84" s="28"/>
      <c r="F84" s="28"/>
      <c r="G84" s="28"/>
      <c r="H84" s="28"/>
      <c r="I84" s="28"/>
      <c r="J84" s="28"/>
      <c r="K84" s="28" t="s">
        <v>49</v>
      </c>
      <c r="L84" s="28"/>
      <c r="M84" s="28"/>
      <c r="N84" s="28"/>
      <c r="O84" s="45">
        <f>ROUND(($O$83),0)</f>
        <v>1358266</v>
      </c>
      <c r="P84" s="28"/>
    </row>
    <row r="87" spans="1:16" ht="15" customHeight="1">
      <c r="A87" s="21" t="s">
        <v>89</v>
      </c>
      <c r="B87" s="21"/>
      <c r="C87" s="21"/>
      <c r="D87" s="55" t="s">
        <v>373</v>
      </c>
      <c r="E87" s="41"/>
      <c r="F87" s="41"/>
      <c r="G87" s="41"/>
      <c r="H87" s="41"/>
      <c r="I87" s="41"/>
      <c r="J87" s="41"/>
      <c r="K87" s="41"/>
      <c r="L87" s="41"/>
      <c r="M87" s="41"/>
      <c r="N87" s="41"/>
      <c r="O87" s="41"/>
      <c r="P87" s="41"/>
    </row>
    <row r="88" spans="1:16" ht="15" customHeight="1">
      <c r="A88" s="14"/>
      <c r="B88" s="14"/>
      <c r="C88" s="14"/>
      <c r="D88" s="35" t="s">
        <v>90</v>
      </c>
      <c r="E88" s="35"/>
      <c r="F88" s="35"/>
      <c r="G88" s="35"/>
      <c r="H88" s="35"/>
      <c r="I88" s="35"/>
      <c r="J88" s="35"/>
      <c r="K88" s="35"/>
      <c r="L88" s="35"/>
      <c r="M88" s="35"/>
      <c r="N88" s="35"/>
      <c r="O88" s="35"/>
      <c r="P88" s="35"/>
    </row>
    <row r="89" spans="1:16" ht="30.75" customHeight="1"/>
  </sheetData>
  <mergeCells count="297">
    <mergeCell ref="D88:P88"/>
    <mergeCell ref="B82:F82"/>
    <mergeCell ref="G82:J82"/>
    <mergeCell ref="K82:N82"/>
    <mergeCell ref="O82:P82"/>
    <mergeCell ref="B83:F83"/>
    <mergeCell ref="G83:J83"/>
    <mergeCell ref="K83:N83"/>
    <mergeCell ref="O83:P83"/>
    <mergeCell ref="B84:F84"/>
    <mergeCell ref="G84:J84"/>
    <mergeCell ref="K84:N84"/>
    <mergeCell ref="O84:P84"/>
    <mergeCell ref="A87:C87"/>
    <mergeCell ref="D87:P87"/>
    <mergeCell ref="B79:F79"/>
    <mergeCell ref="G79:J79"/>
    <mergeCell ref="K79:N79"/>
    <mergeCell ref="O79:P79"/>
    <mergeCell ref="B80:F80"/>
    <mergeCell ref="G80:J80"/>
    <mergeCell ref="K80:N80"/>
    <mergeCell ref="O80:P80"/>
    <mergeCell ref="B81:F81"/>
    <mergeCell ref="G81:J81"/>
    <mergeCell ref="K81:N81"/>
    <mergeCell ref="O81:P81"/>
    <mergeCell ref="B76:F76"/>
    <mergeCell ref="G76:J76"/>
    <mergeCell ref="K76:N76"/>
    <mergeCell ref="O76:P76"/>
    <mergeCell ref="B77:F77"/>
    <mergeCell ref="G77:J77"/>
    <mergeCell ref="K77:N77"/>
    <mergeCell ref="O77:P77"/>
    <mergeCell ref="B78:F78"/>
    <mergeCell ref="G78:J78"/>
    <mergeCell ref="K78:N78"/>
    <mergeCell ref="O78:P78"/>
    <mergeCell ref="B73:F73"/>
    <mergeCell ref="G73:J73"/>
    <mergeCell ref="K73:N73"/>
    <mergeCell ref="O73:P73"/>
    <mergeCell ref="B74:F74"/>
    <mergeCell ref="G74:J74"/>
    <mergeCell ref="K74:N74"/>
    <mergeCell ref="O74:P74"/>
    <mergeCell ref="B75:F75"/>
    <mergeCell ref="G75:J75"/>
    <mergeCell ref="K75:N75"/>
    <mergeCell ref="O75:P75"/>
    <mergeCell ref="B70:F70"/>
    <mergeCell ref="G70:J70"/>
    <mergeCell ref="K70:N70"/>
    <mergeCell ref="O70:P70"/>
    <mergeCell ref="B71:F71"/>
    <mergeCell ref="G71:J71"/>
    <mergeCell ref="K71:N71"/>
    <mergeCell ref="O71:P71"/>
    <mergeCell ref="B72:F72"/>
    <mergeCell ref="G72:J72"/>
    <mergeCell ref="K72:N72"/>
    <mergeCell ref="O72:P72"/>
    <mergeCell ref="B67:F67"/>
    <mergeCell ref="G67:J67"/>
    <mergeCell ref="K67:N67"/>
    <mergeCell ref="O67:P67"/>
    <mergeCell ref="B68:F68"/>
    <mergeCell ref="G68:J68"/>
    <mergeCell ref="K68:N68"/>
    <mergeCell ref="O68:P68"/>
    <mergeCell ref="B69:F69"/>
    <mergeCell ref="G69:J69"/>
    <mergeCell ref="K69:N69"/>
    <mergeCell ref="O69:P69"/>
    <mergeCell ref="B64:F64"/>
    <mergeCell ref="G64:J64"/>
    <mergeCell ref="K64:N64"/>
    <mergeCell ref="O64:P64"/>
    <mergeCell ref="B65:F65"/>
    <mergeCell ref="G65:J65"/>
    <mergeCell ref="K65:N65"/>
    <mergeCell ref="O65:P65"/>
    <mergeCell ref="B66:F66"/>
    <mergeCell ref="G66:J66"/>
    <mergeCell ref="K66:N66"/>
    <mergeCell ref="O66:P66"/>
    <mergeCell ref="B61:F61"/>
    <mergeCell ref="G61:J61"/>
    <mergeCell ref="K61:N61"/>
    <mergeCell ref="O61:P61"/>
    <mergeCell ref="B62:F62"/>
    <mergeCell ref="G62:J62"/>
    <mergeCell ref="K62:N62"/>
    <mergeCell ref="O62:P62"/>
    <mergeCell ref="B63:F63"/>
    <mergeCell ref="G63:J63"/>
    <mergeCell ref="K63:N63"/>
    <mergeCell ref="O63:P63"/>
    <mergeCell ref="B58:F58"/>
    <mergeCell ref="G58:J58"/>
    <mergeCell ref="K58:N58"/>
    <mergeCell ref="O58:P58"/>
    <mergeCell ref="B59:F59"/>
    <mergeCell ref="G59:J59"/>
    <mergeCell ref="K59:N59"/>
    <mergeCell ref="O59:P59"/>
    <mergeCell ref="B60:F60"/>
    <mergeCell ref="G60:J60"/>
    <mergeCell ref="K60:N60"/>
    <mergeCell ref="O60:P60"/>
    <mergeCell ref="B55:F55"/>
    <mergeCell ref="G55:J55"/>
    <mergeCell ref="K55:N55"/>
    <mergeCell ref="O55:P55"/>
    <mergeCell ref="B56:F56"/>
    <mergeCell ref="G56:J56"/>
    <mergeCell ref="K56:N56"/>
    <mergeCell ref="O56:P56"/>
    <mergeCell ref="B57:F57"/>
    <mergeCell ref="G57:J57"/>
    <mergeCell ref="K57:N57"/>
    <mergeCell ref="O57:P57"/>
    <mergeCell ref="B52:F52"/>
    <mergeCell ref="G52:J52"/>
    <mergeCell ref="K52:N52"/>
    <mergeCell ref="O52:P52"/>
    <mergeCell ref="B53:F53"/>
    <mergeCell ref="G53:J53"/>
    <mergeCell ref="K53:N53"/>
    <mergeCell ref="O53:P53"/>
    <mergeCell ref="B54:F54"/>
    <mergeCell ref="G54:J54"/>
    <mergeCell ref="K54:N54"/>
    <mergeCell ref="O54:P54"/>
    <mergeCell ref="B49:F49"/>
    <mergeCell ref="G49:J49"/>
    <mergeCell ref="K49:N49"/>
    <mergeCell ref="O49:P49"/>
    <mergeCell ref="B50:F50"/>
    <mergeCell ref="G50:J50"/>
    <mergeCell ref="K50:N50"/>
    <mergeCell ref="O50:P50"/>
    <mergeCell ref="B51:F51"/>
    <mergeCell ref="G51:J51"/>
    <mergeCell ref="K51:N51"/>
    <mergeCell ref="O51:P51"/>
    <mergeCell ref="B46:F46"/>
    <mergeCell ref="G46:J46"/>
    <mergeCell ref="K46:N46"/>
    <mergeCell ref="O46:P46"/>
    <mergeCell ref="B47:F47"/>
    <mergeCell ref="G47:J47"/>
    <mergeCell ref="K47:N47"/>
    <mergeCell ref="O47:P47"/>
    <mergeCell ref="B48:F48"/>
    <mergeCell ref="G48:J48"/>
    <mergeCell ref="K48:N48"/>
    <mergeCell ref="O48:P48"/>
    <mergeCell ref="B43:F43"/>
    <mergeCell ref="G43:J43"/>
    <mergeCell ref="K43:N43"/>
    <mergeCell ref="O43:P43"/>
    <mergeCell ref="B44:F44"/>
    <mergeCell ref="G44:J44"/>
    <mergeCell ref="K44:N44"/>
    <mergeCell ref="O44:P44"/>
    <mergeCell ref="B45:F45"/>
    <mergeCell ref="G45:J45"/>
    <mergeCell ref="K45:N45"/>
    <mergeCell ref="O45:P45"/>
    <mergeCell ref="B40:F40"/>
    <mergeCell ref="G40:J40"/>
    <mergeCell ref="K40:N40"/>
    <mergeCell ref="O40:P40"/>
    <mergeCell ref="B41:F41"/>
    <mergeCell ref="G41:J41"/>
    <mergeCell ref="K41:N41"/>
    <mergeCell ref="O41:P41"/>
    <mergeCell ref="B42:F42"/>
    <mergeCell ref="G42:J42"/>
    <mergeCell ref="K42:N42"/>
    <mergeCell ref="O42:P42"/>
    <mergeCell ref="B37:F37"/>
    <mergeCell ref="G37:J37"/>
    <mergeCell ref="K37:N37"/>
    <mergeCell ref="O37:P37"/>
    <mergeCell ref="B38:F38"/>
    <mergeCell ref="G38:J38"/>
    <mergeCell ref="K38:N38"/>
    <mergeCell ref="O38:P38"/>
    <mergeCell ref="B39:F39"/>
    <mergeCell ref="G39:J39"/>
    <mergeCell ref="K39:N39"/>
    <mergeCell ref="O39:P39"/>
    <mergeCell ref="B34:F34"/>
    <mergeCell ref="G34:J34"/>
    <mergeCell ref="K34:N34"/>
    <mergeCell ref="O34:P34"/>
    <mergeCell ref="B35:F35"/>
    <mergeCell ref="G35:J35"/>
    <mergeCell ref="K35:N35"/>
    <mergeCell ref="O35:P35"/>
    <mergeCell ref="B36:F36"/>
    <mergeCell ref="G36:J36"/>
    <mergeCell ref="K36:N36"/>
    <mergeCell ref="O36:P36"/>
    <mergeCell ref="B31:F31"/>
    <mergeCell ref="G31:J31"/>
    <mergeCell ref="K31:N31"/>
    <mergeCell ref="O31:P31"/>
    <mergeCell ref="B32:F32"/>
    <mergeCell ref="G32:J32"/>
    <mergeCell ref="K32:N32"/>
    <mergeCell ref="O32:P32"/>
    <mergeCell ref="B33:F33"/>
    <mergeCell ref="G33:J33"/>
    <mergeCell ref="K33:N33"/>
    <mergeCell ref="O33:P33"/>
    <mergeCell ref="B28:F28"/>
    <mergeCell ref="G28:J28"/>
    <mergeCell ref="K28:N28"/>
    <mergeCell ref="O28:P28"/>
    <mergeCell ref="B29:F29"/>
    <mergeCell ref="G29:J29"/>
    <mergeCell ref="K29:N29"/>
    <mergeCell ref="O29:P29"/>
    <mergeCell ref="B30:F30"/>
    <mergeCell ref="G30:J30"/>
    <mergeCell ref="K30:N30"/>
    <mergeCell ref="O30:P30"/>
    <mergeCell ref="B25:F25"/>
    <mergeCell ref="G25:J25"/>
    <mergeCell ref="K25:N25"/>
    <mergeCell ref="O25:P25"/>
    <mergeCell ref="B26:F26"/>
    <mergeCell ref="G26:J26"/>
    <mergeCell ref="K26:N26"/>
    <mergeCell ref="O26:P26"/>
    <mergeCell ref="B27:F27"/>
    <mergeCell ref="G27:J27"/>
    <mergeCell ref="K27:N27"/>
    <mergeCell ref="O27:P27"/>
    <mergeCell ref="B22:F22"/>
    <mergeCell ref="G22:J22"/>
    <mergeCell ref="K22:N22"/>
    <mergeCell ref="O22:P22"/>
    <mergeCell ref="B23:F23"/>
    <mergeCell ref="G23:J23"/>
    <mergeCell ref="K23:N23"/>
    <mergeCell ref="O23:P23"/>
    <mergeCell ref="B24:F24"/>
    <mergeCell ref="G24:J24"/>
    <mergeCell ref="K24:N24"/>
    <mergeCell ref="O24:P24"/>
    <mergeCell ref="B19:F19"/>
    <mergeCell ref="G19:J19"/>
    <mergeCell ref="K19:N19"/>
    <mergeCell ref="O19:P19"/>
    <mergeCell ref="B20:F20"/>
    <mergeCell ref="G20:J20"/>
    <mergeCell ref="K20:N20"/>
    <mergeCell ref="O20:P20"/>
    <mergeCell ref="B21:F21"/>
    <mergeCell ref="G21:J21"/>
    <mergeCell ref="K21:N21"/>
    <mergeCell ref="O21:P21"/>
    <mergeCell ref="B16:F16"/>
    <mergeCell ref="G16:J16"/>
    <mergeCell ref="K16:N16"/>
    <mergeCell ref="O16:P16"/>
    <mergeCell ref="B17:F17"/>
    <mergeCell ref="G17:J17"/>
    <mergeCell ref="K17:N17"/>
    <mergeCell ref="O17:P17"/>
    <mergeCell ref="B18:F18"/>
    <mergeCell ref="G18:J18"/>
    <mergeCell ref="K18:N18"/>
    <mergeCell ref="O18:P18"/>
    <mergeCell ref="A1:D1"/>
    <mergeCell ref="E1:P1"/>
    <mergeCell ref="A8:P8"/>
    <mergeCell ref="A9:P9"/>
    <mergeCell ref="A11:P11"/>
    <mergeCell ref="A12:P12"/>
    <mergeCell ref="B14:F14"/>
    <mergeCell ref="B15:F15"/>
    <mergeCell ref="G14:J14"/>
    <mergeCell ref="G15:J15"/>
    <mergeCell ref="K14:N14"/>
    <mergeCell ref="K15:N15"/>
    <mergeCell ref="O14:P14"/>
    <mergeCell ref="O15:P15"/>
    <mergeCell ref="L2:P2"/>
    <mergeCell ref="L3:P3"/>
    <mergeCell ref="O4:P4"/>
    <mergeCell ref="L5:P5"/>
  </mergeCells>
  <pageMargins left="0.4" right="0.4" top="0.75" bottom="0.75" header="0.3" footer="0.3"/>
  <pageSetup paperSize="9" scale="75" orientation="portrait" r:id="rId1"/>
</worksheet>
</file>

<file path=xl/worksheets/sheet4.xml><?xml version="1.0" encoding="utf-8"?>
<worksheet xmlns="http://schemas.openxmlformats.org/spreadsheetml/2006/main" xmlns:r="http://schemas.openxmlformats.org/officeDocument/2006/relationships">
  <dimension ref="A1:AX54"/>
  <sheetViews>
    <sheetView showRuler="0" view="pageBreakPreview" zoomScale="60" zoomScaleNormal="100" workbookViewId="0">
      <selection activeCell="A2" sqref="A2:XFD6"/>
    </sheetView>
  </sheetViews>
  <sheetFormatPr defaultRowHeight="15"/>
  <cols>
    <col min="1" max="1" width="6.42578125" style="1" customWidth="1"/>
    <col min="2" max="50" width="8" style="1" customWidth="1"/>
  </cols>
  <sheetData>
    <row r="1" spans="1:50" ht="15.75" customHeight="1">
      <c r="A1" s="17" t="s">
        <v>368</v>
      </c>
      <c r="B1" s="17"/>
      <c r="C1" s="17"/>
      <c r="D1" s="17"/>
      <c r="E1" s="18" t="s">
        <v>368</v>
      </c>
      <c r="F1" s="18"/>
      <c r="G1" s="18"/>
      <c r="H1" s="18"/>
      <c r="I1" s="18"/>
      <c r="J1" s="18"/>
      <c r="K1" s="18"/>
      <c r="L1" s="18"/>
      <c r="M1" s="18"/>
      <c r="N1" s="18"/>
      <c r="O1" s="18"/>
      <c r="P1" s="18"/>
    </row>
    <row r="2" spans="1:50" ht="15.75" customHeight="1">
      <c r="A2" s="59"/>
      <c r="B2" s="15"/>
      <c r="C2" s="15"/>
      <c r="D2" s="15"/>
      <c r="E2" s="16"/>
      <c r="F2" s="16"/>
      <c r="G2" s="16"/>
      <c r="H2" s="16"/>
      <c r="I2" s="16"/>
      <c r="J2" s="16"/>
      <c r="K2" s="16"/>
      <c r="L2" s="33" t="s">
        <v>362</v>
      </c>
      <c r="M2" s="33"/>
      <c r="N2" s="33"/>
      <c r="O2" s="33"/>
      <c r="P2" s="33"/>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row>
    <row r="3" spans="1:50" ht="30.75" customHeight="1">
      <c r="A3" s="59"/>
      <c r="B3" s="15"/>
      <c r="C3" s="15"/>
      <c r="D3" s="15"/>
      <c r="E3" s="16"/>
      <c r="F3" s="16"/>
      <c r="G3" s="16"/>
      <c r="H3" s="16"/>
      <c r="I3" s="16"/>
      <c r="J3" s="16"/>
      <c r="K3" s="16"/>
      <c r="L3" s="21" t="s">
        <v>363</v>
      </c>
      <c r="M3" s="21"/>
      <c r="N3" s="21"/>
      <c r="O3" s="21"/>
      <c r="P3" s="21"/>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row>
    <row r="4" spans="1:50" ht="35.25" customHeight="1">
      <c r="A4" s="59"/>
      <c r="B4" s="15"/>
      <c r="C4" s="15"/>
      <c r="D4" s="15"/>
      <c r="E4" s="16"/>
      <c r="F4" s="16"/>
      <c r="G4" s="16"/>
      <c r="H4" s="16"/>
      <c r="I4" s="16"/>
      <c r="J4" s="16"/>
      <c r="K4" s="16"/>
      <c r="L4" s="48"/>
      <c r="M4" s="48"/>
      <c r="N4" s="48"/>
      <c r="O4" s="49" t="s">
        <v>364</v>
      </c>
      <c r="P4" s="50"/>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row>
    <row r="5" spans="1:50" ht="21" customHeight="1">
      <c r="A5" s="59"/>
      <c r="B5" s="15"/>
      <c r="C5" s="15"/>
      <c r="D5" s="15"/>
      <c r="E5" s="16"/>
      <c r="F5" s="16"/>
      <c r="G5" s="16"/>
      <c r="H5" s="16"/>
      <c r="I5" s="16"/>
      <c r="J5" s="16"/>
      <c r="K5" s="16"/>
      <c r="L5" s="53" t="s">
        <v>365</v>
      </c>
      <c r="M5" s="53"/>
      <c r="N5" s="53"/>
      <c r="O5" s="53"/>
      <c r="P5" s="53"/>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row>
    <row r="6" spans="1:50" ht="16.5" customHeight="1">
      <c r="A6" s="59"/>
      <c r="B6" s="15"/>
      <c r="C6" s="15"/>
      <c r="D6" s="15"/>
      <c r="E6" s="16"/>
      <c r="F6" s="16"/>
      <c r="G6" s="16"/>
      <c r="H6" s="16"/>
      <c r="I6" s="16"/>
      <c r="J6" s="16"/>
      <c r="K6" s="16"/>
      <c r="L6" s="51" t="s">
        <v>366</v>
      </c>
      <c r="M6" s="16"/>
      <c r="N6" s="16"/>
      <c r="O6" s="16"/>
      <c r="P6" s="16"/>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row>
    <row r="7" spans="1:50" ht="15" customHeight="1">
      <c r="A7" s="14"/>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row>
    <row r="8" spans="1:50" ht="15" customHeight="1">
      <c r="A8" s="33" t="s">
        <v>157</v>
      </c>
      <c r="B8" s="33"/>
      <c r="C8" s="33"/>
      <c r="D8" s="33"/>
      <c r="E8" s="33"/>
      <c r="F8" s="33"/>
      <c r="G8" s="33"/>
      <c r="H8" s="33"/>
      <c r="I8" s="33"/>
      <c r="J8" s="33"/>
      <c r="K8" s="33"/>
      <c r="L8" s="33"/>
      <c r="M8" s="33"/>
      <c r="N8" s="33"/>
      <c r="O8" s="33"/>
      <c r="P8" s="33"/>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row>
    <row r="9" spans="1:50" ht="15" customHeight="1">
      <c r="A9" s="34" t="s">
        <v>29</v>
      </c>
      <c r="B9" s="34"/>
      <c r="C9" s="34"/>
      <c r="D9" s="34"/>
      <c r="E9" s="34"/>
      <c r="F9" s="34"/>
      <c r="G9" s="34"/>
      <c r="H9" s="34"/>
      <c r="I9" s="34"/>
      <c r="J9" s="34"/>
      <c r="K9" s="34"/>
      <c r="L9" s="34"/>
      <c r="M9" s="34"/>
      <c r="N9" s="34"/>
      <c r="O9" s="34"/>
      <c r="P9" s="3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row>
    <row r="10" spans="1:50" ht="15" customHeight="1">
      <c r="A10" s="14"/>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row>
    <row r="11" spans="1:50" ht="15" customHeight="1">
      <c r="A11" s="33" t="s">
        <v>13</v>
      </c>
      <c r="B11" s="33"/>
      <c r="C11" s="33"/>
      <c r="D11" s="33"/>
      <c r="E11" s="33"/>
      <c r="F11" s="33"/>
      <c r="G11" s="33"/>
      <c r="H11" s="33"/>
      <c r="I11" s="33"/>
      <c r="J11" s="33"/>
      <c r="K11" s="33"/>
      <c r="L11" s="33"/>
      <c r="M11" s="33"/>
      <c r="N11" s="33"/>
      <c r="O11" s="33"/>
      <c r="P11" s="33"/>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row>
    <row r="12" spans="1:50" ht="15" customHeight="1">
      <c r="A12" s="35" t="s">
        <v>30</v>
      </c>
      <c r="B12" s="35"/>
      <c r="C12" s="35"/>
      <c r="D12" s="35"/>
      <c r="E12" s="35"/>
      <c r="F12" s="35"/>
      <c r="G12" s="35"/>
      <c r="H12" s="35"/>
      <c r="I12" s="35"/>
      <c r="J12" s="35"/>
      <c r="K12" s="35"/>
      <c r="L12" s="35"/>
      <c r="M12" s="35"/>
      <c r="N12" s="35"/>
      <c r="O12" s="35"/>
      <c r="P12" s="35"/>
    </row>
    <row r="13" spans="1:50" ht="15" customHeight="1"/>
    <row r="14" spans="1:50" ht="122.45" customHeight="1">
      <c r="A14" s="2" t="s">
        <v>31</v>
      </c>
      <c r="B14" s="25" t="s">
        <v>32</v>
      </c>
      <c r="C14" s="25"/>
      <c r="D14" s="25"/>
      <c r="E14" s="25"/>
      <c r="F14" s="25"/>
      <c r="G14" s="25" t="s">
        <v>33</v>
      </c>
      <c r="H14" s="25"/>
      <c r="I14" s="25"/>
      <c r="J14" s="25"/>
      <c r="K14" s="25" t="s">
        <v>34</v>
      </c>
      <c r="L14" s="25"/>
      <c r="M14" s="25"/>
      <c r="N14" s="25"/>
      <c r="O14" s="25" t="s">
        <v>92</v>
      </c>
      <c r="P14" s="25"/>
    </row>
    <row r="15" spans="1:50" ht="15" customHeight="1">
      <c r="A15" s="2">
        <v>1</v>
      </c>
      <c r="B15" s="25">
        <v>2</v>
      </c>
      <c r="C15" s="25"/>
      <c r="D15" s="25"/>
      <c r="E15" s="25"/>
      <c r="F15" s="25"/>
      <c r="G15" s="25">
        <v>3</v>
      </c>
      <c r="H15" s="25"/>
      <c r="I15" s="25"/>
      <c r="J15" s="25"/>
      <c r="K15" s="25">
        <v>4</v>
      </c>
      <c r="L15" s="25"/>
      <c r="M15" s="25"/>
      <c r="N15" s="25"/>
      <c r="O15" s="25">
        <v>5</v>
      </c>
      <c r="P15" s="25"/>
    </row>
    <row r="16" spans="1:50" ht="15" customHeight="1">
      <c r="A16" s="4"/>
      <c r="B16" s="28" t="s">
        <v>35</v>
      </c>
      <c r="C16" s="28"/>
      <c r="D16" s="28"/>
      <c r="E16" s="28"/>
      <c r="F16" s="28"/>
      <c r="G16" s="28"/>
      <c r="H16" s="28"/>
      <c r="I16" s="28"/>
      <c r="J16" s="28"/>
      <c r="K16" s="28"/>
      <c r="L16" s="28"/>
      <c r="M16" s="28"/>
      <c r="N16" s="28"/>
      <c r="O16" s="28"/>
      <c r="P16" s="28"/>
    </row>
    <row r="17" spans="1:16" ht="163.15" customHeight="1">
      <c r="A17" s="6" t="s">
        <v>36</v>
      </c>
      <c r="B17" s="36" t="s">
        <v>158</v>
      </c>
      <c r="C17" s="37"/>
      <c r="D17" s="37"/>
      <c r="E17" s="37"/>
      <c r="F17" s="37"/>
      <c r="G17" s="37" t="s">
        <v>159</v>
      </c>
      <c r="H17" s="37"/>
      <c r="I17" s="37"/>
      <c r="J17" s="37"/>
      <c r="K17" s="37" t="s">
        <v>160</v>
      </c>
      <c r="L17" s="37"/>
      <c r="M17" s="37"/>
      <c r="N17" s="37"/>
      <c r="O17" s="42">
        <f>ROUND(3.24 * 0.4, 0)</f>
        <v>1</v>
      </c>
      <c r="P17" s="37"/>
    </row>
    <row r="18" spans="1:16" ht="217.7" customHeight="1">
      <c r="A18" s="6" t="s">
        <v>40</v>
      </c>
      <c r="B18" s="36" t="s">
        <v>161</v>
      </c>
      <c r="C18" s="37"/>
      <c r="D18" s="37"/>
      <c r="E18" s="37"/>
      <c r="F18" s="37"/>
      <c r="G18" s="37" t="s">
        <v>162</v>
      </c>
      <c r="H18" s="37"/>
      <c r="I18" s="37"/>
      <c r="J18" s="37"/>
      <c r="K18" s="37" t="s">
        <v>163</v>
      </c>
      <c r="L18" s="37"/>
      <c r="M18" s="37"/>
      <c r="N18" s="37"/>
      <c r="O18" s="42">
        <f>ROUND(6.9 * 1, 0)</f>
        <v>7</v>
      </c>
      <c r="P18" s="37"/>
    </row>
    <row r="19" spans="1:16" ht="217.7" customHeight="1">
      <c r="A19" s="6" t="s">
        <v>44</v>
      </c>
      <c r="B19" s="36" t="s">
        <v>164</v>
      </c>
      <c r="C19" s="37"/>
      <c r="D19" s="37"/>
      <c r="E19" s="37"/>
      <c r="F19" s="37"/>
      <c r="G19" s="37" t="s">
        <v>165</v>
      </c>
      <c r="H19" s="37"/>
      <c r="I19" s="37"/>
      <c r="J19" s="37"/>
      <c r="K19" s="37" t="s">
        <v>166</v>
      </c>
      <c r="L19" s="37"/>
      <c r="M19" s="37"/>
      <c r="N19" s="37"/>
      <c r="O19" s="42">
        <f>ROUND(37.7 * 2, 0)</f>
        <v>75</v>
      </c>
      <c r="P19" s="37"/>
    </row>
    <row r="20" spans="1:16" ht="217.7" customHeight="1">
      <c r="A20" s="6" t="s">
        <v>48</v>
      </c>
      <c r="B20" s="36" t="s">
        <v>161</v>
      </c>
      <c r="C20" s="37"/>
      <c r="D20" s="37"/>
      <c r="E20" s="37"/>
      <c r="F20" s="37"/>
      <c r="G20" s="37" t="s">
        <v>162</v>
      </c>
      <c r="H20" s="37"/>
      <c r="I20" s="37"/>
      <c r="J20" s="37"/>
      <c r="K20" s="37" t="s">
        <v>167</v>
      </c>
      <c r="L20" s="37"/>
      <c r="M20" s="37"/>
      <c r="N20" s="37"/>
      <c r="O20" s="42">
        <f>ROUND(6.9 * 1 * 1.2, 0)</f>
        <v>8</v>
      </c>
      <c r="P20" s="37"/>
    </row>
    <row r="21" spans="1:16" ht="15" customHeight="1">
      <c r="A21" s="7"/>
      <c r="B21" s="43" t="s">
        <v>96</v>
      </c>
      <c r="C21" s="43"/>
      <c r="D21" s="43"/>
      <c r="E21" s="43"/>
      <c r="F21" s="43"/>
      <c r="G21" s="43" t="s">
        <v>49</v>
      </c>
      <c r="H21" s="43"/>
      <c r="I21" s="43"/>
      <c r="J21" s="43"/>
      <c r="K21" s="43" t="s">
        <v>49</v>
      </c>
      <c r="L21" s="43"/>
      <c r="M21" s="43"/>
      <c r="N21" s="43"/>
      <c r="O21" s="43"/>
      <c r="P21" s="43"/>
    </row>
    <row r="22" spans="1:16" ht="54.4" customHeight="1">
      <c r="A22" s="8"/>
      <c r="B22" s="44" t="s">
        <v>168</v>
      </c>
      <c r="C22" s="44"/>
      <c r="D22" s="44"/>
      <c r="E22" s="44"/>
      <c r="F22" s="44"/>
      <c r="G22" s="44" t="s">
        <v>169</v>
      </c>
      <c r="H22" s="44"/>
      <c r="I22" s="44"/>
      <c r="J22" s="44"/>
      <c r="K22" s="44" t="s">
        <v>49</v>
      </c>
      <c r="L22" s="44"/>
      <c r="M22" s="44"/>
      <c r="N22" s="44"/>
      <c r="O22" s="44"/>
      <c r="P22" s="44"/>
    </row>
    <row r="23" spans="1:16" ht="108.75" customHeight="1">
      <c r="A23" s="6" t="s">
        <v>51</v>
      </c>
      <c r="B23" s="36" t="s">
        <v>170</v>
      </c>
      <c r="C23" s="37"/>
      <c r="D23" s="37"/>
      <c r="E23" s="37"/>
      <c r="F23" s="37"/>
      <c r="G23" s="37" t="s">
        <v>171</v>
      </c>
      <c r="H23" s="37"/>
      <c r="I23" s="37"/>
      <c r="J23" s="37"/>
      <c r="K23" s="37" t="s">
        <v>172</v>
      </c>
      <c r="L23" s="37"/>
      <c r="M23" s="37"/>
      <c r="N23" s="37"/>
      <c r="O23" s="42">
        <f>ROUND(60 * 0.06, 0)</f>
        <v>4</v>
      </c>
      <c r="P23" s="37"/>
    </row>
    <row r="24" spans="1:16" ht="15" customHeight="1">
      <c r="A24" s="4"/>
      <c r="B24" s="28" t="s">
        <v>50</v>
      </c>
      <c r="C24" s="28"/>
      <c r="D24" s="28"/>
      <c r="E24" s="28"/>
      <c r="F24" s="28"/>
      <c r="G24" s="28"/>
      <c r="H24" s="28"/>
      <c r="I24" s="28"/>
      <c r="J24" s="28"/>
      <c r="K24" s="28" t="s">
        <v>49</v>
      </c>
      <c r="L24" s="28"/>
      <c r="M24" s="28"/>
      <c r="N24" s="28"/>
      <c r="O24" s="45">
        <f>ROUND(SUM($O$17:$O$23),0)</f>
        <v>95</v>
      </c>
      <c r="P24" s="28"/>
    </row>
    <row r="25" spans="1:16" ht="54.4" customHeight="1">
      <c r="A25" s="4" t="s">
        <v>173</v>
      </c>
      <c r="B25" s="26" t="s">
        <v>174</v>
      </c>
      <c r="C25" s="26"/>
      <c r="D25" s="26"/>
      <c r="E25" s="26"/>
      <c r="F25" s="26"/>
      <c r="G25" s="26" t="s">
        <v>175</v>
      </c>
      <c r="H25" s="26"/>
      <c r="I25" s="26"/>
      <c r="J25" s="26"/>
      <c r="K25" s="26" t="s">
        <v>176</v>
      </c>
      <c r="L25" s="26"/>
      <c r="M25" s="26"/>
      <c r="N25" s="26"/>
      <c r="O25" s="46">
        <f>ROUND(($O$24) * (36.4/100),0)</f>
        <v>35</v>
      </c>
      <c r="P25" s="26"/>
    </row>
    <row r="26" spans="1:16" ht="68.099999999999994" customHeight="1">
      <c r="A26" s="4" t="s">
        <v>177</v>
      </c>
      <c r="B26" s="26" t="s">
        <v>178</v>
      </c>
      <c r="C26" s="26"/>
      <c r="D26" s="26"/>
      <c r="E26" s="26"/>
      <c r="F26" s="26"/>
      <c r="G26" s="26" t="s">
        <v>179</v>
      </c>
      <c r="H26" s="26"/>
      <c r="I26" s="26"/>
      <c r="J26" s="26"/>
      <c r="K26" s="26" t="s">
        <v>180</v>
      </c>
      <c r="L26" s="26"/>
      <c r="M26" s="26"/>
      <c r="N26" s="26"/>
      <c r="O26" s="46">
        <f>ROUND(($O$24) * (6/100),0)</f>
        <v>6</v>
      </c>
      <c r="P26" s="26"/>
    </row>
    <row r="27" spans="1:16" ht="15" customHeight="1">
      <c r="A27" s="4"/>
      <c r="B27" s="28" t="s">
        <v>52</v>
      </c>
      <c r="C27" s="28"/>
      <c r="D27" s="28"/>
      <c r="E27" s="28"/>
      <c r="F27" s="28"/>
      <c r="G27" s="28"/>
      <c r="H27" s="28"/>
      <c r="I27" s="28"/>
      <c r="J27" s="28"/>
      <c r="K27" s="28" t="s">
        <v>49</v>
      </c>
      <c r="L27" s="28"/>
      <c r="M27" s="28"/>
      <c r="N27" s="28"/>
      <c r="O27" s="45">
        <f>ROUND(($O$26),0)</f>
        <v>6</v>
      </c>
      <c r="P27" s="28"/>
    </row>
    <row r="28" spans="1:16" ht="15" customHeight="1">
      <c r="A28" s="4"/>
      <c r="B28" s="28" t="s">
        <v>53</v>
      </c>
      <c r="C28" s="28"/>
      <c r="D28" s="28"/>
      <c r="E28" s="28"/>
      <c r="F28" s="28"/>
      <c r="G28" s="28"/>
      <c r="H28" s="28"/>
      <c r="I28" s="28"/>
      <c r="J28" s="28"/>
      <c r="K28" s="28"/>
      <c r="L28" s="28"/>
      <c r="M28" s="28"/>
      <c r="N28" s="28"/>
      <c r="O28" s="28"/>
      <c r="P28" s="28"/>
    </row>
    <row r="29" spans="1:16" ht="163.15" customHeight="1">
      <c r="A29" s="6" t="s">
        <v>54</v>
      </c>
      <c r="B29" s="36" t="s">
        <v>181</v>
      </c>
      <c r="C29" s="37"/>
      <c r="D29" s="37"/>
      <c r="E29" s="37"/>
      <c r="F29" s="37"/>
      <c r="G29" s="37" t="s">
        <v>182</v>
      </c>
      <c r="H29" s="37"/>
      <c r="I29" s="37"/>
      <c r="J29" s="37"/>
      <c r="K29" s="37" t="s">
        <v>183</v>
      </c>
      <c r="L29" s="37"/>
      <c r="M29" s="37"/>
      <c r="N29" s="37"/>
      <c r="O29" s="42">
        <f>ROUND(162.1 * 5, 0)</f>
        <v>811</v>
      </c>
      <c r="P29" s="37"/>
    </row>
    <row r="30" spans="1:16" ht="176.85" customHeight="1">
      <c r="A30" s="6" t="s">
        <v>56</v>
      </c>
      <c r="B30" s="36" t="s">
        <v>184</v>
      </c>
      <c r="C30" s="37"/>
      <c r="D30" s="37"/>
      <c r="E30" s="37"/>
      <c r="F30" s="37"/>
      <c r="G30" s="37" t="s">
        <v>185</v>
      </c>
      <c r="H30" s="37"/>
      <c r="I30" s="37"/>
      <c r="J30" s="37"/>
      <c r="K30" s="37" t="s">
        <v>186</v>
      </c>
      <c r="L30" s="37"/>
      <c r="M30" s="37"/>
      <c r="N30" s="37"/>
      <c r="O30" s="42">
        <f>ROUND(96.2 * 1, 0)</f>
        <v>96</v>
      </c>
      <c r="P30" s="37"/>
    </row>
    <row r="31" spans="1:16" ht="15" customHeight="1">
      <c r="A31" s="4"/>
      <c r="B31" s="28" t="s">
        <v>55</v>
      </c>
      <c r="C31" s="28"/>
      <c r="D31" s="28"/>
      <c r="E31" s="28"/>
      <c r="F31" s="28"/>
      <c r="G31" s="28"/>
      <c r="H31" s="28"/>
      <c r="I31" s="28"/>
      <c r="J31" s="28"/>
      <c r="K31" s="28" t="s">
        <v>49</v>
      </c>
      <c r="L31" s="28"/>
      <c r="M31" s="28"/>
      <c r="N31" s="28"/>
      <c r="O31" s="45">
        <f>ROUND(SUM($O$29:$O$30),0)</f>
        <v>907</v>
      </c>
      <c r="P31" s="28"/>
    </row>
    <row r="32" spans="1:16" ht="15" customHeight="1">
      <c r="A32" s="4"/>
      <c r="B32" s="28" t="s">
        <v>57</v>
      </c>
      <c r="C32" s="28"/>
      <c r="D32" s="28"/>
      <c r="E32" s="28"/>
      <c r="F32" s="28"/>
      <c r="G32" s="28"/>
      <c r="H32" s="28"/>
      <c r="I32" s="28"/>
      <c r="J32" s="28"/>
      <c r="K32" s="28" t="s">
        <v>49</v>
      </c>
      <c r="L32" s="28"/>
      <c r="M32" s="28"/>
      <c r="N32" s="28"/>
      <c r="O32" s="45">
        <f>ROUND(($O$31),0)</f>
        <v>907</v>
      </c>
      <c r="P32" s="28"/>
    </row>
    <row r="33" spans="1:16" ht="15" customHeight="1">
      <c r="A33" s="4"/>
      <c r="B33" s="28" t="s">
        <v>58</v>
      </c>
      <c r="C33" s="28"/>
      <c r="D33" s="28"/>
      <c r="E33" s="28"/>
      <c r="F33" s="28"/>
      <c r="G33" s="28"/>
      <c r="H33" s="28"/>
      <c r="I33" s="28"/>
      <c r="J33" s="28"/>
      <c r="K33" s="28"/>
      <c r="L33" s="28"/>
      <c r="M33" s="28"/>
      <c r="N33" s="28"/>
      <c r="O33" s="28"/>
      <c r="P33" s="28"/>
    </row>
    <row r="34" spans="1:16" ht="163.15" customHeight="1">
      <c r="A34" s="6" t="s">
        <v>59</v>
      </c>
      <c r="B34" s="36" t="s">
        <v>158</v>
      </c>
      <c r="C34" s="37"/>
      <c r="D34" s="37"/>
      <c r="E34" s="37"/>
      <c r="F34" s="37"/>
      <c r="G34" s="37" t="s">
        <v>187</v>
      </c>
      <c r="H34" s="37"/>
      <c r="I34" s="37"/>
      <c r="J34" s="37"/>
      <c r="K34" s="37" t="s">
        <v>188</v>
      </c>
      <c r="L34" s="37"/>
      <c r="M34" s="37"/>
      <c r="N34" s="37"/>
      <c r="O34" s="42">
        <f>ROUND(1.69 * 0.4, 0)</f>
        <v>1</v>
      </c>
      <c r="P34" s="37"/>
    </row>
    <row r="35" spans="1:16" ht="95.25" customHeight="1">
      <c r="A35" s="6" t="s">
        <v>63</v>
      </c>
      <c r="B35" s="36" t="s">
        <v>189</v>
      </c>
      <c r="C35" s="37"/>
      <c r="D35" s="37"/>
      <c r="E35" s="37"/>
      <c r="F35" s="37"/>
      <c r="G35" s="37" t="s">
        <v>190</v>
      </c>
      <c r="H35" s="37"/>
      <c r="I35" s="37"/>
      <c r="J35" s="37"/>
      <c r="K35" s="37" t="s">
        <v>191</v>
      </c>
      <c r="L35" s="37"/>
      <c r="M35" s="37"/>
      <c r="N35" s="37"/>
      <c r="O35" s="42">
        <f>ROUND(1 * 21 / 100, 0)</f>
        <v>0</v>
      </c>
      <c r="P35" s="37"/>
    </row>
    <row r="36" spans="1:16" ht="108.75" customHeight="1">
      <c r="A36" s="6" t="s">
        <v>67</v>
      </c>
      <c r="B36" s="36" t="s">
        <v>192</v>
      </c>
      <c r="C36" s="37"/>
      <c r="D36" s="37"/>
      <c r="E36" s="37"/>
      <c r="F36" s="37"/>
      <c r="G36" s="37" t="s">
        <v>193</v>
      </c>
      <c r="H36" s="37"/>
      <c r="I36" s="37"/>
      <c r="J36" s="37"/>
      <c r="K36" s="37" t="s">
        <v>194</v>
      </c>
      <c r="L36" s="37"/>
      <c r="M36" s="37"/>
      <c r="N36" s="37"/>
      <c r="O36" s="42">
        <f>ROUND(500 * 1, 0)</f>
        <v>500</v>
      </c>
      <c r="P36" s="37"/>
    </row>
    <row r="37" spans="1:16" ht="108.75" customHeight="1">
      <c r="A37" s="6" t="s">
        <v>71</v>
      </c>
      <c r="B37" s="36" t="s">
        <v>170</v>
      </c>
      <c r="C37" s="37"/>
      <c r="D37" s="37"/>
      <c r="E37" s="37"/>
      <c r="F37" s="37"/>
      <c r="G37" s="37" t="s">
        <v>195</v>
      </c>
      <c r="H37" s="37"/>
      <c r="I37" s="37"/>
      <c r="J37" s="37"/>
      <c r="K37" s="37" t="s">
        <v>196</v>
      </c>
      <c r="L37" s="37"/>
      <c r="M37" s="37"/>
      <c r="N37" s="37"/>
      <c r="O37" s="42">
        <f>ROUND(17.8 * 0.06, 0)</f>
        <v>1</v>
      </c>
      <c r="P37" s="37"/>
    </row>
    <row r="38" spans="1:16" ht="95.25" customHeight="1">
      <c r="A38" s="6" t="s">
        <v>73</v>
      </c>
      <c r="B38" s="36" t="s">
        <v>197</v>
      </c>
      <c r="C38" s="37"/>
      <c r="D38" s="37"/>
      <c r="E38" s="37"/>
      <c r="F38" s="37"/>
      <c r="G38" s="37" t="s">
        <v>198</v>
      </c>
      <c r="H38" s="37"/>
      <c r="I38" s="37"/>
      <c r="J38" s="37"/>
      <c r="K38" s="37" t="s">
        <v>199</v>
      </c>
      <c r="L38" s="37"/>
      <c r="M38" s="37"/>
      <c r="N38" s="37"/>
      <c r="O38" s="42">
        <f>ROUND(811 * 12 / 100, 0)</f>
        <v>97</v>
      </c>
      <c r="P38" s="37"/>
    </row>
    <row r="39" spans="1:16" ht="95.25" customHeight="1">
      <c r="A39" s="6" t="s">
        <v>75</v>
      </c>
      <c r="B39" s="36" t="s">
        <v>200</v>
      </c>
      <c r="C39" s="37"/>
      <c r="D39" s="37"/>
      <c r="E39" s="37"/>
      <c r="F39" s="37"/>
      <c r="G39" s="37" t="s">
        <v>201</v>
      </c>
      <c r="H39" s="37"/>
      <c r="I39" s="37"/>
      <c r="J39" s="37"/>
      <c r="K39" s="37" t="s">
        <v>202</v>
      </c>
      <c r="L39" s="37"/>
      <c r="M39" s="37"/>
      <c r="N39" s="37"/>
      <c r="O39" s="42">
        <f>ROUND(907 * 20 / 100, 0)</f>
        <v>181</v>
      </c>
      <c r="P39" s="37"/>
    </row>
    <row r="40" spans="1:16" ht="108.75" customHeight="1">
      <c r="A40" s="6" t="s">
        <v>153</v>
      </c>
      <c r="B40" s="36" t="s">
        <v>203</v>
      </c>
      <c r="C40" s="37"/>
      <c r="D40" s="37"/>
      <c r="E40" s="37"/>
      <c r="F40" s="37"/>
      <c r="G40" s="37" t="s">
        <v>204</v>
      </c>
      <c r="H40" s="37"/>
      <c r="I40" s="37"/>
      <c r="J40" s="37"/>
      <c r="K40" s="37" t="s">
        <v>205</v>
      </c>
      <c r="L40" s="37"/>
      <c r="M40" s="37"/>
      <c r="N40" s="37"/>
      <c r="O40" s="42">
        <f>ROUND(200 * 1, 0)</f>
        <v>200</v>
      </c>
      <c r="P40" s="37"/>
    </row>
    <row r="41" spans="1:16" ht="122.45" customHeight="1">
      <c r="A41" s="6" t="s">
        <v>206</v>
      </c>
      <c r="B41" s="36" t="s">
        <v>207</v>
      </c>
      <c r="C41" s="37"/>
      <c r="D41" s="37"/>
      <c r="E41" s="37"/>
      <c r="F41" s="37"/>
      <c r="G41" s="37" t="s">
        <v>208</v>
      </c>
      <c r="H41" s="37"/>
      <c r="I41" s="37"/>
      <c r="J41" s="37"/>
      <c r="K41" s="37" t="s">
        <v>209</v>
      </c>
      <c r="L41" s="37"/>
      <c r="M41" s="37"/>
      <c r="N41" s="37"/>
      <c r="O41" s="42">
        <f>ROUND(161 * 0.5, 0)</f>
        <v>81</v>
      </c>
      <c r="P41" s="37"/>
    </row>
    <row r="42" spans="1:16" ht="15" customHeight="1">
      <c r="A42" s="4"/>
      <c r="B42" s="28" t="s">
        <v>74</v>
      </c>
      <c r="C42" s="28"/>
      <c r="D42" s="28"/>
      <c r="E42" s="28"/>
      <c r="F42" s="28"/>
      <c r="G42" s="28"/>
      <c r="H42" s="28"/>
      <c r="I42" s="28"/>
      <c r="J42" s="28"/>
      <c r="K42" s="28" t="s">
        <v>49</v>
      </c>
      <c r="L42" s="28"/>
      <c r="M42" s="28"/>
      <c r="N42" s="28"/>
      <c r="O42" s="45">
        <f>ROUND(SUM($O$34:$O$41),0)</f>
        <v>1061</v>
      </c>
      <c r="P42" s="28"/>
    </row>
    <row r="43" spans="1:16" ht="40.9" customHeight="1">
      <c r="A43" s="4" t="s">
        <v>210</v>
      </c>
      <c r="B43" s="26" t="s">
        <v>211</v>
      </c>
      <c r="C43" s="26"/>
      <c r="D43" s="26"/>
      <c r="E43" s="26"/>
      <c r="F43" s="26"/>
      <c r="G43" s="26" t="s">
        <v>49</v>
      </c>
      <c r="H43" s="26"/>
      <c r="I43" s="26"/>
      <c r="J43" s="26"/>
      <c r="K43" s="26" t="s">
        <v>212</v>
      </c>
      <c r="L43" s="26"/>
      <c r="M43" s="26"/>
      <c r="N43" s="26"/>
      <c r="O43" s="46">
        <f>ROUND(($O$42) * 0.21,0)</f>
        <v>223</v>
      </c>
      <c r="P43" s="26"/>
    </row>
    <row r="44" spans="1:16" ht="15" customHeight="1">
      <c r="A44" s="4"/>
      <c r="B44" s="28" t="s">
        <v>76</v>
      </c>
      <c r="C44" s="28"/>
      <c r="D44" s="28"/>
      <c r="E44" s="28"/>
      <c r="F44" s="28"/>
      <c r="G44" s="28"/>
      <c r="H44" s="28"/>
      <c r="I44" s="28"/>
      <c r="J44" s="28"/>
      <c r="K44" s="28" t="s">
        <v>49</v>
      </c>
      <c r="L44" s="28"/>
      <c r="M44" s="28"/>
      <c r="N44" s="28"/>
      <c r="O44" s="45">
        <f>ROUND((SUM($O$42:$O$43)),0)</f>
        <v>1284</v>
      </c>
      <c r="P44" s="28"/>
    </row>
    <row r="45" spans="1:16" ht="27.2" customHeight="1">
      <c r="A45" s="4"/>
      <c r="B45" s="28" t="s">
        <v>77</v>
      </c>
      <c r="C45" s="28"/>
      <c r="D45" s="28"/>
      <c r="E45" s="28"/>
      <c r="F45" s="28"/>
      <c r="G45" s="28"/>
      <c r="H45" s="28"/>
      <c r="I45" s="28"/>
      <c r="J45" s="28"/>
      <c r="K45" s="28"/>
      <c r="L45" s="28"/>
      <c r="M45" s="28"/>
      <c r="N45" s="28"/>
      <c r="O45" s="28"/>
      <c r="P45" s="28"/>
    </row>
    <row r="46" spans="1:16" ht="27.2" customHeight="1">
      <c r="A46" s="4"/>
      <c r="B46" s="28" t="s">
        <v>82</v>
      </c>
      <c r="C46" s="28"/>
      <c r="D46" s="28"/>
      <c r="E46" s="28"/>
      <c r="F46" s="28"/>
      <c r="G46" s="28"/>
      <c r="H46" s="28"/>
      <c r="I46" s="28"/>
      <c r="J46" s="28"/>
      <c r="K46" s="28" t="s">
        <v>49</v>
      </c>
      <c r="L46" s="28"/>
      <c r="M46" s="28"/>
      <c r="N46" s="28"/>
      <c r="O46" s="45">
        <v>0</v>
      </c>
      <c r="P46" s="28"/>
    </row>
    <row r="47" spans="1:16" ht="27.2" customHeight="1">
      <c r="A47" s="4"/>
      <c r="B47" s="28" t="s">
        <v>83</v>
      </c>
      <c r="C47" s="28"/>
      <c r="D47" s="28"/>
      <c r="E47" s="28"/>
      <c r="F47" s="28"/>
      <c r="G47" s="28"/>
      <c r="H47" s="28"/>
      <c r="I47" s="28"/>
      <c r="J47" s="28"/>
      <c r="K47" s="28" t="s">
        <v>49</v>
      </c>
      <c r="L47" s="28"/>
      <c r="M47" s="28"/>
      <c r="N47" s="28"/>
      <c r="O47" s="45">
        <f>ROUND(($O$46),0)</f>
        <v>0</v>
      </c>
      <c r="P47" s="28"/>
    </row>
    <row r="48" spans="1:16" ht="15" customHeight="1">
      <c r="A48" s="4" t="s">
        <v>16</v>
      </c>
      <c r="B48" s="28" t="s">
        <v>84</v>
      </c>
      <c r="C48" s="28"/>
      <c r="D48" s="28"/>
      <c r="E48" s="28"/>
      <c r="F48" s="28"/>
      <c r="G48" s="28"/>
      <c r="H48" s="28"/>
      <c r="I48" s="28"/>
      <c r="J48" s="28"/>
      <c r="K48" s="28" t="s">
        <v>49</v>
      </c>
      <c r="L48" s="28"/>
      <c r="M48" s="28"/>
      <c r="N48" s="28"/>
      <c r="O48" s="45">
        <f>ROUND($O$27+$O$32+$O$44+$O$47,0)</f>
        <v>2197</v>
      </c>
      <c r="P48" s="28"/>
    </row>
    <row r="49" spans="1:16" ht="40.9" customHeight="1">
      <c r="A49" s="4" t="s">
        <v>18</v>
      </c>
      <c r="B49" s="26" t="s">
        <v>213</v>
      </c>
      <c r="C49" s="26"/>
      <c r="D49" s="26"/>
      <c r="E49" s="26"/>
      <c r="F49" s="26"/>
      <c r="G49" s="26" t="s">
        <v>86</v>
      </c>
      <c r="H49" s="26"/>
      <c r="I49" s="26"/>
      <c r="J49" s="26"/>
      <c r="K49" s="26" t="s">
        <v>214</v>
      </c>
      <c r="L49" s="26"/>
      <c r="M49" s="26"/>
      <c r="N49" s="26"/>
      <c r="O49" s="46">
        <f>ROUND(($O$48) * 80.58,0)</f>
        <v>177034</v>
      </c>
      <c r="P49" s="26"/>
    </row>
    <row r="50" spans="1:16" ht="15" customHeight="1">
      <c r="A50" s="4" t="s">
        <v>20</v>
      </c>
      <c r="B50" s="28" t="s">
        <v>88</v>
      </c>
      <c r="C50" s="28"/>
      <c r="D50" s="28"/>
      <c r="E50" s="28"/>
      <c r="F50" s="28"/>
      <c r="G50" s="28"/>
      <c r="H50" s="28"/>
      <c r="I50" s="28"/>
      <c r="J50" s="28"/>
      <c r="K50" s="28" t="s">
        <v>49</v>
      </c>
      <c r="L50" s="28"/>
      <c r="M50" s="28"/>
      <c r="N50" s="28"/>
      <c r="O50" s="45">
        <f>ROUND(($O$49),0)</f>
        <v>177034</v>
      </c>
      <c r="P50" s="28"/>
    </row>
    <row r="51" spans="1:16" ht="15" customHeight="1"/>
    <row r="52" spans="1:16" ht="15" customHeight="1"/>
    <row r="53" spans="1:16" ht="15" customHeight="1">
      <c r="A53" s="21" t="s">
        <v>89</v>
      </c>
      <c r="B53" s="21"/>
      <c r="C53" s="21"/>
      <c r="D53" s="55" t="s">
        <v>373</v>
      </c>
      <c r="E53" s="55"/>
      <c r="F53" s="55"/>
      <c r="G53" s="55"/>
      <c r="H53" s="55"/>
      <c r="I53" s="55"/>
      <c r="J53" s="55"/>
      <c r="K53" s="55"/>
      <c r="L53" s="55"/>
      <c r="M53" s="55"/>
      <c r="N53" s="55"/>
      <c r="O53" s="55"/>
      <c r="P53" s="55"/>
    </row>
    <row r="54" spans="1:16" ht="15" customHeight="1">
      <c r="A54" s="14"/>
      <c r="B54" s="14"/>
      <c r="C54" s="14"/>
      <c r="D54" s="60" t="s">
        <v>90</v>
      </c>
      <c r="E54" s="60"/>
      <c r="F54" s="60"/>
      <c r="G54" s="60"/>
      <c r="H54" s="60"/>
      <c r="I54" s="60"/>
      <c r="J54" s="60"/>
      <c r="K54" s="60"/>
      <c r="L54" s="60"/>
      <c r="M54" s="60"/>
      <c r="N54" s="60"/>
      <c r="O54" s="60"/>
      <c r="P54" s="60"/>
    </row>
  </sheetData>
  <mergeCells count="161">
    <mergeCell ref="B49:F49"/>
    <mergeCell ref="G49:J49"/>
    <mergeCell ref="K49:N49"/>
    <mergeCell ref="O49:P49"/>
    <mergeCell ref="D53:P53"/>
    <mergeCell ref="B50:F50"/>
    <mergeCell ref="G50:J50"/>
    <mergeCell ref="K50:N50"/>
    <mergeCell ref="O50:P50"/>
    <mergeCell ref="A53:C53"/>
    <mergeCell ref="D54:P54"/>
    <mergeCell ref="B46:F46"/>
    <mergeCell ref="G46:J46"/>
    <mergeCell ref="K46:N46"/>
    <mergeCell ref="O46:P46"/>
    <mergeCell ref="B47:F47"/>
    <mergeCell ref="G47:J47"/>
    <mergeCell ref="K47:N47"/>
    <mergeCell ref="O47:P47"/>
    <mergeCell ref="B48:F48"/>
    <mergeCell ref="G48:J48"/>
    <mergeCell ref="K48:N48"/>
    <mergeCell ref="O48:P48"/>
    <mergeCell ref="B43:F43"/>
    <mergeCell ref="G43:J43"/>
    <mergeCell ref="K43:N43"/>
    <mergeCell ref="O43:P43"/>
    <mergeCell ref="B44:F44"/>
    <mergeCell ref="G44:J44"/>
    <mergeCell ref="K44:N44"/>
    <mergeCell ref="O44:P44"/>
    <mergeCell ref="B45:F45"/>
    <mergeCell ref="G45:J45"/>
    <mergeCell ref="K45:N45"/>
    <mergeCell ref="O45:P45"/>
    <mergeCell ref="B40:F40"/>
    <mergeCell ref="G40:J40"/>
    <mergeCell ref="K40:N40"/>
    <mergeCell ref="O40:P40"/>
    <mergeCell ref="B41:F41"/>
    <mergeCell ref="G41:J41"/>
    <mergeCell ref="K41:N41"/>
    <mergeCell ref="O41:P41"/>
    <mergeCell ref="B42:F42"/>
    <mergeCell ref="G42:J42"/>
    <mergeCell ref="K42:N42"/>
    <mergeCell ref="O42:P42"/>
    <mergeCell ref="B37:F37"/>
    <mergeCell ref="G37:J37"/>
    <mergeCell ref="K37:N37"/>
    <mergeCell ref="O37:P37"/>
    <mergeCell ref="B38:F38"/>
    <mergeCell ref="G38:J38"/>
    <mergeCell ref="K38:N38"/>
    <mergeCell ref="O38:P38"/>
    <mergeCell ref="B39:F39"/>
    <mergeCell ref="G39:J39"/>
    <mergeCell ref="K39:N39"/>
    <mergeCell ref="O39:P39"/>
    <mergeCell ref="B34:F34"/>
    <mergeCell ref="G34:J34"/>
    <mergeCell ref="K34:N34"/>
    <mergeCell ref="O34:P34"/>
    <mergeCell ref="B35:F35"/>
    <mergeCell ref="G35:J35"/>
    <mergeCell ref="K35:N35"/>
    <mergeCell ref="O35:P35"/>
    <mergeCell ref="B36:F36"/>
    <mergeCell ref="G36:J36"/>
    <mergeCell ref="K36:N36"/>
    <mergeCell ref="O36:P36"/>
    <mergeCell ref="B31:F31"/>
    <mergeCell ref="G31:J31"/>
    <mergeCell ref="K31:N31"/>
    <mergeCell ref="O31:P31"/>
    <mergeCell ref="B32:F32"/>
    <mergeCell ref="G32:J32"/>
    <mergeCell ref="K32:N32"/>
    <mergeCell ref="O32:P32"/>
    <mergeCell ref="B33:F33"/>
    <mergeCell ref="G33:J33"/>
    <mergeCell ref="K33:N33"/>
    <mergeCell ref="O33:P33"/>
    <mergeCell ref="B28:F28"/>
    <mergeCell ref="G28:J28"/>
    <mergeCell ref="K28:N28"/>
    <mergeCell ref="O28:P28"/>
    <mergeCell ref="B29:F29"/>
    <mergeCell ref="G29:J29"/>
    <mergeCell ref="K29:N29"/>
    <mergeCell ref="O29:P29"/>
    <mergeCell ref="B30:F30"/>
    <mergeCell ref="G30:J30"/>
    <mergeCell ref="K30:N30"/>
    <mergeCell ref="O30:P30"/>
    <mergeCell ref="B25:F25"/>
    <mergeCell ref="G25:J25"/>
    <mergeCell ref="K25:N25"/>
    <mergeCell ref="O25:P25"/>
    <mergeCell ref="B26:F26"/>
    <mergeCell ref="G26:J26"/>
    <mergeCell ref="K26:N26"/>
    <mergeCell ref="O26:P26"/>
    <mergeCell ref="B27:F27"/>
    <mergeCell ref="G27:J27"/>
    <mergeCell ref="K27:N27"/>
    <mergeCell ref="O27:P27"/>
    <mergeCell ref="B22:F22"/>
    <mergeCell ref="G22:J22"/>
    <mergeCell ref="K22:N22"/>
    <mergeCell ref="O22:P22"/>
    <mergeCell ref="B23:F23"/>
    <mergeCell ref="G23:J23"/>
    <mergeCell ref="K23:N23"/>
    <mergeCell ref="O23:P23"/>
    <mergeCell ref="B24:F24"/>
    <mergeCell ref="G24:J24"/>
    <mergeCell ref="K24:N24"/>
    <mergeCell ref="O24:P24"/>
    <mergeCell ref="B19:F19"/>
    <mergeCell ref="G19:J19"/>
    <mergeCell ref="K19:N19"/>
    <mergeCell ref="O19:P19"/>
    <mergeCell ref="B20:F20"/>
    <mergeCell ref="G20:J20"/>
    <mergeCell ref="K20:N20"/>
    <mergeCell ref="O20:P20"/>
    <mergeCell ref="B21:F21"/>
    <mergeCell ref="G21:J21"/>
    <mergeCell ref="K21:N21"/>
    <mergeCell ref="O21:P21"/>
    <mergeCell ref="B16:F16"/>
    <mergeCell ref="G16:J16"/>
    <mergeCell ref="K16:N16"/>
    <mergeCell ref="O16:P16"/>
    <mergeCell ref="B17:F17"/>
    <mergeCell ref="G17:J17"/>
    <mergeCell ref="K17:N17"/>
    <mergeCell ref="O17:P17"/>
    <mergeCell ref="B18:F18"/>
    <mergeCell ref="G18:J18"/>
    <mergeCell ref="K18:N18"/>
    <mergeCell ref="O18:P18"/>
    <mergeCell ref="A1:D1"/>
    <mergeCell ref="E1:P1"/>
    <mergeCell ref="A8:P8"/>
    <mergeCell ref="A9:P9"/>
    <mergeCell ref="A11:P11"/>
    <mergeCell ref="A12:P12"/>
    <mergeCell ref="B14:F14"/>
    <mergeCell ref="B15:F15"/>
    <mergeCell ref="G14:J14"/>
    <mergeCell ref="G15:J15"/>
    <mergeCell ref="K14:N14"/>
    <mergeCell ref="K15:N15"/>
    <mergeCell ref="O14:P14"/>
    <mergeCell ref="O15:P15"/>
    <mergeCell ref="L2:P2"/>
    <mergeCell ref="L3:P3"/>
    <mergeCell ref="O4:P4"/>
    <mergeCell ref="L5:P5"/>
  </mergeCells>
  <pageMargins left="0.4" right="0.4" top="0.75" bottom="0.75" header="0.3" footer="0.3"/>
  <pageSetup paperSize="9" scale="75" orientation="portrait" r:id="rId1"/>
</worksheet>
</file>

<file path=xl/worksheets/sheet5.xml><?xml version="1.0" encoding="utf-8"?>
<worksheet xmlns="http://schemas.openxmlformats.org/spreadsheetml/2006/main" xmlns:r="http://schemas.openxmlformats.org/officeDocument/2006/relationships">
  <dimension ref="A1:AX120"/>
  <sheetViews>
    <sheetView showRuler="0" view="pageBreakPreview" topLeftCell="A10" zoomScale="60" zoomScaleNormal="100" workbookViewId="0">
      <selection activeCell="F13" sqref="F13:P13"/>
    </sheetView>
  </sheetViews>
  <sheetFormatPr defaultRowHeight="15"/>
  <cols>
    <col min="1" max="1" width="6.42578125" style="1" customWidth="1"/>
    <col min="2" max="50" width="8" style="1" customWidth="1"/>
  </cols>
  <sheetData>
    <row r="1" spans="1:50" ht="12.75" customHeight="1">
      <c r="A1" s="17" t="s">
        <v>368</v>
      </c>
      <c r="B1" s="17"/>
      <c r="C1" s="17"/>
      <c r="D1" s="17"/>
      <c r="E1" s="18"/>
      <c r="F1" s="18"/>
      <c r="G1" s="18"/>
      <c r="H1" s="18"/>
      <c r="I1" s="18"/>
      <c r="J1" s="18"/>
      <c r="K1" s="18"/>
      <c r="L1" s="18"/>
      <c r="M1" s="18"/>
      <c r="N1" s="18"/>
      <c r="O1" s="18"/>
      <c r="P1" s="18"/>
    </row>
    <row r="2" spans="1:50" ht="15.75" customHeight="1">
      <c r="A2" s="59"/>
      <c r="B2" s="15"/>
      <c r="C2" s="15"/>
      <c r="D2" s="15"/>
      <c r="E2" s="16"/>
      <c r="F2" s="16"/>
      <c r="G2" s="16"/>
      <c r="H2" s="16"/>
      <c r="I2" s="16"/>
      <c r="J2" s="16"/>
      <c r="K2" s="16"/>
      <c r="L2" s="33" t="s">
        <v>362</v>
      </c>
      <c r="M2" s="33"/>
      <c r="N2" s="33"/>
      <c r="O2" s="33"/>
      <c r="P2" s="33"/>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row>
    <row r="3" spans="1:50" ht="30.75" customHeight="1">
      <c r="A3" s="59"/>
      <c r="B3" s="15"/>
      <c r="C3" s="15"/>
      <c r="D3" s="15"/>
      <c r="E3" s="16"/>
      <c r="F3" s="16"/>
      <c r="G3" s="16"/>
      <c r="H3" s="16"/>
      <c r="I3" s="16"/>
      <c r="J3" s="16"/>
      <c r="K3" s="16"/>
      <c r="L3" s="21" t="s">
        <v>363</v>
      </c>
      <c r="M3" s="21"/>
      <c r="N3" s="21"/>
      <c r="O3" s="21"/>
      <c r="P3" s="21"/>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row>
    <row r="4" spans="1:50" ht="35.25" customHeight="1">
      <c r="A4" s="59"/>
      <c r="B4" s="15"/>
      <c r="C4" s="15"/>
      <c r="D4" s="15"/>
      <c r="E4" s="16"/>
      <c r="F4" s="16"/>
      <c r="G4" s="16"/>
      <c r="H4" s="16"/>
      <c r="I4" s="16"/>
      <c r="J4" s="16"/>
      <c r="K4" s="16"/>
      <c r="L4" s="48"/>
      <c r="M4" s="48"/>
      <c r="N4" s="48"/>
      <c r="O4" s="49" t="s">
        <v>364</v>
      </c>
      <c r="P4" s="50"/>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row>
    <row r="5" spans="1:50" ht="21" customHeight="1">
      <c r="A5" s="59"/>
      <c r="B5" s="15"/>
      <c r="C5" s="15"/>
      <c r="D5" s="15"/>
      <c r="E5" s="16"/>
      <c r="F5" s="16"/>
      <c r="G5" s="16"/>
      <c r="H5" s="16"/>
      <c r="I5" s="16"/>
      <c r="J5" s="16"/>
      <c r="K5" s="16"/>
      <c r="L5" s="53" t="s">
        <v>365</v>
      </c>
      <c r="M5" s="53"/>
      <c r="N5" s="53"/>
      <c r="O5" s="53"/>
      <c r="P5" s="53"/>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row>
    <row r="6" spans="1:50" ht="16.5" customHeight="1">
      <c r="A6" s="59"/>
      <c r="B6" s="15"/>
      <c r="C6" s="15"/>
      <c r="D6" s="15"/>
      <c r="E6" s="16"/>
      <c r="F6" s="16"/>
      <c r="G6" s="16"/>
      <c r="H6" s="16"/>
      <c r="I6" s="16"/>
      <c r="J6" s="16"/>
      <c r="K6" s="16"/>
      <c r="L6" s="51" t="s">
        <v>366</v>
      </c>
      <c r="M6" s="16"/>
      <c r="N6" s="16"/>
      <c r="O6" s="16"/>
      <c r="P6" s="16"/>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row>
    <row r="7" spans="1:50" ht="15" customHeight="1"/>
    <row r="8" spans="1:50" ht="15" customHeight="1">
      <c r="A8" s="19" t="s">
        <v>215</v>
      </c>
      <c r="B8" s="19"/>
      <c r="C8" s="19"/>
      <c r="D8" s="19"/>
      <c r="E8" s="19"/>
      <c r="F8" s="19"/>
      <c r="G8" s="19"/>
      <c r="H8" s="19"/>
      <c r="I8" s="19"/>
      <c r="J8" s="19"/>
      <c r="K8" s="19"/>
      <c r="L8" s="19"/>
      <c r="M8" s="19"/>
      <c r="N8" s="19"/>
      <c r="O8" s="19"/>
      <c r="P8" s="19"/>
    </row>
    <row r="9" spans="1:50" ht="15" customHeight="1">
      <c r="A9" s="20" t="s">
        <v>216</v>
      </c>
      <c r="B9" s="20"/>
      <c r="C9" s="20"/>
      <c r="D9" s="20"/>
      <c r="E9" s="20"/>
      <c r="F9" s="20"/>
      <c r="G9" s="20"/>
      <c r="H9" s="20"/>
      <c r="I9" s="20"/>
      <c r="J9" s="20"/>
      <c r="K9" s="20"/>
      <c r="L9" s="20"/>
      <c r="M9" s="20"/>
      <c r="N9" s="20"/>
      <c r="O9" s="20"/>
      <c r="P9" s="20"/>
    </row>
    <row r="10" spans="1:50" ht="15" customHeight="1"/>
    <row r="11" spans="1:50" ht="27.2" customHeight="1">
      <c r="A11" s="21" t="s">
        <v>2</v>
      </c>
      <c r="B11" s="21"/>
      <c r="C11" s="21"/>
      <c r="D11" s="21"/>
      <c r="E11" s="21"/>
      <c r="F11" s="47" t="s">
        <v>374</v>
      </c>
      <c r="G11" s="47"/>
      <c r="H11" s="47"/>
      <c r="I11" s="47"/>
      <c r="J11" s="47"/>
      <c r="K11" s="47"/>
      <c r="L11" s="47"/>
      <c r="M11" s="47"/>
      <c r="N11" s="47"/>
      <c r="O11" s="47"/>
      <c r="P11" s="47"/>
    </row>
    <row r="12" spans="1:50" ht="15" customHeight="1"/>
    <row r="13" spans="1:50" ht="54.4" customHeight="1">
      <c r="A13" s="21" t="s">
        <v>217</v>
      </c>
      <c r="B13" s="21"/>
      <c r="C13" s="21"/>
      <c r="D13" s="21"/>
      <c r="E13" s="21"/>
      <c r="F13" s="47" t="s">
        <v>15</v>
      </c>
      <c r="G13" s="47"/>
      <c r="H13" s="47"/>
      <c r="I13" s="47"/>
      <c r="J13" s="47"/>
      <c r="K13" s="47"/>
      <c r="L13" s="47"/>
      <c r="M13" s="47"/>
      <c r="N13" s="47"/>
      <c r="O13" s="47"/>
      <c r="P13" s="47"/>
    </row>
    <row r="14" spans="1:50" ht="15" customHeight="1"/>
    <row r="15" spans="1:50" ht="40.9" customHeight="1">
      <c r="A15" s="2" t="s">
        <v>31</v>
      </c>
      <c r="B15" s="25" t="s">
        <v>218</v>
      </c>
      <c r="C15" s="25"/>
      <c r="D15" s="25"/>
      <c r="E15" s="25"/>
      <c r="F15" s="25"/>
      <c r="G15" s="25" t="s">
        <v>219</v>
      </c>
      <c r="H15" s="25"/>
      <c r="I15" s="25"/>
      <c r="J15" s="25"/>
      <c r="K15" s="25" t="s">
        <v>34</v>
      </c>
      <c r="L15" s="25"/>
      <c r="M15" s="25"/>
      <c r="N15" s="25"/>
      <c r="O15" s="25" t="s">
        <v>220</v>
      </c>
      <c r="P15" s="25"/>
    </row>
    <row r="16" spans="1:50" ht="15" customHeight="1">
      <c r="A16" s="2">
        <v>1</v>
      </c>
      <c r="B16" s="25">
        <v>2</v>
      </c>
      <c r="C16" s="25"/>
      <c r="D16" s="25"/>
      <c r="E16" s="25"/>
      <c r="F16" s="25"/>
      <c r="G16" s="25">
        <v>3</v>
      </c>
      <c r="H16" s="25"/>
      <c r="I16" s="25"/>
      <c r="J16" s="25"/>
      <c r="K16" s="25">
        <v>4</v>
      </c>
      <c r="L16" s="25"/>
      <c r="M16" s="25"/>
      <c r="N16" s="25"/>
      <c r="O16" s="25">
        <v>5</v>
      </c>
      <c r="P16" s="25"/>
    </row>
    <row r="17" spans="1:16" ht="163.15" customHeight="1">
      <c r="A17" s="5"/>
      <c r="B17" s="36" t="s">
        <v>221</v>
      </c>
      <c r="C17" s="37"/>
      <c r="D17" s="37"/>
      <c r="E17" s="37"/>
      <c r="F17" s="37"/>
      <c r="G17" s="37" t="s">
        <v>222</v>
      </c>
      <c r="H17" s="37"/>
      <c r="I17" s="37"/>
      <c r="J17" s="37"/>
      <c r="K17" s="37" t="s">
        <v>223</v>
      </c>
      <c r="L17" s="37"/>
      <c r="M17" s="37"/>
      <c r="N17" s="37"/>
      <c r="O17" s="42" t="s">
        <v>224</v>
      </c>
      <c r="P17" s="37"/>
    </row>
    <row r="18" spans="1:16" ht="15" customHeight="1">
      <c r="A18" s="7"/>
      <c r="B18" s="43" t="s">
        <v>96</v>
      </c>
      <c r="C18" s="43"/>
      <c r="D18" s="43"/>
      <c r="E18" s="43"/>
      <c r="F18" s="43"/>
      <c r="G18" s="43" t="s">
        <v>49</v>
      </c>
      <c r="H18" s="43"/>
      <c r="I18" s="43"/>
      <c r="J18" s="43"/>
      <c r="K18" s="43" t="s">
        <v>49</v>
      </c>
      <c r="L18" s="43"/>
      <c r="M18" s="43"/>
      <c r="N18" s="43"/>
      <c r="O18" s="43"/>
      <c r="P18" s="43"/>
    </row>
    <row r="19" spans="1:16" ht="15" customHeight="1">
      <c r="A19" s="8"/>
      <c r="B19" s="44" t="s">
        <v>225</v>
      </c>
      <c r="C19" s="44"/>
      <c r="D19" s="44"/>
      <c r="E19" s="44"/>
      <c r="F19" s="44"/>
      <c r="G19" s="44" t="s">
        <v>226</v>
      </c>
      <c r="H19" s="44"/>
      <c r="I19" s="44"/>
      <c r="J19" s="44"/>
      <c r="K19" s="44" t="s">
        <v>49</v>
      </c>
      <c r="L19" s="44"/>
      <c r="M19" s="44"/>
      <c r="N19" s="44"/>
      <c r="O19" s="44"/>
      <c r="P19" s="44"/>
    </row>
    <row r="20" spans="1:16" ht="15" customHeight="1">
      <c r="A20" s="8"/>
      <c r="B20" s="44" t="s">
        <v>97</v>
      </c>
      <c r="C20" s="44"/>
      <c r="D20" s="44"/>
      <c r="E20" s="44"/>
      <c r="F20" s="44"/>
      <c r="G20" s="44" t="s">
        <v>98</v>
      </c>
      <c r="H20" s="44"/>
      <c r="I20" s="44"/>
      <c r="J20" s="44"/>
      <c r="K20" s="44" t="s">
        <v>49</v>
      </c>
      <c r="L20" s="44"/>
      <c r="M20" s="44"/>
      <c r="N20" s="44"/>
      <c r="O20" s="44"/>
      <c r="P20" s="44"/>
    </row>
    <row r="21" spans="1:16" ht="68.099999999999994" customHeight="1">
      <c r="A21" s="8"/>
      <c r="B21" s="44" t="s">
        <v>227</v>
      </c>
      <c r="C21" s="44"/>
      <c r="D21" s="44"/>
      <c r="E21" s="44"/>
      <c r="F21" s="44"/>
      <c r="G21" s="44" t="s">
        <v>228</v>
      </c>
      <c r="H21" s="44"/>
      <c r="I21" s="44"/>
      <c r="J21" s="44"/>
      <c r="K21" s="44" t="s">
        <v>49</v>
      </c>
      <c r="L21" s="44"/>
      <c r="M21" s="44"/>
      <c r="N21" s="44"/>
      <c r="O21" s="44"/>
      <c r="P21" s="44"/>
    </row>
    <row r="22" spans="1:16" ht="163.15" customHeight="1">
      <c r="A22" s="5"/>
      <c r="B22" s="36" t="s">
        <v>229</v>
      </c>
      <c r="C22" s="37"/>
      <c r="D22" s="37"/>
      <c r="E22" s="37"/>
      <c r="F22" s="37"/>
      <c r="G22" s="37" t="s">
        <v>230</v>
      </c>
      <c r="H22" s="37"/>
      <c r="I22" s="37"/>
      <c r="J22" s="37"/>
      <c r="K22" s="37" t="s">
        <v>231</v>
      </c>
      <c r="L22" s="37"/>
      <c r="M22" s="37"/>
      <c r="N22" s="37"/>
      <c r="O22" s="42" t="s">
        <v>232</v>
      </c>
      <c r="P22" s="37"/>
    </row>
    <row r="23" spans="1:16" ht="15" customHeight="1">
      <c r="A23" s="7"/>
      <c r="B23" s="43" t="s">
        <v>96</v>
      </c>
      <c r="C23" s="43"/>
      <c r="D23" s="43"/>
      <c r="E23" s="43"/>
      <c r="F23" s="43"/>
      <c r="G23" s="43" t="s">
        <v>49</v>
      </c>
      <c r="H23" s="43"/>
      <c r="I23" s="43"/>
      <c r="J23" s="43"/>
      <c r="K23" s="43" t="s">
        <v>49</v>
      </c>
      <c r="L23" s="43"/>
      <c r="M23" s="43"/>
      <c r="N23" s="43"/>
      <c r="O23" s="43"/>
      <c r="P23" s="43"/>
    </row>
    <row r="24" spans="1:16" ht="15" customHeight="1">
      <c r="A24" s="8"/>
      <c r="B24" s="44" t="s">
        <v>225</v>
      </c>
      <c r="C24" s="44"/>
      <c r="D24" s="44"/>
      <c r="E24" s="44"/>
      <c r="F24" s="44"/>
      <c r="G24" s="44" t="s">
        <v>226</v>
      </c>
      <c r="H24" s="44"/>
      <c r="I24" s="44"/>
      <c r="J24" s="44"/>
      <c r="K24" s="44" t="s">
        <v>49</v>
      </c>
      <c r="L24" s="44"/>
      <c r="M24" s="44"/>
      <c r="N24" s="44"/>
      <c r="O24" s="44"/>
      <c r="P24" s="44"/>
    </row>
    <row r="25" spans="1:16" ht="15" customHeight="1">
      <c r="A25" s="8"/>
      <c r="B25" s="44" t="s">
        <v>97</v>
      </c>
      <c r="C25" s="44"/>
      <c r="D25" s="44"/>
      <c r="E25" s="44"/>
      <c r="F25" s="44"/>
      <c r="G25" s="44" t="s">
        <v>98</v>
      </c>
      <c r="H25" s="44"/>
      <c r="I25" s="44"/>
      <c r="J25" s="44"/>
      <c r="K25" s="44" t="s">
        <v>49</v>
      </c>
      <c r="L25" s="44"/>
      <c r="M25" s="44"/>
      <c r="N25" s="44"/>
      <c r="O25" s="44"/>
      <c r="P25" s="44"/>
    </row>
    <row r="26" spans="1:16" ht="68.099999999999994" customHeight="1">
      <c r="A26" s="8"/>
      <c r="B26" s="44" t="s">
        <v>227</v>
      </c>
      <c r="C26" s="44"/>
      <c r="D26" s="44"/>
      <c r="E26" s="44"/>
      <c r="F26" s="44"/>
      <c r="G26" s="44" t="s">
        <v>228</v>
      </c>
      <c r="H26" s="44"/>
      <c r="I26" s="44"/>
      <c r="J26" s="44"/>
      <c r="K26" s="44" t="s">
        <v>49</v>
      </c>
      <c r="L26" s="44"/>
      <c r="M26" s="44"/>
      <c r="N26" s="44"/>
      <c r="O26" s="44"/>
      <c r="P26" s="44"/>
    </row>
    <row r="27" spans="1:16" ht="163.15" customHeight="1">
      <c r="A27" s="5"/>
      <c r="B27" s="36" t="s">
        <v>233</v>
      </c>
      <c r="C27" s="37"/>
      <c r="D27" s="37"/>
      <c r="E27" s="37"/>
      <c r="F27" s="37"/>
      <c r="G27" s="37" t="s">
        <v>234</v>
      </c>
      <c r="H27" s="37"/>
      <c r="I27" s="37"/>
      <c r="J27" s="37"/>
      <c r="K27" s="37" t="s">
        <v>235</v>
      </c>
      <c r="L27" s="37"/>
      <c r="M27" s="37"/>
      <c r="N27" s="37"/>
      <c r="O27" s="42" t="s">
        <v>236</v>
      </c>
      <c r="P27" s="37"/>
    </row>
    <row r="28" spans="1:16" ht="15" customHeight="1">
      <c r="A28" s="7"/>
      <c r="B28" s="43" t="s">
        <v>96</v>
      </c>
      <c r="C28" s="43"/>
      <c r="D28" s="43"/>
      <c r="E28" s="43"/>
      <c r="F28" s="43"/>
      <c r="G28" s="43" t="s">
        <v>49</v>
      </c>
      <c r="H28" s="43"/>
      <c r="I28" s="43"/>
      <c r="J28" s="43"/>
      <c r="K28" s="43" t="s">
        <v>49</v>
      </c>
      <c r="L28" s="43"/>
      <c r="M28" s="43"/>
      <c r="N28" s="43"/>
      <c r="O28" s="43"/>
      <c r="P28" s="43"/>
    </row>
    <row r="29" spans="1:16" ht="15" customHeight="1">
      <c r="A29" s="8"/>
      <c r="B29" s="44" t="s">
        <v>225</v>
      </c>
      <c r="C29" s="44"/>
      <c r="D29" s="44"/>
      <c r="E29" s="44"/>
      <c r="F29" s="44"/>
      <c r="G29" s="44" t="s">
        <v>226</v>
      </c>
      <c r="H29" s="44"/>
      <c r="I29" s="44"/>
      <c r="J29" s="44"/>
      <c r="K29" s="44" t="s">
        <v>49</v>
      </c>
      <c r="L29" s="44"/>
      <c r="M29" s="44"/>
      <c r="N29" s="44"/>
      <c r="O29" s="44"/>
      <c r="P29" s="44"/>
    </row>
    <row r="30" spans="1:16" ht="15" customHeight="1">
      <c r="A30" s="8"/>
      <c r="B30" s="44" t="s">
        <v>97</v>
      </c>
      <c r="C30" s="44"/>
      <c r="D30" s="44"/>
      <c r="E30" s="44"/>
      <c r="F30" s="44"/>
      <c r="G30" s="44" t="s">
        <v>98</v>
      </c>
      <c r="H30" s="44"/>
      <c r="I30" s="44"/>
      <c r="J30" s="44"/>
      <c r="K30" s="44" t="s">
        <v>49</v>
      </c>
      <c r="L30" s="44"/>
      <c r="M30" s="44"/>
      <c r="N30" s="44"/>
      <c r="O30" s="44"/>
      <c r="P30" s="44"/>
    </row>
    <row r="31" spans="1:16" ht="68.099999999999994" customHeight="1">
      <c r="A31" s="8"/>
      <c r="B31" s="44" t="s">
        <v>227</v>
      </c>
      <c r="C31" s="44"/>
      <c r="D31" s="44"/>
      <c r="E31" s="44"/>
      <c r="F31" s="44"/>
      <c r="G31" s="44" t="s">
        <v>228</v>
      </c>
      <c r="H31" s="44"/>
      <c r="I31" s="44"/>
      <c r="J31" s="44"/>
      <c r="K31" s="44" t="s">
        <v>49</v>
      </c>
      <c r="L31" s="44"/>
      <c r="M31" s="44"/>
      <c r="N31" s="44"/>
      <c r="O31" s="44"/>
      <c r="P31" s="44"/>
    </row>
    <row r="32" spans="1:16" ht="149.65" customHeight="1">
      <c r="A32" s="5"/>
      <c r="B32" s="36" t="s">
        <v>237</v>
      </c>
      <c r="C32" s="37"/>
      <c r="D32" s="37"/>
      <c r="E32" s="37"/>
      <c r="F32" s="37"/>
      <c r="G32" s="37" t="s">
        <v>238</v>
      </c>
      <c r="H32" s="37"/>
      <c r="I32" s="37"/>
      <c r="J32" s="37"/>
      <c r="K32" s="37" t="s">
        <v>239</v>
      </c>
      <c r="L32" s="37"/>
      <c r="M32" s="37"/>
      <c r="N32" s="37"/>
      <c r="O32" s="42" t="s">
        <v>240</v>
      </c>
      <c r="P32" s="37"/>
    </row>
    <row r="33" spans="1:16" ht="15" customHeight="1">
      <c r="A33" s="7"/>
      <c r="B33" s="43" t="s">
        <v>96</v>
      </c>
      <c r="C33" s="43"/>
      <c r="D33" s="43"/>
      <c r="E33" s="43"/>
      <c r="F33" s="43"/>
      <c r="G33" s="43" t="s">
        <v>49</v>
      </c>
      <c r="H33" s="43"/>
      <c r="I33" s="43"/>
      <c r="J33" s="43"/>
      <c r="K33" s="43" t="s">
        <v>49</v>
      </c>
      <c r="L33" s="43"/>
      <c r="M33" s="43"/>
      <c r="N33" s="43"/>
      <c r="O33" s="43"/>
      <c r="P33" s="43"/>
    </row>
    <row r="34" spans="1:16" ht="15" customHeight="1">
      <c r="A34" s="8"/>
      <c r="B34" s="44" t="s">
        <v>225</v>
      </c>
      <c r="C34" s="44"/>
      <c r="D34" s="44"/>
      <c r="E34" s="44"/>
      <c r="F34" s="44"/>
      <c r="G34" s="44" t="s">
        <v>226</v>
      </c>
      <c r="H34" s="44"/>
      <c r="I34" s="44"/>
      <c r="J34" s="44"/>
      <c r="K34" s="44" t="s">
        <v>49</v>
      </c>
      <c r="L34" s="44"/>
      <c r="M34" s="44"/>
      <c r="N34" s="44"/>
      <c r="O34" s="44"/>
      <c r="P34" s="44"/>
    </row>
    <row r="35" spans="1:16" ht="15" customHeight="1">
      <c r="A35" s="8"/>
      <c r="B35" s="44" t="s">
        <v>97</v>
      </c>
      <c r="C35" s="44"/>
      <c r="D35" s="44"/>
      <c r="E35" s="44"/>
      <c r="F35" s="44"/>
      <c r="G35" s="44" t="s">
        <v>98</v>
      </c>
      <c r="H35" s="44"/>
      <c r="I35" s="44"/>
      <c r="J35" s="44"/>
      <c r="K35" s="44" t="s">
        <v>49</v>
      </c>
      <c r="L35" s="44"/>
      <c r="M35" s="44"/>
      <c r="N35" s="44"/>
      <c r="O35" s="44"/>
      <c r="P35" s="44"/>
    </row>
    <row r="36" spans="1:16" ht="68.099999999999994" customHeight="1">
      <c r="A36" s="8"/>
      <c r="B36" s="44" t="s">
        <v>227</v>
      </c>
      <c r="C36" s="44"/>
      <c r="D36" s="44"/>
      <c r="E36" s="44"/>
      <c r="F36" s="44"/>
      <c r="G36" s="44" t="s">
        <v>228</v>
      </c>
      <c r="H36" s="44"/>
      <c r="I36" s="44"/>
      <c r="J36" s="44"/>
      <c r="K36" s="44" t="s">
        <v>49</v>
      </c>
      <c r="L36" s="44"/>
      <c r="M36" s="44"/>
      <c r="N36" s="44"/>
      <c r="O36" s="44"/>
      <c r="P36" s="44"/>
    </row>
    <row r="37" spans="1:16" ht="244.9" customHeight="1">
      <c r="A37" s="6" t="s">
        <v>8</v>
      </c>
      <c r="B37" s="36" t="s">
        <v>241</v>
      </c>
      <c r="C37" s="37"/>
      <c r="D37" s="37"/>
      <c r="E37" s="37"/>
      <c r="F37" s="37"/>
      <c r="G37" s="37" t="s">
        <v>242</v>
      </c>
      <c r="H37" s="37"/>
      <c r="I37" s="37"/>
      <c r="J37" s="37"/>
      <c r="K37" s="37" t="s">
        <v>243</v>
      </c>
      <c r="L37" s="37"/>
      <c r="M37" s="37"/>
      <c r="N37" s="37"/>
      <c r="O37" s="42">
        <f>ROUND(((32.55875 * (6.3 - ((6.3 - 5.82) / (35.9 - 29.92)) * (32.55875 - 29.92)) / 100 * 7.1 * 1 * 1 * 0.7) * 1000) * 1000, 0)</f>
        <v>9851732</v>
      </c>
      <c r="P37" s="37"/>
    </row>
    <row r="38" spans="1:16" ht="15" customHeight="1">
      <c r="A38" s="7"/>
      <c r="B38" s="43" t="s">
        <v>96</v>
      </c>
      <c r="C38" s="43"/>
      <c r="D38" s="43"/>
      <c r="E38" s="43"/>
      <c r="F38" s="43"/>
      <c r="G38" s="43" t="s">
        <v>49</v>
      </c>
      <c r="H38" s="43"/>
      <c r="I38" s="43"/>
      <c r="J38" s="43"/>
      <c r="K38" s="43" t="s">
        <v>49</v>
      </c>
      <c r="L38" s="43"/>
      <c r="M38" s="43"/>
      <c r="N38" s="43"/>
      <c r="O38" s="43"/>
      <c r="P38" s="43"/>
    </row>
    <row r="39" spans="1:16" ht="15" customHeight="1">
      <c r="A39" s="8"/>
      <c r="B39" s="44" t="s">
        <v>244</v>
      </c>
      <c r="C39" s="44"/>
      <c r="D39" s="44"/>
      <c r="E39" s="44"/>
      <c r="F39" s="44"/>
      <c r="G39" s="44" t="s">
        <v>226</v>
      </c>
      <c r="H39" s="44"/>
      <c r="I39" s="44"/>
      <c r="J39" s="44"/>
      <c r="K39" s="44" t="s">
        <v>49</v>
      </c>
      <c r="L39" s="44"/>
      <c r="M39" s="44"/>
      <c r="N39" s="44"/>
      <c r="O39" s="44"/>
      <c r="P39" s="44"/>
    </row>
    <row r="40" spans="1:16" ht="40.9" customHeight="1">
      <c r="A40" s="8"/>
      <c r="B40" s="44" t="s">
        <v>245</v>
      </c>
      <c r="C40" s="44"/>
      <c r="D40" s="44"/>
      <c r="E40" s="44"/>
      <c r="F40" s="44"/>
      <c r="G40" s="44" t="s">
        <v>246</v>
      </c>
      <c r="H40" s="44"/>
      <c r="I40" s="44"/>
      <c r="J40" s="44"/>
      <c r="K40" s="44" t="s">
        <v>49</v>
      </c>
      <c r="L40" s="44"/>
      <c r="M40" s="44"/>
      <c r="N40" s="44"/>
      <c r="O40" s="44"/>
      <c r="P40" s="44"/>
    </row>
    <row r="41" spans="1:16" ht="68.099999999999994" customHeight="1">
      <c r="A41" s="8"/>
      <c r="B41" s="44" t="s">
        <v>247</v>
      </c>
      <c r="C41" s="44"/>
      <c r="D41" s="44"/>
      <c r="E41" s="44"/>
      <c r="F41" s="44"/>
      <c r="G41" s="44" t="s">
        <v>248</v>
      </c>
      <c r="H41" s="44"/>
      <c r="I41" s="44"/>
      <c r="J41" s="44"/>
      <c r="K41" s="44" t="s">
        <v>49</v>
      </c>
      <c r="L41" s="44"/>
      <c r="M41" s="44"/>
      <c r="N41" s="44"/>
      <c r="O41" s="44"/>
      <c r="P41" s="44"/>
    </row>
    <row r="42" spans="1:16" ht="15" customHeight="1">
      <c r="A42" s="7"/>
      <c r="B42" s="43" t="s">
        <v>249</v>
      </c>
      <c r="C42" s="43"/>
      <c r="D42" s="43"/>
      <c r="E42" s="43"/>
      <c r="F42" s="43"/>
      <c r="G42" s="43" t="s">
        <v>49</v>
      </c>
      <c r="H42" s="43"/>
      <c r="I42" s="43"/>
      <c r="J42" s="43"/>
      <c r="K42" s="43" t="s">
        <v>49</v>
      </c>
      <c r="L42" s="43"/>
      <c r="M42" s="43"/>
      <c r="N42" s="43"/>
      <c r="O42" s="43"/>
      <c r="P42" s="43"/>
    </row>
    <row r="43" spans="1:16" ht="15" customHeight="1">
      <c r="A43" s="8"/>
      <c r="B43" s="44" t="s">
        <v>250</v>
      </c>
      <c r="C43" s="44"/>
      <c r="D43" s="44"/>
      <c r="E43" s="44"/>
      <c r="F43" s="44"/>
      <c r="G43" s="44" t="s">
        <v>251</v>
      </c>
      <c r="H43" s="44"/>
      <c r="I43" s="44"/>
      <c r="J43" s="44"/>
      <c r="K43" s="44" t="s">
        <v>49</v>
      </c>
      <c r="L43" s="44"/>
      <c r="M43" s="44"/>
      <c r="N43" s="44"/>
      <c r="O43" s="44"/>
      <c r="P43" s="44"/>
    </row>
    <row r="44" spans="1:16" ht="95.25" customHeight="1">
      <c r="A44" s="6" t="s">
        <v>10</v>
      </c>
      <c r="B44" s="36" t="s">
        <v>252</v>
      </c>
      <c r="C44" s="37"/>
      <c r="D44" s="37"/>
      <c r="E44" s="37"/>
      <c r="F44" s="37"/>
      <c r="G44" s="37" t="s">
        <v>253</v>
      </c>
      <c r="H44" s="37"/>
      <c r="I44" s="37"/>
      <c r="J44" s="37"/>
      <c r="K44" s="37" t="s">
        <v>254</v>
      </c>
      <c r="L44" s="37"/>
      <c r="M44" s="37"/>
      <c r="N44" s="37"/>
      <c r="O44" s="42">
        <f>ROUND(58950 * 1 * 7.1 * 1, 0)</f>
        <v>418545</v>
      </c>
      <c r="P44" s="37"/>
    </row>
    <row r="45" spans="1:16" ht="15" customHeight="1">
      <c r="A45" s="7"/>
      <c r="B45" s="43" t="s">
        <v>96</v>
      </c>
      <c r="C45" s="43"/>
      <c r="D45" s="43"/>
      <c r="E45" s="43"/>
      <c r="F45" s="43"/>
      <c r="G45" s="43" t="s">
        <v>49</v>
      </c>
      <c r="H45" s="43"/>
      <c r="I45" s="43"/>
      <c r="J45" s="43"/>
      <c r="K45" s="43" t="s">
        <v>49</v>
      </c>
      <c r="L45" s="43"/>
      <c r="M45" s="43"/>
      <c r="N45" s="43"/>
      <c r="O45" s="43"/>
      <c r="P45" s="43"/>
    </row>
    <row r="46" spans="1:16" ht="15" customHeight="1">
      <c r="A46" s="8"/>
      <c r="B46" s="44" t="s">
        <v>225</v>
      </c>
      <c r="C46" s="44"/>
      <c r="D46" s="44"/>
      <c r="E46" s="44"/>
      <c r="F46" s="44"/>
      <c r="G46" s="44" t="s">
        <v>226</v>
      </c>
      <c r="H46" s="44"/>
      <c r="I46" s="44"/>
      <c r="J46" s="44"/>
      <c r="K46" s="44" t="s">
        <v>49</v>
      </c>
      <c r="L46" s="44"/>
      <c r="M46" s="44"/>
      <c r="N46" s="44"/>
      <c r="O46" s="44"/>
      <c r="P46" s="44"/>
    </row>
    <row r="47" spans="1:16" ht="40.9" customHeight="1">
      <c r="A47" s="8"/>
      <c r="B47" s="44" t="s">
        <v>245</v>
      </c>
      <c r="C47" s="44"/>
      <c r="D47" s="44"/>
      <c r="E47" s="44"/>
      <c r="F47" s="44"/>
      <c r="G47" s="44" t="s">
        <v>246</v>
      </c>
      <c r="H47" s="44"/>
      <c r="I47" s="44"/>
      <c r="J47" s="44"/>
      <c r="K47" s="44" t="s">
        <v>49</v>
      </c>
      <c r="L47" s="44"/>
      <c r="M47" s="44"/>
      <c r="N47" s="44"/>
      <c r="O47" s="44"/>
      <c r="P47" s="44"/>
    </row>
    <row r="48" spans="1:16" ht="15" customHeight="1">
      <c r="A48" s="7"/>
      <c r="B48" s="43" t="s">
        <v>249</v>
      </c>
      <c r="C48" s="43"/>
      <c r="D48" s="43"/>
      <c r="E48" s="43"/>
      <c r="F48" s="43"/>
      <c r="G48" s="43" t="s">
        <v>49</v>
      </c>
      <c r="H48" s="43"/>
      <c r="I48" s="43"/>
      <c r="J48" s="43"/>
      <c r="K48" s="43" t="s">
        <v>49</v>
      </c>
      <c r="L48" s="43"/>
      <c r="M48" s="43"/>
      <c r="N48" s="43"/>
      <c r="O48" s="43"/>
      <c r="P48" s="43"/>
    </row>
    <row r="49" spans="1:16" ht="15" customHeight="1">
      <c r="A49" s="8"/>
      <c r="B49" s="44" t="s">
        <v>250</v>
      </c>
      <c r="C49" s="44"/>
      <c r="D49" s="44"/>
      <c r="E49" s="44"/>
      <c r="F49" s="44"/>
      <c r="G49" s="44" t="s">
        <v>251</v>
      </c>
      <c r="H49" s="44"/>
      <c r="I49" s="44"/>
      <c r="J49" s="44"/>
      <c r="K49" s="44" t="s">
        <v>49</v>
      </c>
      <c r="L49" s="44"/>
      <c r="M49" s="44"/>
      <c r="N49" s="44"/>
      <c r="O49" s="44"/>
      <c r="P49" s="44"/>
    </row>
    <row r="50" spans="1:16" ht="122.45" customHeight="1">
      <c r="A50" s="6" t="s">
        <v>12</v>
      </c>
      <c r="B50" s="36" t="s">
        <v>255</v>
      </c>
      <c r="C50" s="37"/>
      <c r="D50" s="37"/>
      <c r="E50" s="37"/>
      <c r="F50" s="37"/>
      <c r="G50" s="37" t="s">
        <v>256</v>
      </c>
      <c r="H50" s="37"/>
      <c r="I50" s="37"/>
      <c r="J50" s="37"/>
      <c r="K50" s="37" t="s">
        <v>257</v>
      </c>
      <c r="L50" s="37"/>
      <c r="M50" s="37"/>
      <c r="N50" s="37"/>
      <c r="O50" s="42">
        <f>ROUND(20000 * 1 * 7.1 * 1, 0)</f>
        <v>142000</v>
      </c>
      <c r="P50" s="37"/>
    </row>
    <row r="51" spans="1:16" ht="15" customHeight="1">
      <c r="A51" s="7"/>
      <c r="B51" s="43" t="s">
        <v>96</v>
      </c>
      <c r="C51" s="43"/>
      <c r="D51" s="43"/>
      <c r="E51" s="43"/>
      <c r="F51" s="43"/>
      <c r="G51" s="43" t="s">
        <v>49</v>
      </c>
      <c r="H51" s="43"/>
      <c r="I51" s="43"/>
      <c r="J51" s="43"/>
      <c r="K51" s="43" t="s">
        <v>49</v>
      </c>
      <c r="L51" s="43"/>
      <c r="M51" s="43"/>
      <c r="N51" s="43"/>
      <c r="O51" s="43"/>
      <c r="P51" s="43"/>
    </row>
    <row r="52" spans="1:16">
      <c r="A52" s="8"/>
      <c r="B52" s="44" t="s">
        <v>225</v>
      </c>
      <c r="C52" s="44"/>
      <c r="D52" s="44"/>
      <c r="E52" s="44"/>
      <c r="F52" s="44"/>
      <c r="G52" s="44" t="s">
        <v>226</v>
      </c>
      <c r="H52" s="44"/>
      <c r="I52" s="44"/>
      <c r="J52" s="44"/>
      <c r="K52" s="44" t="s">
        <v>49</v>
      </c>
      <c r="L52" s="44"/>
      <c r="M52" s="44"/>
      <c r="N52" s="44"/>
      <c r="O52" s="44"/>
      <c r="P52" s="44"/>
    </row>
    <row r="53" spans="1:16" ht="40.9" customHeight="1">
      <c r="A53" s="8"/>
      <c r="B53" s="44" t="s">
        <v>245</v>
      </c>
      <c r="C53" s="44"/>
      <c r="D53" s="44"/>
      <c r="E53" s="44"/>
      <c r="F53" s="44"/>
      <c r="G53" s="44" t="s">
        <v>246</v>
      </c>
      <c r="H53" s="44"/>
      <c r="I53" s="44"/>
      <c r="J53" s="44"/>
      <c r="K53" s="44" t="s">
        <v>49</v>
      </c>
      <c r="L53" s="44"/>
      <c r="M53" s="44"/>
      <c r="N53" s="44"/>
      <c r="O53" s="44"/>
      <c r="P53" s="44"/>
    </row>
    <row r="54" spans="1:16">
      <c r="A54" s="7"/>
      <c r="B54" s="43" t="s">
        <v>249</v>
      </c>
      <c r="C54" s="43"/>
      <c r="D54" s="43"/>
      <c r="E54" s="43"/>
      <c r="F54" s="43"/>
      <c r="G54" s="43" t="s">
        <v>49</v>
      </c>
      <c r="H54" s="43"/>
      <c r="I54" s="43"/>
      <c r="J54" s="43"/>
      <c r="K54" s="43" t="s">
        <v>49</v>
      </c>
      <c r="L54" s="43"/>
      <c r="M54" s="43"/>
      <c r="N54" s="43"/>
      <c r="O54" s="43"/>
      <c r="P54" s="43"/>
    </row>
    <row r="55" spans="1:16">
      <c r="A55" s="8"/>
      <c r="B55" s="44" t="s">
        <v>250</v>
      </c>
      <c r="C55" s="44"/>
      <c r="D55" s="44"/>
      <c r="E55" s="44"/>
      <c r="F55" s="44"/>
      <c r="G55" s="44" t="s">
        <v>251</v>
      </c>
      <c r="H55" s="44"/>
      <c r="I55" s="44"/>
      <c r="J55" s="44"/>
      <c r="K55" s="44" t="s">
        <v>49</v>
      </c>
      <c r="L55" s="44"/>
      <c r="M55" s="44"/>
      <c r="N55" s="44"/>
      <c r="O55" s="44"/>
      <c r="P55" s="44"/>
    </row>
    <row r="56" spans="1:16" ht="108.75" customHeight="1">
      <c r="A56" s="6" t="s">
        <v>14</v>
      </c>
      <c r="B56" s="36" t="s">
        <v>258</v>
      </c>
      <c r="C56" s="37"/>
      <c r="D56" s="37"/>
      <c r="E56" s="37"/>
      <c r="F56" s="37"/>
      <c r="G56" s="37" t="s">
        <v>259</v>
      </c>
      <c r="H56" s="37"/>
      <c r="I56" s="37"/>
      <c r="J56" s="37"/>
      <c r="K56" s="37" t="s">
        <v>260</v>
      </c>
      <c r="L56" s="37"/>
      <c r="M56" s="37"/>
      <c r="N56" s="37"/>
      <c r="O56" s="42">
        <f>ROUND((55760 + 8590 * (0.4 * 2 + 0.6 * 1)) * 1 * 7.1 * 1, 0)</f>
        <v>481281</v>
      </c>
      <c r="P56" s="37"/>
    </row>
    <row r="57" spans="1:16">
      <c r="A57" s="7"/>
      <c r="B57" s="43" t="s">
        <v>96</v>
      </c>
      <c r="C57" s="43"/>
      <c r="D57" s="43"/>
      <c r="E57" s="43"/>
      <c r="F57" s="43"/>
      <c r="G57" s="43" t="s">
        <v>49</v>
      </c>
      <c r="H57" s="43"/>
      <c r="I57" s="43"/>
      <c r="J57" s="43"/>
      <c r="K57" s="43" t="s">
        <v>49</v>
      </c>
      <c r="L57" s="43"/>
      <c r="M57" s="43"/>
      <c r="N57" s="43"/>
      <c r="O57" s="43"/>
      <c r="P57" s="43"/>
    </row>
    <row r="58" spans="1:16">
      <c r="A58" s="8"/>
      <c r="B58" s="44" t="s">
        <v>244</v>
      </c>
      <c r="C58" s="44"/>
      <c r="D58" s="44"/>
      <c r="E58" s="44"/>
      <c r="F58" s="44"/>
      <c r="G58" s="44" t="s">
        <v>226</v>
      </c>
      <c r="H58" s="44"/>
      <c r="I58" s="44"/>
      <c r="J58" s="44"/>
      <c r="K58" s="44" t="s">
        <v>49</v>
      </c>
      <c r="L58" s="44"/>
      <c r="M58" s="44"/>
      <c r="N58" s="44"/>
      <c r="O58" s="44"/>
      <c r="P58" s="44"/>
    </row>
    <row r="59" spans="1:16" ht="40.9" customHeight="1">
      <c r="A59" s="8"/>
      <c r="B59" s="44" t="s">
        <v>245</v>
      </c>
      <c r="C59" s="44"/>
      <c r="D59" s="44"/>
      <c r="E59" s="44"/>
      <c r="F59" s="44"/>
      <c r="G59" s="44" t="s">
        <v>246</v>
      </c>
      <c r="H59" s="44"/>
      <c r="I59" s="44"/>
      <c r="J59" s="44"/>
      <c r="K59" s="44" t="s">
        <v>49</v>
      </c>
      <c r="L59" s="44"/>
      <c r="M59" s="44"/>
      <c r="N59" s="44"/>
      <c r="O59" s="44"/>
      <c r="P59" s="44"/>
    </row>
    <row r="60" spans="1:16">
      <c r="A60" s="7"/>
      <c r="B60" s="43" t="s">
        <v>249</v>
      </c>
      <c r="C60" s="43"/>
      <c r="D60" s="43"/>
      <c r="E60" s="43"/>
      <c r="F60" s="43"/>
      <c r="G60" s="43" t="s">
        <v>49</v>
      </c>
      <c r="H60" s="43"/>
      <c r="I60" s="43"/>
      <c r="J60" s="43"/>
      <c r="K60" s="43" t="s">
        <v>49</v>
      </c>
      <c r="L60" s="43"/>
      <c r="M60" s="43"/>
      <c r="N60" s="43"/>
      <c r="O60" s="43"/>
      <c r="P60" s="43"/>
    </row>
    <row r="61" spans="1:16">
      <c r="A61" s="8"/>
      <c r="B61" s="44" t="s">
        <v>250</v>
      </c>
      <c r="C61" s="44"/>
      <c r="D61" s="44"/>
      <c r="E61" s="44"/>
      <c r="F61" s="44"/>
      <c r="G61" s="44" t="s">
        <v>251</v>
      </c>
      <c r="H61" s="44"/>
      <c r="I61" s="44"/>
      <c r="J61" s="44"/>
      <c r="K61" s="44" t="s">
        <v>49</v>
      </c>
      <c r="L61" s="44"/>
      <c r="M61" s="44"/>
      <c r="N61" s="44"/>
      <c r="O61" s="44"/>
      <c r="P61" s="44"/>
    </row>
    <row r="62" spans="1:16" ht="95.25" customHeight="1">
      <c r="A62" s="6" t="s">
        <v>16</v>
      </c>
      <c r="B62" s="36" t="s">
        <v>261</v>
      </c>
      <c r="C62" s="37"/>
      <c r="D62" s="37"/>
      <c r="E62" s="37"/>
      <c r="F62" s="37"/>
      <c r="G62" s="37" t="s">
        <v>262</v>
      </c>
      <c r="H62" s="37"/>
      <c r="I62" s="37"/>
      <c r="J62" s="37"/>
      <c r="K62" s="37" t="s">
        <v>263</v>
      </c>
      <c r="L62" s="37"/>
      <c r="M62" s="37"/>
      <c r="N62" s="37"/>
      <c r="O62" s="42">
        <f>ROUND(1940 * 26 * 7.1 * 1, 0)</f>
        <v>358124</v>
      </c>
      <c r="P62" s="37"/>
    </row>
    <row r="63" spans="1:16">
      <c r="A63" s="7"/>
      <c r="B63" s="43" t="s">
        <v>96</v>
      </c>
      <c r="C63" s="43"/>
      <c r="D63" s="43"/>
      <c r="E63" s="43"/>
      <c r="F63" s="43"/>
      <c r="G63" s="43" t="s">
        <v>49</v>
      </c>
      <c r="H63" s="43"/>
      <c r="I63" s="43"/>
      <c r="J63" s="43"/>
      <c r="K63" s="43" t="s">
        <v>49</v>
      </c>
      <c r="L63" s="43"/>
      <c r="M63" s="43"/>
      <c r="N63" s="43"/>
      <c r="O63" s="43"/>
      <c r="P63" s="43"/>
    </row>
    <row r="64" spans="1:16">
      <c r="A64" s="8"/>
      <c r="B64" s="44" t="s">
        <v>244</v>
      </c>
      <c r="C64" s="44"/>
      <c r="D64" s="44"/>
      <c r="E64" s="44"/>
      <c r="F64" s="44"/>
      <c r="G64" s="44" t="s">
        <v>226</v>
      </c>
      <c r="H64" s="44"/>
      <c r="I64" s="44"/>
      <c r="J64" s="44"/>
      <c r="K64" s="44" t="s">
        <v>49</v>
      </c>
      <c r="L64" s="44"/>
      <c r="M64" s="44"/>
      <c r="N64" s="44"/>
      <c r="O64" s="44"/>
      <c r="P64" s="44"/>
    </row>
    <row r="65" spans="1:16" ht="40.9" customHeight="1">
      <c r="A65" s="8"/>
      <c r="B65" s="44" t="s">
        <v>245</v>
      </c>
      <c r="C65" s="44"/>
      <c r="D65" s="44"/>
      <c r="E65" s="44"/>
      <c r="F65" s="44"/>
      <c r="G65" s="44" t="s">
        <v>246</v>
      </c>
      <c r="H65" s="44"/>
      <c r="I65" s="44"/>
      <c r="J65" s="44"/>
      <c r="K65" s="44" t="s">
        <v>49</v>
      </c>
      <c r="L65" s="44"/>
      <c r="M65" s="44"/>
      <c r="N65" s="44"/>
      <c r="O65" s="44"/>
      <c r="P65" s="44"/>
    </row>
    <row r="66" spans="1:16">
      <c r="A66" s="7"/>
      <c r="B66" s="43" t="s">
        <v>249</v>
      </c>
      <c r="C66" s="43"/>
      <c r="D66" s="43"/>
      <c r="E66" s="43"/>
      <c r="F66" s="43"/>
      <c r="G66" s="43" t="s">
        <v>49</v>
      </c>
      <c r="H66" s="43"/>
      <c r="I66" s="43"/>
      <c r="J66" s="43"/>
      <c r="K66" s="43" t="s">
        <v>49</v>
      </c>
      <c r="L66" s="43"/>
      <c r="M66" s="43"/>
      <c r="N66" s="43"/>
      <c r="O66" s="43"/>
      <c r="P66" s="43"/>
    </row>
    <row r="67" spans="1:16">
      <c r="A67" s="8"/>
      <c r="B67" s="44" t="s">
        <v>250</v>
      </c>
      <c r="C67" s="44"/>
      <c r="D67" s="44"/>
      <c r="E67" s="44"/>
      <c r="F67" s="44"/>
      <c r="G67" s="44" t="s">
        <v>251</v>
      </c>
      <c r="H67" s="44"/>
      <c r="I67" s="44"/>
      <c r="J67" s="44"/>
      <c r="K67" s="44" t="s">
        <v>49</v>
      </c>
      <c r="L67" s="44"/>
      <c r="M67" s="44"/>
      <c r="N67" s="44"/>
      <c r="O67" s="44"/>
      <c r="P67" s="44"/>
    </row>
    <row r="68" spans="1:16" ht="122.45" customHeight="1">
      <c r="A68" s="6" t="s">
        <v>18</v>
      </c>
      <c r="B68" s="36" t="s">
        <v>264</v>
      </c>
      <c r="C68" s="37"/>
      <c r="D68" s="37"/>
      <c r="E68" s="37"/>
      <c r="F68" s="37"/>
      <c r="G68" s="37" t="s">
        <v>265</v>
      </c>
      <c r="H68" s="37"/>
      <c r="I68" s="37"/>
      <c r="J68" s="37"/>
      <c r="K68" s="37" t="s">
        <v>266</v>
      </c>
      <c r="L68" s="37"/>
      <c r="M68" s="37"/>
      <c r="N68" s="37"/>
      <c r="O68" s="42">
        <f>ROUND(15027 + 35965, 0)</f>
        <v>50992</v>
      </c>
      <c r="P68" s="37"/>
    </row>
    <row r="69" spans="1:16">
      <c r="A69" s="8"/>
      <c r="B69" s="44" t="s">
        <v>267</v>
      </c>
      <c r="C69" s="44"/>
      <c r="D69" s="44"/>
      <c r="E69" s="44"/>
      <c r="F69" s="44"/>
      <c r="G69" s="44" t="s">
        <v>49</v>
      </c>
      <c r="H69" s="44"/>
      <c r="I69" s="44"/>
      <c r="J69" s="44"/>
      <c r="K69" s="44" t="s">
        <v>49</v>
      </c>
      <c r="L69" s="44"/>
      <c r="M69" s="44"/>
      <c r="N69" s="44"/>
      <c r="O69" s="44"/>
      <c r="P69" s="44"/>
    </row>
    <row r="70" spans="1:16" ht="27.2" customHeight="1">
      <c r="A70" s="8"/>
      <c r="B70" s="44" t="s">
        <v>268</v>
      </c>
      <c r="C70" s="44"/>
      <c r="D70" s="44"/>
      <c r="E70" s="44"/>
      <c r="F70" s="44"/>
      <c r="G70" s="44" t="s">
        <v>269</v>
      </c>
      <c r="H70" s="44"/>
      <c r="I70" s="44"/>
      <c r="J70" s="44"/>
      <c r="K70" s="44" t="s">
        <v>49</v>
      </c>
      <c r="L70" s="44"/>
      <c r="M70" s="44"/>
      <c r="N70" s="44"/>
      <c r="O70" s="44"/>
      <c r="P70" s="44"/>
    </row>
    <row r="71" spans="1:16" ht="40.9" customHeight="1">
      <c r="A71" s="8"/>
      <c r="B71" s="44" t="s">
        <v>270</v>
      </c>
      <c r="C71" s="44"/>
      <c r="D71" s="44"/>
      <c r="E71" s="44"/>
      <c r="F71" s="44"/>
      <c r="G71" s="44" t="s">
        <v>271</v>
      </c>
      <c r="H71" s="44"/>
      <c r="I71" s="44"/>
      <c r="J71" s="44"/>
      <c r="K71" s="44" t="s">
        <v>49</v>
      </c>
      <c r="L71" s="44"/>
      <c r="M71" s="44"/>
      <c r="N71" s="44"/>
      <c r="O71" s="44"/>
      <c r="P71" s="44"/>
    </row>
    <row r="72" spans="1:16" ht="27.2" customHeight="1">
      <c r="A72" s="8"/>
      <c r="B72" s="44" t="s">
        <v>272</v>
      </c>
      <c r="C72" s="44"/>
      <c r="D72" s="44"/>
      <c r="E72" s="44"/>
      <c r="F72" s="44"/>
      <c r="G72" s="44" t="s">
        <v>269</v>
      </c>
      <c r="H72" s="44"/>
      <c r="I72" s="44"/>
      <c r="J72" s="44"/>
      <c r="K72" s="44" t="s">
        <v>49</v>
      </c>
      <c r="L72" s="44"/>
      <c r="M72" s="44"/>
      <c r="N72" s="44"/>
      <c r="O72" s="44"/>
      <c r="P72" s="44"/>
    </row>
    <row r="73" spans="1:16" ht="27.2" customHeight="1">
      <c r="A73" s="8"/>
      <c r="B73" s="44" t="s">
        <v>273</v>
      </c>
      <c r="C73" s="44"/>
      <c r="D73" s="44"/>
      <c r="E73" s="44"/>
      <c r="F73" s="44"/>
      <c r="G73" s="44" t="s">
        <v>269</v>
      </c>
      <c r="H73" s="44"/>
      <c r="I73" s="44"/>
      <c r="J73" s="44"/>
      <c r="K73" s="44" t="s">
        <v>49</v>
      </c>
      <c r="L73" s="44"/>
      <c r="M73" s="44"/>
      <c r="N73" s="44"/>
      <c r="O73" s="44"/>
      <c r="P73" s="44"/>
    </row>
    <row r="74" spans="1:16" ht="27.2" customHeight="1">
      <c r="A74" s="8"/>
      <c r="B74" s="44" t="s">
        <v>274</v>
      </c>
      <c r="C74" s="44"/>
      <c r="D74" s="44"/>
      <c r="E74" s="44"/>
      <c r="F74" s="44"/>
      <c r="G74" s="44" t="s">
        <v>269</v>
      </c>
      <c r="H74" s="44"/>
      <c r="I74" s="44"/>
      <c r="J74" s="44"/>
      <c r="K74" s="44" t="s">
        <v>49</v>
      </c>
      <c r="L74" s="44"/>
      <c r="M74" s="44"/>
      <c r="N74" s="44"/>
      <c r="O74" s="44"/>
      <c r="P74" s="44"/>
    </row>
    <row r="75" spans="1:16" ht="40.9" customHeight="1">
      <c r="A75" s="8"/>
      <c r="B75" s="44" t="s">
        <v>275</v>
      </c>
      <c r="C75" s="44"/>
      <c r="D75" s="44"/>
      <c r="E75" s="44"/>
      <c r="F75" s="44"/>
      <c r="G75" s="44" t="s">
        <v>276</v>
      </c>
      <c r="H75" s="44"/>
      <c r="I75" s="44"/>
      <c r="J75" s="44"/>
      <c r="K75" s="44" t="s">
        <v>49</v>
      </c>
      <c r="L75" s="44"/>
      <c r="M75" s="44"/>
      <c r="N75" s="44"/>
      <c r="O75" s="44"/>
      <c r="P75" s="44"/>
    </row>
    <row r="76" spans="1:16" ht="27.2" customHeight="1">
      <c r="A76" s="8"/>
      <c r="B76" s="44" t="s">
        <v>277</v>
      </c>
      <c r="C76" s="44"/>
      <c r="D76" s="44"/>
      <c r="E76" s="44"/>
      <c r="F76" s="44"/>
      <c r="G76" s="44" t="s">
        <v>278</v>
      </c>
      <c r="H76" s="44"/>
      <c r="I76" s="44"/>
      <c r="J76" s="44"/>
      <c r="K76" s="44" t="s">
        <v>49</v>
      </c>
      <c r="L76" s="44"/>
      <c r="M76" s="44"/>
      <c r="N76" s="44"/>
      <c r="O76" s="44"/>
      <c r="P76" s="44"/>
    </row>
    <row r="77" spans="1:16">
      <c r="A77" s="7"/>
      <c r="B77" s="43" t="s">
        <v>96</v>
      </c>
      <c r="C77" s="43"/>
      <c r="D77" s="43"/>
      <c r="E77" s="43"/>
      <c r="F77" s="43"/>
      <c r="G77" s="43" t="s">
        <v>49</v>
      </c>
      <c r="H77" s="43"/>
      <c r="I77" s="43"/>
      <c r="J77" s="43"/>
      <c r="K77" s="43" t="s">
        <v>49</v>
      </c>
      <c r="L77" s="43"/>
      <c r="M77" s="43"/>
      <c r="N77" s="43"/>
      <c r="O77" s="43"/>
      <c r="P77" s="43"/>
    </row>
    <row r="78" spans="1:16">
      <c r="A78" s="8"/>
      <c r="B78" s="44" t="s">
        <v>244</v>
      </c>
      <c r="C78" s="44"/>
      <c r="D78" s="44"/>
      <c r="E78" s="44"/>
      <c r="F78" s="44"/>
      <c r="G78" s="44" t="s">
        <v>49</v>
      </c>
      <c r="H78" s="44"/>
      <c r="I78" s="44"/>
      <c r="J78" s="44"/>
      <c r="K78" s="44" t="s">
        <v>49</v>
      </c>
      <c r="L78" s="44"/>
      <c r="M78" s="44"/>
      <c r="N78" s="44"/>
      <c r="O78" s="44"/>
      <c r="P78" s="44"/>
    </row>
    <row r="79" spans="1:16" ht="40.9" customHeight="1">
      <c r="A79" s="8"/>
      <c r="B79" s="44" t="s">
        <v>245</v>
      </c>
      <c r="C79" s="44"/>
      <c r="D79" s="44"/>
      <c r="E79" s="44"/>
      <c r="F79" s="44"/>
      <c r="G79" s="44" t="s">
        <v>246</v>
      </c>
      <c r="H79" s="44"/>
      <c r="I79" s="44"/>
      <c r="J79" s="44"/>
      <c r="K79" s="44" t="s">
        <v>49</v>
      </c>
      <c r="L79" s="44"/>
      <c r="M79" s="44"/>
      <c r="N79" s="44"/>
      <c r="O79" s="44"/>
      <c r="P79" s="44"/>
    </row>
    <row r="80" spans="1:16" ht="204" customHeight="1">
      <c r="A80" s="8"/>
      <c r="B80" s="44" t="s">
        <v>279</v>
      </c>
      <c r="C80" s="44"/>
      <c r="D80" s="44"/>
      <c r="E80" s="44"/>
      <c r="F80" s="44"/>
      <c r="G80" s="44" t="s">
        <v>280</v>
      </c>
      <c r="H80" s="44"/>
      <c r="I80" s="44"/>
      <c r="J80" s="44"/>
      <c r="K80" s="44" t="s">
        <v>49</v>
      </c>
      <c r="L80" s="44"/>
      <c r="M80" s="44"/>
      <c r="N80" s="44"/>
      <c r="O80" s="44"/>
      <c r="P80" s="44"/>
    </row>
    <row r="81" spans="1:16">
      <c r="A81" s="7"/>
      <c r="B81" s="43" t="s">
        <v>281</v>
      </c>
      <c r="C81" s="43"/>
      <c r="D81" s="43"/>
      <c r="E81" s="43"/>
      <c r="F81" s="43"/>
      <c r="G81" s="43" t="s">
        <v>49</v>
      </c>
      <c r="H81" s="43"/>
      <c r="I81" s="43"/>
      <c r="J81" s="43"/>
      <c r="K81" s="43" t="s">
        <v>49</v>
      </c>
      <c r="L81" s="43"/>
      <c r="M81" s="43"/>
      <c r="N81" s="43"/>
      <c r="O81" s="43"/>
      <c r="P81" s="43"/>
    </row>
    <row r="82" spans="1:16" ht="95.25" customHeight="1">
      <c r="A82" s="8"/>
      <c r="B82" s="44" t="s">
        <v>282</v>
      </c>
      <c r="C82" s="44"/>
      <c r="D82" s="44"/>
      <c r="E82" s="44"/>
      <c r="F82" s="44"/>
      <c r="G82" s="44" t="s">
        <v>283</v>
      </c>
      <c r="H82" s="44"/>
      <c r="I82" s="44"/>
      <c r="J82" s="44"/>
      <c r="K82" s="44" t="s">
        <v>284</v>
      </c>
      <c r="L82" s="44"/>
      <c r="M82" s="44"/>
      <c r="N82" s="44"/>
      <c r="O82" s="44"/>
      <c r="P82" s="44"/>
    </row>
    <row r="83" spans="1:16">
      <c r="A83" s="8"/>
      <c r="B83" s="44" t="s">
        <v>250</v>
      </c>
      <c r="C83" s="44"/>
      <c r="D83" s="44"/>
      <c r="E83" s="44"/>
      <c r="F83" s="44"/>
      <c r="G83" s="44" t="s">
        <v>251</v>
      </c>
      <c r="H83" s="44"/>
      <c r="I83" s="44"/>
      <c r="J83" s="44"/>
      <c r="K83" s="44" t="s">
        <v>49</v>
      </c>
      <c r="L83" s="44"/>
      <c r="M83" s="44"/>
      <c r="N83" s="44"/>
      <c r="O83" s="44"/>
      <c r="P83" s="44"/>
    </row>
    <row r="84" spans="1:16" ht="95.25" customHeight="1">
      <c r="A84" s="8"/>
      <c r="B84" s="44" t="s">
        <v>285</v>
      </c>
      <c r="C84" s="44"/>
      <c r="D84" s="44"/>
      <c r="E84" s="44"/>
      <c r="F84" s="44"/>
      <c r="G84" s="44" t="s">
        <v>286</v>
      </c>
      <c r="H84" s="44"/>
      <c r="I84" s="44"/>
      <c r="J84" s="44"/>
      <c r="K84" s="44" t="s">
        <v>287</v>
      </c>
      <c r="L84" s="44"/>
      <c r="M84" s="44"/>
      <c r="N84" s="44"/>
      <c r="O84" s="44"/>
      <c r="P84" s="44"/>
    </row>
    <row r="85" spans="1:16">
      <c r="A85" s="8"/>
      <c r="B85" s="44" t="s">
        <v>250</v>
      </c>
      <c r="C85" s="44"/>
      <c r="D85" s="44"/>
      <c r="E85" s="44"/>
      <c r="F85" s="44"/>
      <c r="G85" s="44" t="s">
        <v>251</v>
      </c>
      <c r="H85" s="44"/>
      <c r="I85" s="44"/>
      <c r="J85" s="44"/>
      <c r="K85" s="44" t="s">
        <v>49</v>
      </c>
      <c r="L85" s="44"/>
      <c r="M85" s="44"/>
      <c r="N85" s="44"/>
      <c r="O85" s="44"/>
      <c r="P85" s="44"/>
    </row>
    <row r="86" spans="1:16" ht="108.75" customHeight="1">
      <c r="A86" s="6" t="s">
        <v>20</v>
      </c>
      <c r="B86" s="36" t="s">
        <v>288</v>
      </c>
      <c r="C86" s="37"/>
      <c r="D86" s="37"/>
      <c r="E86" s="37"/>
      <c r="F86" s="37"/>
      <c r="G86" s="37" t="s">
        <v>289</v>
      </c>
      <c r="H86" s="37"/>
      <c r="I86" s="37"/>
      <c r="J86" s="37"/>
      <c r="K86" s="37" t="s">
        <v>290</v>
      </c>
      <c r="L86" s="37"/>
      <c r="M86" s="37"/>
      <c r="N86" s="37"/>
      <c r="O86" s="42">
        <f>ROUND((2450 + 3680 * 10) * 1 * 7.1 * 1, 0)</f>
        <v>278675</v>
      </c>
      <c r="P86" s="37"/>
    </row>
    <row r="87" spans="1:16">
      <c r="A87" s="7"/>
      <c r="B87" s="43" t="s">
        <v>96</v>
      </c>
      <c r="C87" s="43"/>
      <c r="D87" s="43"/>
      <c r="E87" s="43"/>
      <c r="F87" s="43"/>
      <c r="G87" s="43" t="s">
        <v>49</v>
      </c>
      <c r="H87" s="43"/>
      <c r="I87" s="43"/>
      <c r="J87" s="43"/>
      <c r="K87" s="43" t="s">
        <v>49</v>
      </c>
      <c r="L87" s="43"/>
      <c r="M87" s="43"/>
      <c r="N87" s="43"/>
      <c r="O87" s="43"/>
      <c r="P87" s="43"/>
    </row>
    <row r="88" spans="1:16">
      <c r="A88" s="8"/>
      <c r="B88" s="44" t="s">
        <v>244</v>
      </c>
      <c r="C88" s="44"/>
      <c r="D88" s="44"/>
      <c r="E88" s="44"/>
      <c r="F88" s="44"/>
      <c r="G88" s="44" t="s">
        <v>226</v>
      </c>
      <c r="H88" s="44"/>
      <c r="I88" s="44"/>
      <c r="J88" s="44"/>
      <c r="K88" s="44" t="s">
        <v>49</v>
      </c>
      <c r="L88" s="44"/>
      <c r="M88" s="44"/>
      <c r="N88" s="44"/>
      <c r="O88" s="44"/>
      <c r="P88" s="44"/>
    </row>
    <row r="89" spans="1:16" ht="40.9" customHeight="1">
      <c r="A89" s="8"/>
      <c r="B89" s="44" t="s">
        <v>245</v>
      </c>
      <c r="C89" s="44"/>
      <c r="D89" s="44"/>
      <c r="E89" s="44"/>
      <c r="F89" s="44"/>
      <c r="G89" s="44" t="s">
        <v>246</v>
      </c>
      <c r="H89" s="44"/>
      <c r="I89" s="44"/>
      <c r="J89" s="44"/>
      <c r="K89" s="44" t="s">
        <v>49</v>
      </c>
      <c r="L89" s="44"/>
      <c r="M89" s="44"/>
      <c r="N89" s="44"/>
      <c r="O89" s="44"/>
      <c r="P89" s="44"/>
    </row>
    <row r="90" spans="1:16">
      <c r="A90" s="7"/>
      <c r="B90" s="43" t="s">
        <v>249</v>
      </c>
      <c r="C90" s="43"/>
      <c r="D90" s="43"/>
      <c r="E90" s="43"/>
      <c r="F90" s="43"/>
      <c r="G90" s="43" t="s">
        <v>49</v>
      </c>
      <c r="H90" s="43"/>
      <c r="I90" s="43"/>
      <c r="J90" s="43"/>
      <c r="K90" s="43" t="s">
        <v>49</v>
      </c>
      <c r="L90" s="43"/>
      <c r="M90" s="43"/>
      <c r="N90" s="43"/>
      <c r="O90" s="43"/>
      <c r="P90" s="43"/>
    </row>
    <row r="91" spans="1:16">
      <c r="A91" s="8"/>
      <c r="B91" s="44" t="s">
        <v>250</v>
      </c>
      <c r="C91" s="44"/>
      <c r="D91" s="44"/>
      <c r="E91" s="44"/>
      <c r="F91" s="44"/>
      <c r="G91" s="44" t="s">
        <v>251</v>
      </c>
      <c r="H91" s="44"/>
      <c r="I91" s="44"/>
      <c r="J91" s="44"/>
      <c r="K91" s="44" t="s">
        <v>49</v>
      </c>
      <c r="L91" s="44"/>
      <c r="M91" s="44"/>
      <c r="N91" s="44"/>
      <c r="O91" s="44"/>
      <c r="P91" s="44"/>
    </row>
    <row r="92" spans="1:16" ht="231.2" customHeight="1">
      <c r="A92" s="6" t="s">
        <v>22</v>
      </c>
      <c r="B92" s="36" t="s">
        <v>291</v>
      </c>
      <c r="C92" s="37"/>
      <c r="D92" s="37"/>
      <c r="E92" s="37"/>
      <c r="F92" s="37"/>
      <c r="G92" s="37" t="s">
        <v>292</v>
      </c>
      <c r="H92" s="37"/>
      <c r="I92" s="37"/>
      <c r="J92" s="37"/>
      <c r="K92" s="37" t="s">
        <v>293</v>
      </c>
      <c r="L92" s="37"/>
      <c r="M92" s="37"/>
      <c r="N92" s="37"/>
      <c r="O92" s="42">
        <f>ROUND(30500 * 1 * 7.1 * 1 * 1.04 * 1.15 * 0.82, 0)</f>
        <v>212375</v>
      </c>
      <c r="P92" s="37"/>
    </row>
    <row r="93" spans="1:16">
      <c r="A93" s="7"/>
      <c r="B93" s="43" t="s">
        <v>96</v>
      </c>
      <c r="C93" s="43"/>
      <c r="D93" s="43"/>
      <c r="E93" s="43"/>
      <c r="F93" s="43"/>
      <c r="G93" s="43" t="s">
        <v>49</v>
      </c>
      <c r="H93" s="43"/>
      <c r="I93" s="43"/>
      <c r="J93" s="43"/>
      <c r="K93" s="43" t="s">
        <v>49</v>
      </c>
      <c r="L93" s="43"/>
      <c r="M93" s="43"/>
      <c r="N93" s="43"/>
      <c r="O93" s="43"/>
      <c r="P93" s="43"/>
    </row>
    <row r="94" spans="1:16">
      <c r="A94" s="8"/>
      <c r="B94" s="44" t="s">
        <v>244</v>
      </c>
      <c r="C94" s="44"/>
      <c r="D94" s="44"/>
      <c r="E94" s="44"/>
      <c r="F94" s="44"/>
      <c r="G94" s="44" t="s">
        <v>226</v>
      </c>
      <c r="H94" s="44"/>
      <c r="I94" s="44"/>
      <c r="J94" s="44"/>
      <c r="K94" s="44" t="s">
        <v>49</v>
      </c>
      <c r="L94" s="44"/>
      <c r="M94" s="44"/>
      <c r="N94" s="44"/>
      <c r="O94" s="44"/>
      <c r="P94" s="44"/>
    </row>
    <row r="95" spans="1:16" ht="40.9" customHeight="1">
      <c r="A95" s="8"/>
      <c r="B95" s="44" t="s">
        <v>245</v>
      </c>
      <c r="C95" s="44"/>
      <c r="D95" s="44"/>
      <c r="E95" s="44"/>
      <c r="F95" s="44"/>
      <c r="G95" s="44" t="s">
        <v>246</v>
      </c>
      <c r="H95" s="44"/>
      <c r="I95" s="44"/>
      <c r="J95" s="44"/>
      <c r="K95" s="44" t="s">
        <v>49</v>
      </c>
      <c r="L95" s="44"/>
      <c r="M95" s="44"/>
      <c r="N95" s="44"/>
      <c r="O95" s="44"/>
      <c r="P95" s="44"/>
    </row>
    <row r="96" spans="1:16" ht="40.9" customHeight="1">
      <c r="A96" s="8"/>
      <c r="B96" s="44" t="s">
        <v>294</v>
      </c>
      <c r="C96" s="44"/>
      <c r="D96" s="44"/>
      <c r="E96" s="44"/>
      <c r="F96" s="44"/>
      <c r="G96" s="44" t="s">
        <v>295</v>
      </c>
      <c r="H96" s="44"/>
      <c r="I96" s="44"/>
      <c r="J96" s="44"/>
      <c r="K96" s="44" t="s">
        <v>49</v>
      </c>
      <c r="L96" s="44"/>
      <c r="M96" s="44"/>
      <c r="N96" s="44"/>
      <c r="O96" s="44"/>
      <c r="P96" s="44"/>
    </row>
    <row r="97" spans="1:16" ht="54.4" customHeight="1">
      <c r="A97" s="8"/>
      <c r="B97" s="44" t="s">
        <v>296</v>
      </c>
      <c r="C97" s="44"/>
      <c r="D97" s="44"/>
      <c r="E97" s="44"/>
      <c r="F97" s="44"/>
      <c r="G97" s="44" t="s">
        <v>297</v>
      </c>
      <c r="H97" s="44"/>
      <c r="I97" s="44"/>
      <c r="J97" s="44"/>
      <c r="K97" s="44" t="s">
        <v>49</v>
      </c>
      <c r="L97" s="44"/>
      <c r="M97" s="44"/>
      <c r="N97" s="44"/>
      <c r="O97" s="44"/>
      <c r="P97" s="44"/>
    </row>
    <row r="98" spans="1:16" ht="81.599999999999994" customHeight="1">
      <c r="A98" s="8"/>
      <c r="B98" s="44" t="s">
        <v>298</v>
      </c>
      <c r="C98" s="44"/>
      <c r="D98" s="44"/>
      <c r="E98" s="44"/>
      <c r="F98" s="44"/>
      <c r="G98" s="44" t="s">
        <v>299</v>
      </c>
      <c r="H98" s="44"/>
      <c r="I98" s="44"/>
      <c r="J98" s="44"/>
      <c r="K98" s="44" t="s">
        <v>49</v>
      </c>
      <c r="L98" s="44"/>
      <c r="M98" s="44"/>
      <c r="N98" s="44"/>
      <c r="O98" s="44"/>
      <c r="P98" s="44"/>
    </row>
    <row r="99" spans="1:16">
      <c r="A99" s="7"/>
      <c r="B99" s="43" t="s">
        <v>249</v>
      </c>
      <c r="C99" s="43"/>
      <c r="D99" s="43"/>
      <c r="E99" s="43"/>
      <c r="F99" s="43"/>
      <c r="G99" s="43" t="s">
        <v>49</v>
      </c>
      <c r="H99" s="43"/>
      <c r="I99" s="43"/>
      <c r="J99" s="43"/>
      <c r="K99" s="43" t="s">
        <v>49</v>
      </c>
      <c r="L99" s="43"/>
      <c r="M99" s="43"/>
      <c r="N99" s="43"/>
      <c r="O99" s="43"/>
      <c r="P99" s="43"/>
    </row>
    <row r="100" spans="1:16">
      <c r="A100" s="8"/>
      <c r="B100" s="44" t="s">
        <v>250</v>
      </c>
      <c r="C100" s="44"/>
      <c r="D100" s="44"/>
      <c r="E100" s="44"/>
      <c r="F100" s="44"/>
      <c r="G100" s="44" t="s">
        <v>251</v>
      </c>
      <c r="H100" s="44"/>
      <c r="I100" s="44"/>
      <c r="J100" s="44"/>
      <c r="K100" s="44" t="s">
        <v>49</v>
      </c>
      <c r="L100" s="44"/>
      <c r="M100" s="44"/>
      <c r="N100" s="44"/>
      <c r="O100" s="44"/>
      <c r="P100" s="44"/>
    </row>
    <row r="101" spans="1:16" ht="122.45" customHeight="1">
      <c r="A101" s="6" t="s">
        <v>23</v>
      </c>
      <c r="B101" s="36" t="s">
        <v>300</v>
      </c>
      <c r="C101" s="37"/>
      <c r="D101" s="37"/>
      <c r="E101" s="37"/>
      <c r="F101" s="37"/>
      <c r="G101" s="37" t="s">
        <v>301</v>
      </c>
      <c r="H101" s="37"/>
      <c r="I101" s="37"/>
      <c r="J101" s="37"/>
      <c r="K101" s="37" t="s">
        <v>302</v>
      </c>
      <c r="L101" s="37"/>
      <c r="M101" s="37"/>
      <c r="N101" s="37"/>
      <c r="O101" s="42">
        <f>ROUND((1570 + 310 * 132) * 1 * 7.1 * 1 * 1.2, 0)</f>
        <v>362015</v>
      </c>
      <c r="P101" s="37"/>
    </row>
    <row r="102" spans="1:16">
      <c r="A102" s="7"/>
      <c r="B102" s="43" t="s">
        <v>96</v>
      </c>
      <c r="C102" s="43"/>
      <c r="D102" s="43"/>
      <c r="E102" s="43"/>
      <c r="F102" s="43"/>
      <c r="G102" s="43" t="s">
        <v>49</v>
      </c>
      <c r="H102" s="43"/>
      <c r="I102" s="43"/>
      <c r="J102" s="43"/>
      <c r="K102" s="43" t="s">
        <v>49</v>
      </c>
      <c r="L102" s="43"/>
      <c r="M102" s="43"/>
      <c r="N102" s="43"/>
      <c r="O102" s="43"/>
      <c r="P102" s="43"/>
    </row>
    <row r="103" spans="1:16">
      <c r="A103" s="8"/>
      <c r="B103" s="44" t="s">
        <v>244</v>
      </c>
      <c r="C103" s="44"/>
      <c r="D103" s="44"/>
      <c r="E103" s="44"/>
      <c r="F103" s="44"/>
      <c r="G103" s="44" t="s">
        <v>226</v>
      </c>
      <c r="H103" s="44"/>
      <c r="I103" s="44"/>
      <c r="J103" s="44"/>
      <c r="K103" s="44" t="s">
        <v>49</v>
      </c>
      <c r="L103" s="44"/>
      <c r="M103" s="44"/>
      <c r="N103" s="44"/>
      <c r="O103" s="44"/>
      <c r="P103" s="44"/>
    </row>
    <row r="104" spans="1:16" ht="40.9" customHeight="1">
      <c r="A104" s="8"/>
      <c r="B104" s="44" t="s">
        <v>245</v>
      </c>
      <c r="C104" s="44"/>
      <c r="D104" s="44"/>
      <c r="E104" s="44"/>
      <c r="F104" s="44"/>
      <c r="G104" s="44" t="s">
        <v>246</v>
      </c>
      <c r="H104" s="44"/>
      <c r="I104" s="44"/>
      <c r="J104" s="44"/>
      <c r="K104" s="44" t="s">
        <v>49</v>
      </c>
      <c r="L104" s="44"/>
      <c r="M104" s="44"/>
      <c r="N104" s="44"/>
      <c r="O104" s="44"/>
      <c r="P104" s="44"/>
    </row>
    <row r="105" spans="1:16" ht="122.45" customHeight="1">
      <c r="A105" s="8"/>
      <c r="B105" s="44" t="s">
        <v>303</v>
      </c>
      <c r="C105" s="44"/>
      <c r="D105" s="44"/>
      <c r="E105" s="44"/>
      <c r="F105" s="44"/>
      <c r="G105" s="44" t="s">
        <v>304</v>
      </c>
      <c r="H105" s="44"/>
      <c r="I105" s="44"/>
      <c r="J105" s="44"/>
      <c r="K105" s="44" t="s">
        <v>49</v>
      </c>
      <c r="L105" s="44"/>
      <c r="M105" s="44"/>
      <c r="N105" s="44"/>
      <c r="O105" s="44"/>
      <c r="P105" s="44"/>
    </row>
    <row r="106" spans="1:16">
      <c r="A106" s="7"/>
      <c r="B106" s="43" t="s">
        <v>249</v>
      </c>
      <c r="C106" s="43"/>
      <c r="D106" s="43"/>
      <c r="E106" s="43"/>
      <c r="F106" s="43"/>
      <c r="G106" s="43" t="s">
        <v>49</v>
      </c>
      <c r="H106" s="43"/>
      <c r="I106" s="43"/>
      <c r="J106" s="43"/>
      <c r="K106" s="43" t="s">
        <v>49</v>
      </c>
      <c r="L106" s="43"/>
      <c r="M106" s="43"/>
      <c r="N106" s="43"/>
      <c r="O106" s="43"/>
      <c r="P106" s="43"/>
    </row>
    <row r="107" spans="1:16">
      <c r="A107" s="8"/>
      <c r="B107" s="44" t="s">
        <v>250</v>
      </c>
      <c r="C107" s="44"/>
      <c r="D107" s="44"/>
      <c r="E107" s="44"/>
      <c r="F107" s="44"/>
      <c r="G107" s="44" t="s">
        <v>251</v>
      </c>
      <c r="H107" s="44"/>
      <c r="I107" s="44"/>
      <c r="J107" s="44"/>
      <c r="K107" s="44" t="s">
        <v>49</v>
      </c>
      <c r="L107" s="44"/>
      <c r="M107" s="44"/>
      <c r="N107" s="44"/>
      <c r="O107" s="44"/>
      <c r="P107" s="44"/>
    </row>
    <row r="108" spans="1:16" ht="149.65" customHeight="1">
      <c r="A108" s="6" t="s">
        <v>305</v>
      </c>
      <c r="B108" s="36" t="s">
        <v>306</v>
      </c>
      <c r="C108" s="37"/>
      <c r="D108" s="37"/>
      <c r="E108" s="37"/>
      <c r="F108" s="37"/>
      <c r="G108" s="37" t="s">
        <v>307</v>
      </c>
      <c r="H108" s="37"/>
      <c r="I108" s="37"/>
      <c r="J108" s="37"/>
      <c r="K108" s="37" t="s">
        <v>308</v>
      </c>
      <c r="L108" s="37"/>
      <c r="M108" s="37"/>
      <c r="N108" s="37"/>
      <c r="O108" s="42">
        <f>ROUND(15420 * 1 * 7.1 * 1 * 1.2, 0)</f>
        <v>131378</v>
      </c>
      <c r="P108" s="37"/>
    </row>
    <row r="109" spans="1:16">
      <c r="A109" s="7"/>
      <c r="B109" s="43" t="s">
        <v>96</v>
      </c>
      <c r="C109" s="43"/>
      <c r="D109" s="43"/>
      <c r="E109" s="43"/>
      <c r="F109" s="43"/>
      <c r="G109" s="43" t="s">
        <v>49</v>
      </c>
      <c r="H109" s="43"/>
      <c r="I109" s="43"/>
      <c r="J109" s="43"/>
      <c r="K109" s="43" t="s">
        <v>49</v>
      </c>
      <c r="L109" s="43"/>
      <c r="M109" s="43"/>
      <c r="N109" s="43"/>
      <c r="O109" s="43"/>
      <c r="P109" s="43"/>
    </row>
    <row r="110" spans="1:16">
      <c r="A110" s="8"/>
      <c r="B110" s="44" t="s">
        <v>244</v>
      </c>
      <c r="C110" s="44"/>
      <c r="D110" s="44"/>
      <c r="E110" s="44"/>
      <c r="F110" s="44"/>
      <c r="G110" s="44" t="s">
        <v>226</v>
      </c>
      <c r="H110" s="44"/>
      <c r="I110" s="44"/>
      <c r="J110" s="44"/>
      <c r="K110" s="44" t="s">
        <v>49</v>
      </c>
      <c r="L110" s="44"/>
      <c r="M110" s="44"/>
      <c r="N110" s="44"/>
      <c r="O110" s="44"/>
      <c r="P110" s="44"/>
    </row>
    <row r="111" spans="1:16" ht="40.9" customHeight="1">
      <c r="A111" s="8"/>
      <c r="B111" s="44" t="s">
        <v>245</v>
      </c>
      <c r="C111" s="44"/>
      <c r="D111" s="44"/>
      <c r="E111" s="44"/>
      <c r="F111" s="44"/>
      <c r="G111" s="44" t="s">
        <v>246</v>
      </c>
      <c r="H111" s="44"/>
      <c r="I111" s="44"/>
      <c r="J111" s="44"/>
      <c r="K111" s="44" t="s">
        <v>49</v>
      </c>
      <c r="L111" s="44"/>
      <c r="M111" s="44"/>
      <c r="N111" s="44"/>
      <c r="O111" s="44"/>
      <c r="P111" s="44"/>
    </row>
    <row r="112" spans="1:16" ht="122.45" customHeight="1">
      <c r="A112" s="8"/>
      <c r="B112" s="44" t="s">
        <v>303</v>
      </c>
      <c r="C112" s="44"/>
      <c r="D112" s="44"/>
      <c r="E112" s="44"/>
      <c r="F112" s="44"/>
      <c r="G112" s="44" t="s">
        <v>304</v>
      </c>
      <c r="H112" s="44"/>
      <c r="I112" s="44"/>
      <c r="J112" s="44"/>
      <c r="K112" s="44" t="s">
        <v>49</v>
      </c>
      <c r="L112" s="44"/>
      <c r="M112" s="44"/>
      <c r="N112" s="44"/>
      <c r="O112" s="44"/>
      <c r="P112" s="44"/>
    </row>
    <row r="113" spans="1:16">
      <c r="A113" s="7"/>
      <c r="B113" s="43" t="s">
        <v>249</v>
      </c>
      <c r="C113" s="43"/>
      <c r="D113" s="43"/>
      <c r="E113" s="43"/>
      <c r="F113" s="43"/>
      <c r="G113" s="43" t="s">
        <v>49</v>
      </c>
      <c r="H113" s="43"/>
      <c r="I113" s="43"/>
      <c r="J113" s="43"/>
      <c r="K113" s="43" t="s">
        <v>49</v>
      </c>
      <c r="L113" s="43"/>
      <c r="M113" s="43"/>
      <c r="N113" s="43"/>
      <c r="O113" s="43"/>
      <c r="P113" s="43"/>
    </row>
    <row r="114" spans="1:16">
      <c r="A114" s="8"/>
      <c r="B114" s="44" t="s">
        <v>250</v>
      </c>
      <c r="C114" s="44"/>
      <c r="D114" s="44"/>
      <c r="E114" s="44"/>
      <c r="F114" s="44"/>
      <c r="G114" s="44" t="s">
        <v>251</v>
      </c>
      <c r="H114" s="44"/>
      <c r="I114" s="44"/>
      <c r="J114" s="44"/>
      <c r="K114" s="44" t="s">
        <v>49</v>
      </c>
      <c r="L114" s="44"/>
      <c r="M114" s="44"/>
      <c r="N114" s="44"/>
      <c r="O114" s="44"/>
      <c r="P114" s="44"/>
    </row>
    <row r="115" spans="1:16">
      <c r="A115" s="4" t="s">
        <v>309</v>
      </c>
      <c r="B115" s="28" t="s">
        <v>84</v>
      </c>
      <c r="C115" s="28"/>
      <c r="D115" s="28"/>
      <c r="E115" s="28"/>
      <c r="F115" s="28"/>
      <c r="G115" s="28"/>
      <c r="H115" s="28"/>
      <c r="I115" s="28"/>
      <c r="J115" s="28"/>
      <c r="K115" s="28" t="s">
        <v>49</v>
      </c>
      <c r="L115" s="28"/>
      <c r="M115" s="28"/>
      <c r="N115" s="28"/>
      <c r="O115" s="45">
        <f>ROUND(SUM($O$37:$O$108),0)</f>
        <v>12287117</v>
      </c>
      <c r="P115" s="28"/>
    </row>
    <row r="116" spans="1:16">
      <c r="A116" s="4" t="s">
        <v>310</v>
      </c>
      <c r="B116" s="28" t="s">
        <v>88</v>
      </c>
      <c r="C116" s="28"/>
      <c r="D116" s="28"/>
      <c r="E116" s="28"/>
      <c r="F116" s="28"/>
      <c r="G116" s="28"/>
      <c r="H116" s="28"/>
      <c r="I116" s="28"/>
      <c r="J116" s="28"/>
      <c r="K116" s="28" t="s">
        <v>49</v>
      </c>
      <c r="L116" s="28"/>
      <c r="M116" s="28"/>
      <c r="N116" s="28"/>
      <c r="O116" s="45">
        <f>ROUND(($O$115),0)</f>
        <v>12287117</v>
      </c>
      <c r="P116" s="28"/>
    </row>
    <row r="118" spans="1:16" ht="13.5" customHeight="1">
      <c r="A118" s="21" t="s">
        <v>89</v>
      </c>
      <c r="B118" s="21"/>
      <c r="C118" s="21"/>
      <c r="D118" s="55" t="s">
        <v>373</v>
      </c>
      <c r="E118" s="55"/>
      <c r="F118" s="55"/>
      <c r="G118" s="55"/>
      <c r="H118" s="55"/>
      <c r="I118" s="55"/>
      <c r="J118" s="55"/>
      <c r="K118" s="55"/>
      <c r="L118" s="55"/>
      <c r="M118" s="55"/>
      <c r="N118" s="55"/>
      <c r="O118" s="55"/>
      <c r="P118" s="55"/>
    </row>
    <row r="119" spans="1:16" ht="15" customHeight="1">
      <c r="A119" s="14"/>
      <c r="B119" s="14"/>
      <c r="C119" s="14"/>
      <c r="D119" s="60" t="s">
        <v>90</v>
      </c>
      <c r="E119" s="60"/>
      <c r="F119" s="60"/>
      <c r="G119" s="60"/>
      <c r="H119" s="60"/>
      <c r="I119" s="60"/>
      <c r="J119" s="60"/>
      <c r="K119" s="60"/>
      <c r="L119" s="60"/>
      <c r="M119" s="60"/>
      <c r="N119" s="60"/>
      <c r="O119" s="60"/>
      <c r="P119" s="60"/>
    </row>
    <row r="120" spans="1:16">
      <c r="A120" s="14"/>
      <c r="B120" s="14"/>
      <c r="C120" s="14"/>
      <c r="D120" s="14"/>
      <c r="E120" s="14"/>
      <c r="F120" s="14"/>
      <c r="G120" s="14"/>
      <c r="H120" s="14"/>
      <c r="I120" s="14"/>
      <c r="J120" s="14"/>
      <c r="K120" s="14"/>
      <c r="L120" s="14"/>
      <c r="M120" s="14"/>
      <c r="N120" s="14"/>
      <c r="O120" s="14"/>
      <c r="P120" s="14"/>
    </row>
  </sheetData>
  <mergeCells count="423">
    <mergeCell ref="B116:F116"/>
    <mergeCell ref="G116:J116"/>
    <mergeCell ref="K116:N116"/>
    <mergeCell ref="O116:P116"/>
    <mergeCell ref="B113:F113"/>
    <mergeCell ref="G113:J113"/>
    <mergeCell ref="K113:N113"/>
    <mergeCell ref="O113:P113"/>
    <mergeCell ref="B114:F114"/>
    <mergeCell ref="G114:J114"/>
    <mergeCell ref="K114:N114"/>
    <mergeCell ref="O114:P114"/>
    <mergeCell ref="B115:F115"/>
    <mergeCell ref="G115:J115"/>
    <mergeCell ref="K115:N115"/>
    <mergeCell ref="O115:P115"/>
    <mergeCell ref="A118:C118"/>
    <mergeCell ref="D118:P118"/>
    <mergeCell ref="D119:P119"/>
    <mergeCell ref="B110:F110"/>
    <mergeCell ref="G110:J110"/>
    <mergeCell ref="K110:N110"/>
    <mergeCell ref="O110:P110"/>
    <mergeCell ref="B111:F111"/>
    <mergeCell ref="G111:J111"/>
    <mergeCell ref="K111:N111"/>
    <mergeCell ref="O111:P111"/>
    <mergeCell ref="B112:F112"/>
    <mergeCell ref="G112:J112"/>
    <mergeCell ref="K112:N112"/>
    <mergeCell ref="O112:P112"/>
    <mergeCell ref="B107:F107"/>
    <mergeCell ref="G107:J107"/>
    <mergeCell ref="K107:N107"/>
    <mergeCell ref="O107:P107"/>
    <mergeCell ref="B108:F108"/>
    <mergeCell ref="G108:J108"/>
    <mergeCell ref="K108:N108"/>
    <mergeCell ref="O108:P108"/>
    <mergeCell ref="B109:F109"/>
    <mergeCell ref="G109:J109"/>
    <mergeCell ref="K109:N109"/>
    <mergeCell ref="O109:P109"/>
    <mergeCell ref="B104:F104"/>
    <mergeCell ref="G104:J104"/>
    <mergeCell ref="K104:N104"/>
    <mergeCell ref="O104:P104"/>
    <mergeCell ref="B105:F105"/>
    <mergeCell ref="G105:J105"/>
    <mergeCell ref="K105:N105"/>
    <mergeCell ref="O105:P105"/>
    <mergeCell ref="B106:F106"/>
    <mergeCell ref="G106:J106"/>
    <mergeCell ref="K106:N106"/>
    <mergeCell ref="O106:P106"/>
    <mergeCell ref="B101:F101"/>
    <mergeCell ref="G101:J101"/>
    <mergeCell ref="K101:N101"/>
    <mergeCell ref="O101:P101"/>
    <mergeCell ref="B102:F102"/>
    <mergeCell ref="G102:J102"/>
    <mergeCell ref="K102:N102"/>
    <mergeCell ref="O102:P102"/>
    <mergeCell ref="B103:F103"/>
    <mergeCell ref="G103:J103"/>
    <mergeCell ref="K103:N103"/>
    <mergeCell ref="O103:P103"/>
    <mergeCell ref="B98:F98"/>
    <mergeCell ref="G98:J98"/>
    <mergeCell ref="K98:N98"/>
    <mergeCell ref="O98:P98"/>
    <mergeCell ref="B99:F99"/>
    <mergeCell ref="G99:J99"/>
    <mergeCell ref="K99:N99"/>
    <mergeCell ref="O99:P99"/>
    <mergeCell ref="B100:F100"/>
    <mergeCell ref="G100:J100"/>
    <mergeCell ref="K100:N100"/>
    <mergeCell ref="O100:P100"/>
    <mergeCell ref="B95:F95"/>
    <mergeCell ref="G95:J95"/>
    <mergeCell ref="K95:N95"/>
    <mergeCell ref="O95:P95"/>
    <mergeCell ref="B96:F96"/>
    <mergeCell ref="G96:J96"/>
    <mergeCell ref="K96:N96"/>
    <mergeCell ref="O96:P96"/>
    <mergeCell ref="B97:F97"/>
    <mergeCell ref="G97:J97"/>
    <mergeCell ref="K97:N97"/>
    <mergeCell ref="O97:P97"/>
    <mergeCell ref="B92:F92"/>
    <mergeCell ref="G92:J92"/>
    <mergeCell ref="K92:N92"/>
    <mergeCell ref="O92:P92"/>
    <mergeCell ref="B93:F93"/>
    <mergeCell ref="G93:J93"/>
    <mergeCell ref="K93:N93"/>
    <mergeCell ref="O93:P93"/>
    <mergeCell ref="B94:F94"/>
    <mergeCell ref="G94:J94"/>
    <mergeCell ref="K94:N94"/>
    <mergeCell ref="O94:P94"/>
    <mergeCell ref="B89:F89"/>
    <mergeCell ref="G89:J89"/>
    <mergeCell ref="K89:N89"/>
    <mergeCell ref="O89:P89"/>
    <mergeCell ref="B90:F90"/>
    <mergeCell ref="G90:J90"/>
    <mergeCell ref="K90:N90"/>
    <mergeCell ref="O90:P90"/>
    <mergeCell ref="B91:F91"/>
    <mergeCell ref="G91:J91"/>
    <mergeCell ref="K91:N91"/>
    <mergeCell ref="O91:P91"/>
    <mergeCell ref="B86:F86"/>
    <mergeCell ref="G86:J86"/>
    <mergeCell ref="K86:N86"/>
    <mergeCell ref="O86:P86"/>
    <mergeCell ref="B87:F87"/>
    <mergeCell ref="G87:J87"/>
    <mergeCell ref="K87:N87"/>
    <mergeCell ref="O87:P87"/>
    <mergeCell ref="B88:F88"/>
    <mergeCell ref="G88:J88"/>
    <mergeCell ref="K88:N88"/>
    <mergeCell ref="O88:P88"/>
    <mergeCell ref="B83:F83"/>
    <mergeCell ref="G83:J83"/>
    <mergeCell ref="K83:N83"/>
    <mergeCell ref="O83:P83"/>
    <mergeCell ref="B84:F84"/>
    <mergeCell ref="G84:J84"/>
    <mergeCell ref="K84:N84"/>
    <mergeCell ref="O84:P84"/>
    <mergeCell ref="B85:F85"/>
    <mergeCell ref="G85:J85"/>
    <mergeCell ref="K85:N85"/>
    <mergeCell ref="O85:P85"/>
    <mergeCell ref="B80:F80"/>
    <mergeCell ref="G80:J80"/>
    <mergeCell ref="K80:N80"/>
    <mergeCell ref="O80:P80"/>
    <mergeCell ref="B81:F81"/>
    <mergeCell ref="G81:J81"/>
    <mergeCell ref="K81:N81"/>
    <mergeCell ref="O81:P81"/>
    <mergeCell ref="B82:F82"/>
    <mergeCell ref="G82:J82"/>
    <mergeCell ref="K82:N82"/>
    <mergeCell ref="O82:P82"/>
    <mergeCell ref="B77:F77"/>
    <mergeCell ref="G77:J77"/>
    <mergeCell ref="K77:N77"/>
    <mergeCell ref="O77:P77"/>
    <mergeCell ref="B78:F78"/>
    <mergeCell ref="G78:J78"/>
    <mergeCell ref="K78:N78"/>
    <mergeCell ref="O78:P78"/>
    <mergeCell ref="B79:F79"/>
    <mergeCell ref="G79:J79"/>
    <mergeCell ref="K79:N79"/>
    <mergeCell ref="O79:P79"/>
    <mergeCell ref="B74:F74"/>
    <mergeCell ref="G74:J74"/>
    <mergeCell ref="K74:N74"/>
    <mergeCell ref="O74:P74"/>
    <mergeCell ref="B75:F75"/>
    <mergeCell ref="G75:J75"/>
    <mergeCell ref="K75:N75"/>
    <mergeCell ref="O75:P75"/>
    <mergeCell ref="B76:F76"/>
    <mergeCell ref="G76:J76"/>
    <mergeCell ref="K76:N76"/>
    <mergeCell ref="O76:P76"/>
    <mergeCell ref="B71:F71"/>
    <mergeCell ref="G71:J71"/>
    <mergeCell ref="K71:N71"/>
    <mergeCell ref="O71:P71"/>
    <mergeCell ref="B72:F72"/>
    <mergeCell ref="G72:J72"/>
    <mergeCell ref="K72:N72"/>
    <mergeCell ref="O72:P72"/>
    <mergeCell ref="B73:F73"/>
    <mergeCell ref="G73:J73"/>
    <mergeCell ref="K73:N73"/>
    <mergeCell ref="O73:P73"/>
    <mergeCell ref="B68:F68"/>
    <mergeCell ref="G68:J68"/>
    <mergeCell ref="K68:N68"/>
    <mergeCell ref="O68:P68"/>
    <mergeCell ref="B69:F69"/>
    <mergeCell ref="G69:J69"/>
    <mergeCell ref="K69:N69"/>
    <mergeCell ref="O69:P69"/>
    <mergeCell ref="B70:F70"/>
    <mergeCell ref="G70:J70"/>
    <mergeCell ref="K70:N70"/>
    <mergeCell ref="O70:P70"/>
    <mergeCell ref="B65:F65"/>
    <mergeCell ref="G65:J65"/>
    <mergeCell ref="K65:N65"/>
    <mergeCell ref="O65:P65"/>
    <mergeCell ref="B66:F66"/>
    <mergeCell ref="G66:J66"/>
    <mergeCell ref="K66:N66"/>
    <mergeCell ref="O66:P66"/>
    <mergeCell ref="B67:F67"/>
    <mergeCell ref="G67:J67"/>
    <mergeCell ref="K67:N67"/>
    <mergeCell ref="O67:P67"/>
    <mergeCell ref="B62:F62"/>
    <mergeCell ref="G62:J62"/>
    <mergeCell ref="K62:N62"/>
    <mergeCell ref="O62:P62"/>
    <mergeCell ref="B63:F63"/>
    <mergeCell ref="G63:J63"/>
    <mergeCell ref="K63:N63"/>
    <mergeCell ref="O63:P63"/>
    <mergeCell ref="B64:F64"/>
    <mergeCell ref="G64:J64"/>
    <mergeCell ref="K64:N64"/>
    <mergeCell ref="O64:P64"/>
    <mergeCell ref="B59:F59"/>
    <mergeCell ref="G59:J59"/>
    <mergeCell ref="K59:N59"/>
    <mergeCell ref="O59:P59"/>
    <mergeCell ref="B60:F60"/>
    <mergeCell ref="G60:J60"/>
    <mergeCell ref="K60:N60"/>
    <mergeCell ref="O60:P60"/>
    <mergeCell ref="B61:F61"/>
    <mergeCell ref="G61:J61"/>
    <mergeCell ref="K61:N61"/>
    <mergeCell ref="O61:P61"/>
    <mergeCell ref="B56:F56"/>
    <mergeCell ref="G56:J56"/>
    <mergeCell ref="K56:N56"/>
    <mergeCell ref="O56:P56"/>
    <mergeCell ref="B57:F57"/>
    <mergeCell ref="G57:J57"/>
    <mergeCell ref="K57:N57"/>
    <mergeCell ref="O57:P57"/>
    <mergeCell ref="B58:F58"/>
    <mergeCell ref="G58:J58"/>
    <mergeCell ref="K58:N58"/>
    <mergeCell ref="O58:P58"/>
    <mergeCell ref="B53:F53"/>
    <mergeCell ref="G53:J53"/>
    <mergeCell ref="K53:N53"/>
    <mergeCell ref="O53:P53"/>
    <mergeCell ref="B54:F54"/>
    <mergeCell ref="G54:J54"/>
    <mergeCell ref="K54:N54"/>
    <mergeCell ref="O54:P54"/>
    <mergeCell ref="B55:F55"/>
    <mergeCell ref="G55:J55"/>
    <mergeCell ref="K55:N55"/>
    <mergeCell ref="O55:P55"/>
    <mergeCell ref="B50:F50"/>
    <mergeCell ref="G50:J50"/>
    <mergeCell ref="K50:N50"/>
    <mergeCell ref="O50:P50"/>
    <mergeCell ref="B51:F51"/>
    <mergeCell ref="G51:J51"/>
    <mergeCell ref="K51:N51"/>
    <mergeCell ref="O51:P51"/>
    <mergeCell ref="B52:F52"/>
    <mergeCell ref="G52:J52"/>
    <mergeCell ref="K52:N52"/>
    <mergeCell ref="O52:P52"/>
    <mergeCell ref="B47:F47"/>
    <mergeCell ref="G47:J47"/>
    <mergeCell ref="K47:N47"/>
    <mergeCell ref="O47:P47"/>
    <mergeCell ref="B48:F48"/>
    <mergeCell ref="G48:J48"/>
    <mergeCell ref="K48:N48"/>
    <mergeCell ref="O48:P48"/>
    <mergeCell ref="B49:F49"/>
    <mergeCell ref="G49:J49"/>
    <mergeCell ref="K49:N49"/>
    <mergeCell ref="O49:P49"/>
    <mergeCell ref="B44:F44"/>
    <mergeCell ref="G44:J44"/>
    <mergeCell ref="K44:N44"/>
    <mergeCell ref="O44:P44"/>
    <mergeCell ref="B45:F45"/>
    <mergeCell ref="G45:J45"/>
    <mergeCell ref="K45:N45"/>
    <mergeCell ref="O45:P45"/>
    <mergeCell ref="B46:F46"/>
    <mergeCell ref="G46:J46"/>
    <mergeCell ref="K46:N46"/>
    <mergeCell ref="O46:P46"/>
    <mergeCell ref="B41:F41"/>
    <mergeCell ref="G41:J41"/>
    <mergeCell ref="K41:N41"/>
    <mergeCell ref="O41:P41"/>
    <mergeCell ref="B42:F42"/>
    <mergeCell ref="G42:J42"/>
    <mergeCell ref="K42:N42"/>
    <mergeCell ref="O42:P42"/>
    <mergeCell ref="B43:F43"/>
    <mergeCell ref="G43:J43"/>
    <mergeCell ref="K43:N43"/>
    <mergeCell ref="O43:P43"/>
    <mergeCell ref="B38:F38"/>
    <mergeCell ref="G38:J38"/>
    <mergeCell ref="K38:N38"/>
    <mergeCell ref="O38:P38"/>
    <mergeCell ref="B39:F39"/>
    <mergeCell ref="G39:J39"/>
    <mergeCell ref="K39:N39"/>
    <mergeCell ref="O39:P39"/>
    <mergeCell ref="B40:F40"/>
    <mergeCell ref="G40:J40"/>
    <mergeCell ref="K40:N40"/>
    <mergeCell ref="O40:P40"/>
    <mergeCell ref="B35:F35"/>
    <mergeCell ref="G35:J35"/>
    <mergeCell ref="K35:N35"/>
    <mergeCell ref="O35:P35"/>
    <mergeCell ref="B36:F36"/>
    <mergeCell ref="G36:J36"/>
    <mergeCell ref="K36:N36"/>
    <mergeCell ref="O36:P36"/>
    <mergeCell ref="B37:F37"/>
    <mergeCell ref="G37:J37"/>
    <mergeCell ref="K37:N37"/>
    <mergeCell ref="O37:P37"/>
    <mergeCell ref="B32:F32"/>
    <mergeCell ref="G32:J32"/>
    <mergeCell ref="K32:N32"/>
    <mergeCell ref="O32:P32"/>
    <mergeCell ref="B33:F33"/>
    <mergeCell ref="G33:J33"/>
    <mergeCell ref="K33:N33"/>
    <mergeCell ref="O33:P33"/>
    <mergeCell ref="B34:F34"/>
    <mergeCell ref="G34:J34"/>
    <mergeCell ref="K34:N34"/>
    <mergeCell ref="O34:P34"/>
    <mergeCell ref="B29:F29"/>
    <mergeCell ref="G29:J29"/>
    <mergeCell ref="K29:N29"/>
    <mergeCell ref="O29:P29"/>
    <mergeCell ref="B30:F30"/>
    <mergeCell ref="G30:J30"/>
    <mergeCell ref="K30:N30"/>
    <mergeCell ref="O30:P30"/>
    <mergeCell ref="B31:F31"/>
    <mergeCell ref="G31:J31"/>
    <mergeCell ref="K31:N31"/>
    <mergeCell ref="O31:P31"/>
    <mergeCell ref="B26:F26"/>
    <mergeCell ref="G26:J26"/>
    <mergeCell ref="K26:N26"/>
    <mergeCell ref="O26:P26"/>
    <mergeCell ref="B27:F27"/>
    <mergeCell ref="G27:J27"/>
    <mergeCell ref="K27:N27"/>
    <mergeCell ref="O27:P27"/>
    <mergeCell ref="B28:F28"/>
    <mergeCell ref="G28:J28"/>
    <mergeCell ref="K28:N28"/>
    <mergeCell ref="O28:P28"/>
    <mergeCell ref="B23:F23"/>
    <mergeCell ref="G23:J23"/>
    <mergeCell ref="K23:N23"/>
    <mergeCell ref="O23:P23"/>
    <mergeCell ref="B24:F24"/>
    <mergeCell ref="G24:J24"/>
    <mergeCell ref="K24:N24"/>
    <mergeCell ref="O24:P24"/>
    <mergeCell ref="B25:F25"/>
    <mergeCell ref="G25:J25"/>
    <mergeCell ref="K25:N25"/>
    <mergeCell ref="O25:P25"/>
    <mergeCell ref="B20:F20"/>
    <mergeCell ref="G20:J20"/>
    <mergeCell ref="K20:N20"/>
    <mergeCell ref="O20:P20"/>
    <mergeCell ref="B21:F21"/>
    <mergeCell ref="G21:J21"/>
    <mergeCell ref="K21:N21"/>
    <mergeCell ref="O21:P21"/>
    <mergeCell ref="B22:F22"/>
    <mergeCell ref="G22:J22"/>
    <mergeCell ref="K22:N22"/>
    <mergeCell ref="O22:P22"/>
    <mergeCell ref="B17:F17"/>
    <mergeCell ref="G17:J17"/>
    <mergeCell ref="K17:N17"/>
    <mergeCell ref="O17:P17"/>
    <mergeCell ref="B18:F18"/>
    <mergeCell ref="G18:J18"/>
    <mergeCell ref="K18:N18"/>
    <mergeCell ref="O18:P18"/>
    <mergeCell ref="B19:F19"/>
    <mergeCell ref="G19:J19"/>
    <mergeCell ref="K19:N19"/>
    <mergeCell ref="O19:P19"/>
    <mergeCell ref="B15:F15"/>
    <mergeCell ref="B16:F16"/>
    <mergeCell ref="G15:J15"/>
    <mergeCell ref="G16:J16"/>
    <mergeCell ref="K15:N15"/>
    <mergeCell ref="K16:N16"/>
    <mergeCell ref="O15:P15"/>
    <mergeCell ref="O16:P16"/>
    <mergeCell ref="A1:D1"/>
    <mergeCell ref="E1:P1"/>
    <mergeCell ref="A8:P8"/>
    <mergeCell ref="A9:P9"/>
    <mergeCell ref="A11:E11"/>
    <mergeCell ref="F11:P11"/>
    <mergeCell ref="A13:E13"/>
    <mergeCell ref="F13:P13"/>
    <mergeCell ref="L2:P2"/>
    <mergeCell ref="L3:P3"/>
    <mergeCell ref="O4:P4"/>
    <mergeCell ref="L5:P5"/>
  </mergeCells>
  <pageMargins left="0.4" right="0.4" top="0.75" bottom="0.75" header="0.3" footer="0.3"/>
  <pageSetup paperSize="9" scale="75" orientation="portrait" r:id="rId1"/>
</worksheet>
</file>

<file path=xl/worksheets/sheet6.xml><?xml version="1.0" encoding="utf-8"?>
<worksheet xmlns="http://schemas.openxmlformats.org/spreadsheetml/2006/main" xmlns:r="http://schemas.openxmlformats.org/officeDocument/2006/relationships">
  <dimension ref="A1:AX44"/>
  <sheetViews>
    <sheetView showRuler="0" view="pageBreakPreview" zoomScale="60" zoomScaleNormal="100" workbookViewId="0">
      <selection activeCell="A2" sqref="A2:XFD6"/>
    </sheetView>
  </sheetViews>
  <sheetFormatPr defaultRowHeight="15"/>
  <cols>
    <col min="1" max="1" width="6.42578125" style="1" customWidth="1"/>
    <col min="2" max="50" width="8" style="1" customWidth="1"/>
  </cols>
  <sheetData>
    <row r="1" spans="1:50" ht="15.75" customHeight="1">
      <c r="A1" s="17" t="s">
        <v>368</v>
      </c>
      <c r="B1" s="17"/>
      <c r="C1" s="17"/>
      <c r="D1" s="17"/>
      <c r="E1" s="18" t="s">
        <v>368</v>
      </c>
      <c r="F1" s="18"/>
      <c r="G1" s="18"/>
      <c r="H1" s="18"/>
      <c r="I1" s="18"/>
      <c r="J1" s="18"/>
      <c r="K1" s="18"/>
      <c r="L1" s="18"/>
      <c r="M1" s="18"/>
      <c r="N1" s="18"/>
      <c r="O1" s="18"/>
      <c r="P1" s="18"/>
    </row>
    <row r="2" spans="1:50" ht="15.75" customHeight="1">
      <c r="A2" s="59"/>
      <c r="B2" s="15"/>
      <c r="C2" s="15"/>
      <c r="D2" s="15"/>
      <c r="E2" s="16"/>
      <c r="F2" s="16"/>
      <c r="G2" s="16"/>
      <c r="H2" s="16"/>
      <c r="I2" s="16"/>
      <c r="J2" s="16"/>
      <c r="K2" s="16"/>
      <c r="L2" s="33" t="s">
        <v>362</v>
      </c>
      <c r="M2" s="33"/>
      <c r="N2" s="33"/>
      <c r="O2" s="33"/>
      <c r="P2" s="33"/>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row>
    <row r="3" spans="1:50" ht="30.75" customHeight="1">
      <c r="A3" s="59"/>
      <c r="B3" s="15"/>
      <c r="C3" s="15"/>
      <c r="D3" s="15"/>
      <c r="E3" s="16"/>
      <c r="F3" s="16"/>
      <c r="G3" s="16"/>
      <c r="H3" s="16"/>
      <c r="I3" s="16"/>
      <c r="J3" s="16"/>
      <c r="K3" s="16"/>
      <c r="L3" s="21" t="s">
        <v>363</v>
      </c>
      <c r="M3" s="21"/>
      <c r="N3" s="21"/>
      <c r="O3" s="21"/>
      <c r="P3" s="21"/>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row>
    <row r="4" spans="1:50" ht="35.25" customHeight="1">
      <c r="A4" s="59"/>
      <c r="B4" s="15"/>
      <c r="C4" s="15"/>
      <c r="D4" s="15"/>
      <c r="E4" s="16"/>
      <c r="F4" s="16"/>
      <c r="G4" s="16"/>
      <c r="H4" s="16"/>
      <c r="I4" s="16"/>
      <c r="J4" s="16"/>
      <c r="K4" s="16"/>
      <c r="L4" s="48"/>
      <c r="M4" s="48"/>
      <c r="N4" s="48"/>
      <c r="O4" s="49" t="s">
        <v>364</v>
      </c>
      <c r="P4" s="50"/>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row>
    <row r="5" spans="1:50" ht="21" customHeight="1">
      <c r="A5" s="59"/>
      <c r="B5" s="15"/>
      <c r="C5" s="15"/>
      <c r="D5" s="15"/>
      <c r="E5" s="16"/>
      <c r="F5" s="16"/>
      <c r="G5" s="16"/>
      <c r="H5" s="16"/>
      <c r="I5" s="16"/>
      <c r="J5" s="16"/>
      <c r="K5" s="16"/>
      <c r="L5" s="53" t="s">
        <v>365</v>
      </c>
      <c r="M5" s="53"/>
      <c r="N5" s="53"/>
      <c r="O5" s="53"/>
      <c r="P5" s="53"/>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row>
    <row r="6" spans="1:50" ht="16.5" customHeight="1">
      <c r="A6" s="59"/>
      <c r="B6" s="15"/>
      <c r="C6" s="15"/>
      <c r="D6" s="15"/>
      <c r="E6" s="16"/>
      <c r="F6" s="16"/>
      <c r="G6" s="16"/>
      <c r="H6" s="16"/>
      <c r="I6" s="16"/>
      <c r="J6" s="16"/>
      <c r="K6" s="16"/>
      <c r="L6" s="51" t="s">
        <v>366</v>
      </c>
      <c r="M6" s="16"/>
      <c r="N6" s="16"/>
      <c r="O6" s="16"/>
      <c r="P6" s="16"/>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row>
    <row r="7" spans="1:50" ht="15" customHeight="1">
      <c r="A7" s="14"/>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row>
    <row r="8" spans="1:50" ht="15" customHeight="1">
      <c r="A8" s="19" t="s">
        <v>311</v>
      </c>
      <c r="B8" s="19"/>
      <c r="C8" s="19"/>
      <c r="D8" s="19"/>
      <c r="E8" s="19"/>
      <c r="F8" s="19"/>
      <c r="G8" s="19"/>
      <c r="H8" s="19"/>
      <c r="I8" s="19"/>
      <c r="J8" s="19"/>
      <c r="K8" s="19"/>
      <c r="L8" s="19"/>
      <c r="M8" s="19"/>
      <c r="N8" s="19"/>
      <c r="O8" s="19"/>
      <c r="P8" s="19"/>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row>
    <row r="9" spans="1:50" ht="15" customHeight="1">
      <c r="A9" s="20" t="s">
        <v>216</v>
      </c>
      <c r="B9" s="20"/>
      <c r="C9" s="20"/>
      <c r="D9" s="20"/>
      <c r="E9" s="20"/>
      <c r="F9" s="20"/>
      <c r="G9" s="20"/>
      <c r="H9" s="20"/>
      <c r="I9" s="20"/>
      <c r="J9" s="20"/>
      <c r="K9" s="20"/>
      <c r="L9" s="20"/>
      <c r="M9" s="20"/>
      <c r="N9" s="20"/>
      <c r="O9" s="20"/>
      <c r="P9" s="20"/>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row>
    <row r="10" spans="1:50" ht="15" customHeight="1">
      <c r="A10" s="14"/>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row>
    <row r="11" spans="1:50" ht="27.2" customHeight="1">
      <c r="A11" s="21" t="s">
        <v>2</v>
      </c>
      <c r="B11" s="21"/>
      <c r="C11" s="21"/>
      <c r="D11" s="21"/>
      <c r="E11" s="21"/>
      <c r="F11" s="47" t="s">
        <v>361</v>
      </c>
      <c r="G11" s="47"/>
      <c r="H11" s="47"/>
      <c r="I11" s="47"/>
      <c r="J11" s="47"/>
      <c r="K11" s="47"/>
      <c r="L11" s="47"/>
      <c r="M11" s="47"/>
      <c r="N11" s="47"/>
      <c r="O11" s="47"/>
      <c r="P11" s="47"/>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row>
    <row r="12" spans="1:50" ht="15" customHeight="1"/>
    <row r="13" spans="1:50" ht="54.4" customHeight="1">
      <c r="A13" s="21" t="s">
        <v>217</v>
      </c>
      <c r="B13" s="21"/>
      <c r="C13" s="21"/>
      <c r="D13" s="21"/>
      <c r="E13" s="21"/>
      <c r="F13" s="47" t="s">
        <v>17</v>
      </c>
      <c r="G13" s="47"/>
      <c r="H13" s="47"/>
      <c r="I13" s="47"/>
      <c r="J13" s="47"/>
      <c r="K13" s="47"/>
      <c r="L13" s="47"/>
      <c r="M13" s="47"/>
      <c r="N13" s="47"/>
      <c r="O13" s="47"/>
      <c r="P13" s="47"/>
    </row>
    <row r="14" spans="1:50" ht="15" customHeight="1"/>
    <row r="15" spans="1:50" ht="15" customHeight="1"/>
    <row r="16" spans="1:50" ht="40.9" customHeight="1">
      <c r="A16" s="2" t="s">
        <v>31</v>
      </c>
      <c r="B16" s="25" t="s">
        <v>218</v>
      </c>
      <c r="C16" s="25"/>
      <c r="D16" s="25"/>
      <c r="E16" s="25"/>
      <c r="F16" s="25"/>
      <c r="G16" s="25" t="s">
        <v>219</v>
      </c>
      <c r="H16" s="25"/>
      <c r="I16" s="25"/>
      <c r="J16" s="25"/>
      <c r="K16" s="25" t="s">
        <v>34</v>
      </c>
      <c r="L16" s="25"/>
      <c r="M16" s="25"/>
      <c r="N16" s="25"/>
      <c r="O16" s="25" t="s">
        <v>220</v>
      </c>
      <c r="P16" s="25"/>
    </row>
    <row r="17" spans="1:16" ht="15" customHeight="1">
      <c r="A17" s="2">
        <v>1</v>
      </c>
      <c r="B17" s="25">
        <v>2</v>
      </c>
      <c r="C17" s="25"/>
      <c r="D17" s="25"/>
      <c r="E17" s="25"/>
      <c r="F17" s="25"/>
      <c r="G17" s="25">
        <v>3</v>
      </c>
      <c r="H17" s="25"/>
      <c r="I17" s="25"/>
      <c r="J17" s="25"/>
      <c r="K17" s="25">
        <v>4</v>
      </c>
      <c r="L17" s="25"/>
      <c r="M17" s="25"/>
      <c r="N17" s="25"/>
      <c r="O17" s="25">
        <v>5</v>
      </c>
      <c r="P17" s="25"/>
    </row>
    <row r="18" spans="1:16" ht="176.85" customHeight="1">
      <c r="A18" s="5"/>
      <c r="B18" s="36" t="s">
        <v>312</v>
      </c>
      <c r="C18" s="37"/>
      <c r="D18" s="37"/>
      <c r="E18" s="37"/>
      <c r="F18" s="37"/>
      <c r="G18" s="37" t="s">
        <v>313</v>
      </c>
      <c r="H18" s="37"/>
      <c r="I18" s="37"/>
      <c r="J18" s="37"/>
      <c r="K18" s="37" t="s">
        <v>314</v>
      </c>
      <c r="L18" s="37"/>
      <c r="M18" s="37"/>
      <c r="N18" s="37"/>
      <c r="O18" s="42" t="s">
        <v>315</v>
      </c>
      <c r="P18" s="37"/>
    </row>
    <row r="19" spans="1:16" ht="15" customHeight="1">
      <c r="A19" s="7"/>
      <c r="B19" s="43" t="s">
        <v>96</v>
      </c>
      <c r="C19" s="43"/>
      <c r="D19" s="43"/>
      <c r="E19" s="43"/>
      <c r="F19" s="43"/>
      <c r="G19" s="43" t="s">
        <v>49</v>
      </c>
      <c r="H19" s="43"/>
      <c r="I19" s="43"/>
      <c r="J19" s="43"/>
      <c r="K19" s="43" t="s">
        <v>49</v>
      </c>
      <c r="L19" s="43"/>
      <c r="M19" s="43"/>
      <c r="N19" s="43"/>
      <c r="O19" s="43"/>
      <c r="P19" s="43"/>
    </row>
    <row r="20" spans="1:16" ht="15" customHeight="1">
      <c r="A20" s="8"/>
      <c r="B20" s="44" t="s">
        <v>225</v>
      </c>
      <c r="C20" s="44"/>
      <c r="D20" s="44"/>
      <c r="E20" s="44"/>
      <c r="F20" s="44"/>
      <c r="G20" s="44" t="s">
        <v>226</v>
      </c>
      <c r="H20" s="44"/>
      <c r="I20" s="44"/>
      <c r="J20" s="44"/>
      <c r="K20" s="44" t="s">
        <v>49</v>
      </c>
      <c r="L20" s="44"/>
      <c r="M20" s="44"/>
      <c r="N20" s="44"/>
      <c r="O20" s="44"/>
      <c r="P20" s="44"/>
    </row>
    <row r="21" spans="1:16" ht="15" customHeight="1">
      <c r="A21" s="8"/>
      <c r="B21" s="44" t="s">
        <v>97</v>
      </c>
      <c r="C21" s="44"/>
      <c r="D21" s="44"/>
      <c r="E21" s="44"/>
      <c r="F21" s="44"/>
      <c r="G21" s="44" t="s">
        <v>98</v>
      </c>
      <c r="H21" s="44"/>
      <c r="I21" s="44"/>
      <c r="J21" s="44"/>
      <c r="K21" s="44" t="s">
        <v>49</v>
      </c>
      <c r="L21" s="44"/>
      <c r="M21" s="44"/>
      <c r="N21" s="44"/>
      <c r="O21" s="44"/>
      <c r="P21" s="44"/>
    </row>
    <row r="22" spans="1:16" ht="68.099999999999994" customHeight="1">
      <c r="A22" s="8"/>
      <c r="B22" s="44" t="s">
        <v>227</v>
      </c>
      <c r="C22" s="44"/>
      <c r="D22" s="44"/>
      <c r="E22" s="44"/>
      <c r="F22" s="44"/>
      <c r="G22" s="44" t="s">
        <v>228</v>
      </c>
      <c r="H22" s="44"/>
      <c r="I22" s="44"/>
      <c r="J22" s="44"/>
      <c r="K22" s="44" t="s">
        <v>49</v>
      </c>
      <c r="L22" s="44"/>
      <c r="M22" s="44"/>
      <c r="N22" s="44"/>
      <c r="O22" s="44"/>
      <c r="P22" s="44"/>
    </row>
    <row r="23" spans="1:16" ht="217.7" customHeight="1">
      <c r="A23" s="6" t="s">
        <v>8</v>
      </c>
      <c r="B23" s="36" t="s">
        <v>316</v>
      </c>
      <c r="C23" s="37"/>
      <c r="D23" s="37"/>
      <c r="E23" s="37"/>
      <c r="F23" s="37"/>
      <c r="G23" s="37" t="s">
        <v>317</v>
      </c>
      <c r="H23" s="37"/>
      <c r="I23" s="37"/>
      <c r="J23" s="37"/>
      <c r="K23" s="37" t="s">
        <v>318</v>
      </c>
      <c r="L23" s="37"/>
      <c r="M23" s="37"/>
      <c r="N23" s="37"/>
      <c r="O23" s="42">
        <f>ROUND(((0.953625 * 5.82 / 100 * 7.1 * 1 * 1) * 1000) * 1000, 0)</f>
        <v>394057</v>
      </c>
      <c r="P23" s="37"/>
    </row>
    <row r="24" spans="1:16" ht="15" customHeight="1">
      <c r="A24" s="7"/>
      <c r="B24" s="43" t="s">
        <v>96</v>
      </c>
      <c r="C24" s="43"/>
      <c r="D24" s="43"/>
      <c r="E24" s="43"/>
      <c r="F24" s="43"/>
      <c r="G24" s="43" t="s">
        <v>49</v>
      </c>
      <c r="H24" s="43"/>
      <c r="I24" s="43"/>
      <c r="J24" s="43"/>
      <c r="K24" s="43" t="s">
        <v>49</v>
      </c>
      <c r="L24" s="43"/>
      <c r="M24" s="43"/>
      <c r="N24" s="43"/>
      <c r="O24" s="43"/>
      <c r="P24" s="43"/>
    </row>
    <row r="25" spans="1:16" ht="15" customHeight="1">
      <c r="A25" s="8"/>
      <c r="B25" s="44" t="s">
        <v>244</v>
      </c>
      <c r="C25" s="44"/>
      <c r="D25" s="44"/>
      <c r="E25" s="44"/>
      <c r="F25" s="44"/>
      <c r="G25" s="44" t="s">
        <v>226</v>
      </c>
      <c r="H25" s="44"/>
      <c r="I25" s="44"/>
      <c r="J25" s="44"/>
      <c r="K25" s="44" t="s">
        <v>49</v>
      </c>
      <c r="L25" s="44"/>
      <c r="M25" s="44"/>
      <c r="N25" s="44"/>
      <c r="O25" s="44"/>
      <c r="P25" s="44"/>
    </row>
    <row r="26" spans="1:16" ht="40.9" customHeight="1">
      <c r="A26" s="8"/>
      <c r="B26" s="44" t="s">
        <v>245</v>
      </c>
      <c r="C26" s="44"/>
      <c r="D26" s="44"/>
      <c r="E26" s="44"/>
      <c r="F26" s="44"/>
      <c r="G26" s="44" t="s">
        <v>246</v>
      </c>
      <c r="H26" s="44"/>
      <c r="I26" s="44"/>
      <c r="J26" s="44"/>
      <c r="K26" s="44" t="s">
        <v>49</v>
      </c>
      <c r="L26" s="44"/>
      <c r="M26" s="44"/>
      <c r="N26" s="44"/>
      <c r="O26" s="44"/>
      <c r="P26" s="44"/>
    </row>
    <row r="27" spans="1:16" ht="15" customHeight="1">
      <c r="A27" s="7"/>
      <c r="B27" s="43" t="s">
        <v>249</v>
      </c>
      <c r="C27" s="43"/>
      <c r="D27" s="43"/>
      <c r="E27" s="43"/>
      <c r="F27" s="43"/>
      <c r="G27" s="43" t="s">
        <v>49</v>
      </c>
      <c r="H27" s="43"/>
      <c r="I27" s="43"/>
      <c r="J27" s="43"/>
      <c r="K27" s="43" t="s">
        <v>49</v>
      </c>
      <c r="L27" s="43"/>
      <c r="M27" s="43"/>
      <c r="N27" s="43"/>
      <c r="O27" s="43"/>
      <c r="P27" s="43"/>
    </row>
    <row r="28" spans="1:16" ht="15" customHeight="1">
      <c r="A28" s="8"/>
      <c r="B28" s="44" t="s">
        <v>250</v>
      </c>
      <c r="C28" s="44"/>
      <c r="D28" s="44"/>
      <c r="E28" s="44"/>
      <c r="F28" s="44"/>
      <c r="G28" s="44" t="s">
        <v>251</v>
      </c>
      <c r="H28" s="44"/>
      <c r="I28" s="44"/>
      <c r="J28" s="44"/>
      <c r="K28" s="44" t="s">
        <v>49</v>
      </c>
      <c r="L28" s="44"/>
      <c r="M28" s="44"/>
      <c r="N28" s="44"/>
      <c r="O28" s="44"/>
      <c r="P28" s="44"/>
    </row>
    <row r="29" spans="1:16" ht="15" customHeight="1">
      <c r="A29" s="4" t="s">
        <v>10</v>
      </c>
      <c r="B29" s="28" t="s">
        <v>84</v>
      </c>
      <c r="C29" s="28"/>
      <c r="D29" s="28"/>
      <c r="E29" s="28"/>
      <c r="F29" s="28"/>
      <c r="G29" s="28"/>
      <c r="H29" s="28"/>
      <c r="I29" s="28"/>
      <c r="J29" s="28"/>
      <c r="K29" s="28" t="s">
        <v>49</v>
      </c>
      <c r="L29" s="28"/>
      <c r="M29" s="28"/>
      <c r="N29" s="28"/>
      <c r="O29" s="45">
        <f>ROUND($O$23,0)</f>
        <v>394057</v>
      </c>
      <c r="P29" s="28"/>
    </row>
    <row r="30" spans="1:16" ht="15" customHeight="1">
      <c r="A30" s="4" t="s">
        <v>12</v>
      </c>
      <c r="B30" s="28" t="s">
        <v>88</v>
      </c>
      <c r="C30" s="28"/>
      <c r="D30" s="28"/>
      <c r="E30" s="28"/>
      <c r="F30" s="28"/>
      <c r="G30" s="28"/>
      <c r="H30" s="28"/>
      <c r="I30" s="28"/>
      <c r="J30" s="28"/>
      <c r="K30" s="28" t="s">
        <v>49</v>
      </c>
      <c r="L30" s="28"/>
      <c r="M30" s="28"/>
      <c r="N30" s="28"/>
      <c r="O30" s="45">
        <f>ROUND(($O$29),0)</f>
        <v>394057</v>
      </c>
      <c r="P30" s="28"/>
    </row>
    <row r="31" spans="1:16" ht="15" customHeight="1"/>
    <row r="32" spans="1:16" ht="15" customHeight="1"/>
    <row r="33" spans="1:16" ht="15" customHeight="1"/>
    <row r="34" spans="1:16" ht="15" customHeight="1">
      <c r="A34" s="21" t="s">
        <v>89</v>
      </c>
      <c r="B34" s="21"/>
      <c r="C34" s="21"/>
      <c r="D34" s="55" t="s">
        <v>373</v>
      </c>
      <c r="E34" s="55"/>
      <c r="F34" s="55"/>
      <c r="G34" s="55"/>
      <c r="H34" s="55"/>
      <c r="I34" s="55"/>
      <c r="J34" s="55"/>
      <c r="K34" s="55"/>
      <c r="L34" s="55"/>
      <c r="M34" s="55"/>
      <c r="N34" s="55"/>
      <c r="O34" s="55"/>
      <c r="P34" s="55"/>
    </row>
    <row r="35" spans="1:16" ht="15" customHeight="1">
      <c r="A35" s="14"/>
      <c r="B35" s="14"/>
      <c r="C35" s="14"/>
      <c r="D35" s="60" t="s">
        <v>90</v>
      </c>
      <c r="E35" s="60"/>
      <c r="F35" s="60"/>
      <c r="G35" s="60"/>
      <c r="H35" s="60"/>
      <c r="I35" s="60"/>
      <c r="J35" s="60"/>
      <c r="K35" s="60"/>
      <c r="L35" s="60"/>
      <c r="M35" s="60"/>
      <c r="N35" s="60"/>
      <c r="O35" s="60"/>
      <c r="P35" s="60"/>
    </row>
    <row r="36" spans="1:16" ht="15" customHeight="1"/>
    <row r="37" spans="1:16" ht="15" customHeight="1"/>
    <row r="38" spans="1:16" ht="15" customHeight="1"/>
    <row r="39" spans="1:16" ht="15" customHeight="1"/>
    <row r="40" spans="1:16" ht="15" customHeight="1"/>
    <row r="41" spans="1:16" ht="15" customHeight="1"/>
    <row r="42" spans="1:16" ht="15" customHeight="1"/>
    <row r="43" spans="1:16" ht="15" customHeight="1"/>
    <row r="44" spans="1:16" ht="15" customHeight="1"/>
  </sheetData>
  <mergeCells count="75">
    <mergeCell ref="B29:F29"/>
    <mergeCell ref="G29:J29"/>
    <mergeCell ref="K29:N29"/>
    <mergeCell ref="O29:P29"/>
    <mergeCell ref="B30:F30"/>
    <mergeCell ref="G30:J30"/>
    <mergeCell ref="K30:N30"/>
    <mergeCell ref="O30:P30"/>
    <mergeCell ref="A34:C34"/>
    <mergeCell ref="D34:P34"/>
    <mergeCell ref="D35:P35"/>
    <mergeCell ref="B27:F27"/>
    <mergeCell ref="G27:J27"/>
    <mergeCell ref="K27:N27"/>
    <mergeCell ref="O27:P27"/>
    <mergeCell ref="B28:F28"/>
    <mergeCell ref="G28:J28"/>
    <mergeCell ref="K28:N28"/>
    <mergeCell ref="O28:P28"/>
    <mergeCell ref="B25:F25"/>
    <mergeCell ref="G25:J25"/>
    <mergeCell ref="K25:N25"/>
    <mergeCell ref="O25:P25"/>
    <mergeCell ref="B26:F26"/>
    <mergeCell ref="G26:J26"/>
    <mergeCell ref="K26:N26"/>
    <mergeCell ref="O26:P26"/>
    <mergeCell ref="B23:F23"/>
    <mergeCell ref="G23:J23"/>
    <mergeCell ref="K23:N23"/>
    <mergeCell ref="O23:P23"/>
    <mergeCell ref="B24:F24"/>
    <mergeCell ref="G24:J24"/>
    <mergeCell ref="K24:N24"/>
    <mergeCell ref="O24:P24"/>
    <mergeCell ref="B21:F21"/>
    <mergeCell ref="G21:J21"/>
    <mergeCell ref="K21:N21"/>
    <mergeCell ref="O21:P21"/>
    <mergeCell ref="B22:F22"/>
    <mergeCell ref="G22:J22"/>
    <mergeCell ref="K22:N22"/>
    <mergeCell ref="O22:P22"/>
    <mergeCell ref="B19:F19"/>
    <mergeCell ref="G19:J19"/>
    <mergeCell ref="K19:N19"/>
    <mergeCell ref="O19:P19"/>
    <mergeCell ref="B20:F20"/>
    <mergeCell ref="G20:J20"/>
    <mergeCell ref="K20:N20"/>
    <mergeCell ref="O20:P20"/>
    <mergeCell ref="O16:P16"/>
    <mergeCell ref="O17:P17"/>
    <mergeCell ref="B18:F18"/>
    <mergeCell ref="G18:J18"/>
    <mergeCell ref="K18:N18"/>
    <mergeCell ref="O18:P18"/>
    <mergeCell ref="B16:F16"/>
    <mergeCell ref="B17:F17"/>
    <mergeCell ref="G16:J16"/>
    <mergeCell ref="G17:J17"/>
    <mergeCell ref="K16:N16"/>
    <mergeCell ref="K17:N17"/>
    <mergeCell ref="A13:E13"/>
    <mergeCell ref="F13:P13"/>
    <mergeCell ref="A1:D1"/>
    <mergeCell ref="E1:P1"/>
    <mergeCell ref="A8:P8"/>
    <mergeCell ref="A9:P9"/>
    <mergeCell ref="A11:E11"/>
    <mergeCell ref="F11:P11"/>
    <mergeCell ref="L2:P2"/>
    <mergeCell ref="L3:P3"/>
    <mergeCell ref="O4:P4"/>
    <mergeCell ref="L5:P5"/>
  </mergeCells>
  <pageMargins left="0.4" right="0.4" top="0.75" bottom="0.75" header="0.3" footer="0.3"/>
  <pageSetup paperSize="9" scale="75" orientation="portrait" r:id="rId1"/>
</worksheet>
</file>

<file path=xl/worksheets/sheet7.xml><?xml version="1.0" encoding="utf-8"?>
<worksheet xmlns="http://schemas.openxmlformats.org/spreadsheetml/2006/main" xmlns:r="http://schemas.openxmlformats.org/officeDocument/2006/relationships">
  <dimension ref="A1:AX53"/>
  <sheetViews>
    <sheetView tabSelected="1" showRuler="0" zoomScaleNormal="100" workbookViewId="0">
      <selection activeCell="J4" sqref="J4"/>
    </sheetView>
  </sheetViews>
  <sheetFormatPr defaultRowHeight="15"/>
  <cols>
    <col min="1" max="1" width="6.42578125" style="1" customWidth="1"/>
    <col min="2" max="50" width="8" style="1" customWidth="1"/>
  </cols>
  <sheetData>
    <row r="1" spans="1:50" ht="15" customHeight="1">
      <c r="A1" s="17" t="s">
        <v>368</v>
      </c>
      <c r="B1" s="17"/>
      <c r="C1" s="17"/>
      <c r="D1" s="17"/>
      <c r="E1" s="18" t="s">
        <v>368</v>
      </c>
      <c r="F1" s="18"/>
      <c r="G1" s="18"/>
      <c r="H1" s="18"/>
      <c r="I1" s="18"/>
      <c r="J1" s="18"/>
      <c r="K1" s="18"/>
      <c r="L1" s="18"/>
      <c r="M1" s="18"/>
      <c r="N1" s="18"/>
      <c r="O1" s="18"/>
      <c r="P1" s="18"/>
    </row>
    <row r="2" spans="1:50" ht="15.75" customHeight="1">
      <c r="A2" s="59"/>
      <c r="B2" s="15"/>
      <c r="C2" s="15"/>
      <c r="D2" s="15"/>
      <c r="E2" s="16"/>
      <c r="F2" s="16"/>
      <c r="G2" s="16"/>
      <c r="H2" s="16"/>
      <c r="I2" s="16"/>
      <c r="J2" s="16"/>
      <c r="K2" s="16"/>
      <c r="L2" s="33" t="s">
        <v>362</v>
      </c>
      <c r="M2" s="33"/>
      <c r="N2" s="33"/>
      <c r="O2" s="33"/>
      <c r="P2" s="33"/>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row>
    <row r="3" spans="1:50" ht="30.75" customHeight="1">
      <c r="A3" s="59"/>
      <c r="B3" s="15"/>
      <c r="C3" s="15"/>
      <c r="D3" s="15"/>
      <c r="E3" s="16"/>
      <c r="F3" s="16"/>
      <c r="G3" s="16"/>
      <c r="H3" s="16"/>
      <c r="I3" s="16"/>
      <c r="J3" s="16"/>
      <c r="K3" s="16"/>
      <c r="L3" s="21" t="s">
        <v>363</v>
      </c>
      <c r="M3" s="21"/>
      <c r="N3" s="21"/>
      <c r="O3" s="21"/>
      <c r="P3" s="21"/>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row>
    <row r="4" spans="1:50" ht="35.25" customHeight="1">
      <c r="A4" s="59"/>
      <c r="B4" s="15"/>
      <c r="C4" s="15"/>
      <c r="D4" s="15"/>
      <c r="E4" s="16"/>
      <c r="F4" s="16"/>
      <c r="G4" s="16"/>
      <c r="H4" s="16"/>
      <c r="I4" s="16"/>
      <c r="J4" s="16"/>
      <c r="K4" s="16"/>
      <c r="L4" s="48"/>
      <c r="M4" s="48"/>
      <c r="N4" s="48"/>
      <c r="O4" s="49" t="s">
        <v>364</v>
      </c>
      <c r="P4" s="50"/>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row>
    <row r="5" spans="1:50" ht="21" customHeight="1">
      <c r="A5" s="59"/>
      <c r="B5" s="15"/>
      <c r="C5" s="15"/>
      <c r="D5" s="15"/>
      <c r="E5" s="16"/>
      <c r="F5" s="16"/>
      <c r="G5" s="16"/>
      <c r="H5" s="16"/>
      <c r="I5" s="16"/>
      <c r="J5" s="16"/>
      <c r="K5" s="16"/>
      <c r="L5" s="53" t="s">
        <v>365</v>
      </c>
      <c r="M5" s="53"/>
      <c r="N5" s="53"/>
      <c r="O5" s="53"/>
      <c r="P5" s="53"/>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row>
    <row r="6" spans="1:50" ht="16.5" customHeight="1">
      <c r="A6" s="59"/>
      <c r="B6" s="15"/>
      <c r="C6" s="15"/>
      <c r="D6" s="15"/>
      <c r="E6" s="16"/>
      <c r="F6" s="16"/>
      <c r="G6" s="16"/>
      <c r="H6" s="16"/>
      <c r="I6" s="16"/>
      <c r="J6" s="16"/>
      <c r="K6" s="16"/>
      <c r="L6" s="51" t="s">
        <v>366</v>
      </c>
      <c r="M6" s="16"/>
      <c r="N6" s="16"/>
      <c r="O6" s="16"/>
      <c r="P6" s="16"/>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row>
    <row r="7" spans="1:50" ht="15" customHeight="1"/>
    <row r="8" spans="1:50" ht="15" customHeight="1">
      <c r="A8" s="19" t="s">
        <v>319</v>
      </c>
      <c r="B8" s="19"/>
      <c r="C8" s="19"/>
      <c r="D8" s="19"/>
      <c r="E8" s="19"/>
      <c r="F8" s="19"/>
      <c r="G8" s="19"/>
      <c r="H8" s="19"/>
      <c r="I8" s="19"/>
      <c r="J8" s="19"/>
      <c r="K8" s="19"/>
      <c r="L8" s="19"/>
      <c r="M8" s="19"/>
      <c r="N8" s="19"/>
      <c r="O8" s="19"/>
      <c r="P8" s="19"/>
    </row>
    <row r="9" spans="1:50" ht="15" customHeight="1">
      <c r="A9" s="20" t="s">
        <v>216</v>
      </c>
      <c r="B9" s="20"/>
      <c r="C9" s="20"/>
      <c r="D9" s="20"/>
      <c r="E9" s="20"/>
      <c r="F9" s="20"/>
      <c r="G9" s="20"/>
      <c r="H9" s="20"/>
      <c r="I9" s="20"/>
      <c r="J9" s="20"/>
      <c r="K9" s="20"/>
      <c r="L9" s="20"/>
      <c r="M9" s="20"/>
      <c r="N9" s="20"/>
      <c r="O9" s="20"/>
      <c r="P9" s="20"/>
    </row>
    <row r="10" spans="1:50" ht="15" customHeight="1"/>
    <row r="11" spans="1:50" ht="27.2" customHeight="1">
      <c r="A11" s="21" t="s">
        <v>2</v>
      </c>
      <c r="B11" s="21"/>
      <c r="C11" s="21"/>
      <c r="D11" s="21"/>
      <c r="E11" s="21"/>
      <c r="F11" s="47" t="s">
        <v>361</v>
      </c>
      <c r="G11" s="47"/>
      <c r="H11" s="47"/>
      <c r="I11" s="47"/>
      <c r="J11" s="47"/>
      <c r="K11" s="47"/>
      <c r="L11" s="47"/>
      <c r="M11" s="47"/>
      <c r="N11" s="47"/>
      <c r="O11" s="47"/>
      <c r="P11" s="47"/>
    </row>
    <row r="12" spans="1:50" ht="15" customHeight="1"/>
    <row r="13" spans="1:50" ht="54.4" customHeight="1">
      <c r="A13" s="21" t="s">
        <v>217</v>
      </c>
      <c r="B13" s="21"/>
      <c r="C13" s="21"/>
      <c r="D13" s="21"/>
      <c r="E13" s="21"/>
      <c r="F13" s="47" t="s">
        <v>19</v>
      </c>
      <c r="G13" s="47"/>
      <c r="H13" s="47"/>
      <c r="I13" s="47"/>
      <c r="J13" s="47"/>
      <c r="K13" s="47"/>
      <c r="L13" s="47"/>
      <c r="M13" s="47"/>
      <c r="N13" s="47"/>
      <c r="O13" s="47"/>
      <c r="P13" s="47"/>
    </row>
    <row r="14" spans="1:50" ht="15" customHeight="1"/>
    <row r="15" spans="1:50" ht="40.9" customHeight="1">
      <c r="A15" s="2" t="s">
        <v>31</v>
      </c>
      <c r="B15" s="25" t="s">
        <v>218</v>
      </c>
      <c r="C15" s="25"/>
      <c r="D15" s="25"/>
      <c r="E15" s="25"/>
      <c r="F15" s="25"/>
      <c r="G15" s="25" t="s">
        <v>219</v>
      </c>
      <c r="H15" s="25"/>
      <c r="I15" s="25"/>
      <c r="J15" s="25"/>
      <c r="K15" s="25" t="s">
        <v>34</v>
      </c>
      <c r="L15" s="25"/>
      <c r="M15" s="25"/>
      <c r="N15" s="25"/>
      <c r="O15" s="25" t="s">
        <v>220</v>
      </c>
      <c r="P15" s="25"/>
    </row>
    <row r="16" spans="1:50" ht="15" customHeight="1">
      <c r="A16" s="2">
        <v>1</v>
      </c>
      <c r="B16" s="25">
        <v>2</v>
      </c>
      <c r="C16" s="25"/>
      <c r="D16" s="25"/>
      <c r="E16" s="25"/>
      <c r="F16" s="25"/>
      <c r="G16" s="25">
        <v>3</v>
      </c>
      <c r="H16" s="25"/>
      <c r="I16" s="25"/>
      <c r="J16" s="25"/>
      <c r="K16" s="25">
        <v>4</v>
      </c>
      <c r="L16" s="25"/>
      <c r="M16" s="25"/>
      <c r="N16" s="25"/>
      <c r="O16" s="25">
        <v>5</v>
      </c>
      <c r="P16" s="25"/>
    </row>
    <row r="17" spans="1:16" ht="135.94999999999999" customHeight="1">
      <c r="A17" s="6" t="s">
        <v>8</v>
      </c>
      <c r="B17" s="36" t="s">
        <v>320</v>
      </c>
      <c r="C17" s="37"/>
      <c r="D17" s="37"/>
      <c r="E17" s="37"/>
      <c r="F17" s="37"/>
      <c r="G17" s="37" t="s">
        <v>321</v>
      </c>
      <c r="H17" s="37"/>
      <c r="I17" s="37"/>
      <c r="J17" s="37"/>
      <c r="K17" s="37" t="s">
        <v>322</v>
      </c>
      <c r="L17" s="37"/>
      <c r="M17" s="37"/>
      <c r="N17" s="37"/>
      <c r="O17" s="42">
        <f>ROUND((17700 + 234 * 250) * 1 * 1.68 * 1, 0)</f>
        <v>128016</v>
      </c>
      <c r="P17" s="37"/>
    </row>
    <row r="18" spans="1:16" ht="15" customHeight="1">
      <c r="A18" s="7"/>
      <c r="B18" s="43" t="s">
        <v>96</v>
      </c>
      <c r="C18" s="43"/>
      <c r="D18" s="43"/>
      <c r="E18" s="43"/>
      <c r="F18" s="43"/>
      <c r="G18" s="43" t="s">
        <v>49</v>
      </c>
      <c r="H18" s="43"/>
      <c r="I18" s="43"/>
      <c r="J18" s="43"/>
      <c r="K18" s="43" t="s">
        <v>49</v>
      </c>
      <c r="L18" s="43"/>
      <c r="M18" s="43"/>
      <c r="N18" s="43"/>
      <c r="O18" s="43"/>
      <c r="P18" s="43"/>
    </row>
    <row r="19" spans="1:16" ht="15" customHeight="1">
      <c r="A19" s="8"/>
      <c r="B19" s="44" t="s">
        <v>244</v>
      </c>
      <c r="C19" s="44"/>
      <c r="D19" s="44"/>
      <c r="E19" s="44"/>
      <c r="F19" s="44"/>
      <c r="G19" s="44" t="s">
        <v>226</v>
      </c>
      <c r="H19" s="44"/>
      <c r="I19" s="44"/>
      <c r="J19" s="44"/>
      <c r="K19" s="44" t="s">
        <v>49</v>
      </c>
      <c r="L19" s="44"/>
      <c r="M19" s="44"/>
      <c r="N19" s="44"/>
      <c r="O19" s="44"/>
      <c r="P19" s="44"/>
    </row>
    <row r="20" spans="1:16" ht="40.9" customHeight="1">
      <c r="A20" s="8"/>
      <c r="B20" s="44" t="s">
        <v>323</v>
      </c>
      <c r="C20" s="44"/>
      <c r="D20" s="44"/>
      <c r="E20" s="44"/>
      <c r="F20" s="44"/>
      <c r="G20" s="44" t="s">
        <v>324</v>
      </c>
      <c r="H20" s="44"/>
      <c r="I20" s="44"/>
      <c r="J20" s="44"/>
      <c r="K20" s="44" t="s">
        <v>49</v>
      </c>
      <c r="L20" s="44"/>
      <c r="M20" s="44"/>
      <c r="N20" s="44"/>
      <c r="O20" s="44"/>
      <c r="P20" s="44"/>
    </row>
    <row r="21" spans="1:16" ht="15" customHeight="1">
      <c r="A21" s="7"/>
      <c r="B21" s="43" t="s">
        <v>249</v>
      </c>
      <c r="C21" s="43"/>
      <c r="D21" s="43"/>
      <c r="E21" s="43"/>
      <c r="F21" s="43"/>
      <c r="G21" s="43" t="s">
        <v>49</v>
      </c>
      <c r="H21" s="43"/>
      <c r="I21" s="43"/>
      <c r="J21" s="43"/>
      <c r="K21" s="43" t="s">
        <v>49</v>
      </c>
      <c r="L21" s="43"/>
      <c r="M21" s="43"/>
      <c r="N21" s="43"/>
      <c r="O21" s="43"/>
      <c r="P21" s="43"/>
    </row>
    <row r="22" spans="1:16" ht="15" customHeight="1">
      <c r="A22" s="8"/>
      <c r="B22" s="44" t="s">
        <v>325</v>
      </c>
      <c r="C22" s="44"/>
      <c r="D22" s="44"/>
      <c r="E22" s="44"/>
      <c r="F22" s="44"/>
      <c r="G22" s="44" t="s">
        <v>326</v>
      </c>
      <c r="H22" s="44"/>
      <c r="I22" s="44"/>
      <c r="J22" s="44"/>
      <c r="K22" s="44" t="s">
        <v>49</v>
      </c>
      <c r="L22" s="44"/>
      <c r="M22" s="44"/>
      <c r="N22" s="44"/>
      <c r="O22" s="44"/>
      <c r="P22" s="44"/>
    </row>
    <row r="23" spans="1:16" ht="15" customHeight="1">
      <c r="A23" s="8"/>
      <c r="B23" s="44" t="s">
        <v>327</v>
      </c>
      <c r="C23" s="44"/>
      <c r="D23" s="44"/>
      <c r="E23" s="44"/>
      <c r="F23" s="44"/>
      <c r="G23" s="44" t="s">
        <v>328</v>
      </c>
      <c r="H23" s="44"/>
      <c r="I23" s="44"/>
      <c r="J23" s="44"/>
      <c r="K23" s="44" t="s">
        <v>49</v>
      </c>
      <c r="L23" s="44"/>
      <c r="M23" s="44"/>
      <c r="N23" s="44"/>
      <c r="O23" s="44"/>
      <c r="P23" s="44"/>
    </row>
    <row r="24" spans="1:16" ht="15" customHeight="1">
      <c r="A24" s="8"/>
      <c r="B24" s="44" t="s">
        <v>329</v>
      </c>
      <c r="C24" s="44"/>
      <c r="D24" s="44"/>
      <c r="E24" s="44"/>
      <c r="F24" s="44"/>
      <c r="G24" s="44" t="s">
        <v>330</v>
      </c>
      <c r="H24" s="44"/>
      <c r="I24" s="44"/>
      <c r="J24" s="44"/>
      <c r="K24" s="44" t="s">
        <v>49</v>
      </c>
      <c r="L24" s="44"/>
      <c r="M24" s="44"/>
      <c r="N24" s="44"/>
      <c r="O24" s="44"/>
      <c r="P24" s="44"/>
    </row>
    <row r="25" spans="1:16" ht="15" customHeight="1">
      <c r="A25" s="8"/>
      <c r="B25" s="44" t="s">
        <v>331</v>
      </c>
      <c r="C25" s="44"/>
      <c r="D25" s="44"/>
      <c r="E25" s="44"/>
      <c r="F25" s="44"/>
      <c r="G25" s="44" t="s">
        <v>332</v>
      </c>
      <c r="H25" s="44"/>
      <c r="I25" s="44"/>
      <c r="J25" s="44"/>
      <c r="K25" s="44" t="s">
        <v>49</v>
      </c>
      <c r="L25" s="44"/>
      <c r="M25" s="44"/>
      <c r="N25" s="44"/>
      <c r="O25" s="44"/>
      <c r="P25" s="44"/>
    </row>
    <row r="26" spans="1:16" ht="15" customHeight="1">
      <c r="A26" s="8"/>
      <c r="B26" s="44" t="s">
        <v>333</v>
      </c>
      <c r="C26" s="44"/>
      <c r="D26" s="44"/>
      <c r="E26" s="44"/>
      <c r="F26" s="44"/>
      <c r="G26" s="44" t="s">
        <v>334</v>
      </c>
      <c r="H26" s="44"/>
      <c r="I26" s="44"/>
      <c r="J26" s="44"/>
      <c r="K26" s="44" t="s">
        <v>49</v>
      </c>
      <c r="L26" s="44"/>
      <c r="M26" s="44"/>
      <c r="N26" s="44"/>
      <c r="O26" s="44"/>
      <c r="P26" s="44"/>
    </row>
    <row r="27" spans="1:16" ht="15" customHeight="1">
      <c r="A27" s="8"/>
      <c r="B27" s="44" t="s">
        <v>335</v>
      </c>
      <c r="C27" s="44"/>
      <c r="D27" s="44"/>
      <c r="E27" s="44"/>
      <c r="F27" s="44"/>
      <c r="G27" s="44" t="s">
        <v>336</v>
      </c>
      <c r="H27" s="44"/>
      <c r="I27" s="44"/>
      <c r="J27" s="44"/>
      <c r="K27" s="44" t="s">
        <v>49</v>
      </c>
      <c r="L27" s="44"/>
      <c r="M27" s="44"/>
      <c r="N27" s="44"/>
      <c r="O27" s="44"/>
      <c r="P27" s="44"/>
    </row>
    <row r="28" spans="1:16" ht="15" customHeight="1">
      <c r="A28" s="8"/>
      <c r="B28" s="44" t="s">
        <v>337</v>
      </c>
      <c r="C28" s="44"/>
      <c r="D28" s="44"/>
      <c r="E28" s="44"/>
      <c r="F28" s="44"/>
      <c r="G28" s="44" t="s">
        <v>338</v>
      </c>
      <c r="H28" s="44"/>
      <c r="I28" s="44"/>
      <c r="J28" s="44"/>
      <c r="K28" s="44" t="s">
        <v>49</v>
      </c>
      <c r="L28" s="44"/>
      <c r="M28" s="44"/>
      <c r="N28" s="44"/>
      <c r="O28" s="44"/>
      <c r="P28" s="44"/>
    </row>
    <row r="29" spans="1:16" ht="135.94999999999999" customHeight="1">
      <c r="A29" s="6" t="s">
        <v>10</v>
      </c>
      <c r="B29" s="36" t="s">
        <v>339</v>
      </c>
      <c r="C29" s="37"/>
      <c r="D29" s="37"/>
      <c r="E29" s="37"/>
      <c r="F29" s="37"/>
      <c r="G29" s="37" t="s">
        <v>340</v>
      </c>
      <c r="H29" s="37"/>
      <c r="I29" s="37"/>
      <c r="J29" s="37"/>
      <c r="K29" s="37" t="s">
        <v>341</v>
      </c>
      <c r="L29" s="37"/>
      <c r="M29" s="37"/>
      <c r="N29" s="37"/>
      <c r="O29" s="42">
        <f>ROUND((17700 + 234 * 250) * 3 * 1.68 * 1 * 0.3, 0)</f>
        <v>115214</v>
      </c>
      <c r="P29" s="37"/>
    </row>
    <row r="30" spans="1:16" ht="15" customHeight="1">
      <c r="A30" s="7"/>
      <c r="B30" s="43" t="s">
        <v>96</v>
      </c>
      <c r="C30" s="43"/>
      <c r="D30" s="43"/>
      <c r="E30" s="43"/>
      <c r="F30" s="43"/>
      <c r="G30" s="43" t="s">
        <v>49</v>
      </c>
      <c r="H30" s="43"/>
      <c r="I30" s="43"/>
      <c r="J30" s="43"/>
      <c r="K30" s="43" t="s">
        <v>49</v>
      </c>
      <c r="L30" s="43"/>
      <c r="M30" s="43"/>
      <c r="N30" s="43"/>
      <c r="O30" s="43"/>
      <c r="P30" s="43"/>
    </row>
    <row r="31" spans="1:16" ht="15" customHeight="1">
      <c r="A31" s="8"/>
      <c r="B31" s="44" t="s">
        <v>244</v>
      </c>
      <c r="C31" s="44"/>
      <c r="D31" s="44"/>
      <c r="E31" s="44"/>
      <c r="F31" s="44"/>
      <c r="G31" s="44" t="s">
        <v>226</v>
      </c>
      <c r="H31" s="44"/>
      <c r="I31" s="44"/>
      <c r="J31" s="44"/>
      <c r="K31" s="44" t="s">
        <v>49</v>
      </c>
      <c r="L31" s="44"/>
      <c r="M31" s="44"/>
      <c r="N31" s="44"/>
      <c r="O31" s="44"/>
      <c r="P31" s="44"/>
    </row>
    <row r="32" spans="1:16" ht="40.9" customHeight="1">
      <c r="A32" s="8"/>
      <c r="B32" s="44" t="s">
        <v>323</v>
      </c>
      <c r="C32" s="44"/>
      <c r="D32" s="44"/>
      <c r="E32" s="44"/>
      <c r="F32" s="44"/>
      <c r="G32" s="44" t="s">
        <v>324</v>
      </c>
      <c r="H32" s="44"/>
      <c r="I32" s="44"/>
      <c r="J32" s="44"/>
      <c r="K32" s="44" t="s">
        <v>49</v>
      </c>
      <c r="L32" s="44"/>
      <c r="M32" s="44"/>
      <c r="N32" s="44"/>
      <c r="O32" s="44"/>
      <c r="P32" s="44"/>
    </row>
    <row r="33" spans="1:18" ht="95.25" customHeight="1">
      <c r="A33" s="8"/>
      <c r="B33" s="44" t="s">
        <v>342</v>
      </c>
      <c r="C33" s="44"/>
      <c r="D33" s="44"/>
      <c r="E33" s="44"/>
      <c r="F33" s="44"/>
      <c r="G33" s="44" t="s">
        <v>343</v>
      </c>
      <c r="H33" s="44"/>
      <c r="I33" s="44"/>
      <c r="J33" s="44"/>
      <c r="K33" s="44" t="s">
        <v>49</v>
      </c>
      <c r="L33" s="44"/>
      <c r="M33" s="44"/>
      <c r="N33" s="44"/>
      <c r="O33" s="44"/>
      <c r="P33" s="44"/>
    </row>
    <row r="34" spans="1:18" ht="15" customHeight="1">
      <c r="A34" s="7"/>
      <c r="B34" s="43" t="s">
        <v>249</v>
      </c>
      <c r="C34" s="43"/>
      <c r="D34" s="43"/>
      <c r="E34" s="43"/>
      <c r="F34" s="43"/>
      <c r="G34" s="43" t="s">
        <v>49</v>
      </c>
      <c r="H34" s="43"/>
      <c r="I34" s="43"/>
      <c r="J34" s="43"/>
      <c r="K34" s="43" t="s">
        <v>49</v>
      </c>
      <c r="L34" s="43"/>
      <c r="M34" s="43"/>
      <c r="N34" s="43"/>
      <c r="O34" s="43"/>
      <c r="P34" s="43"/>
    </row>
    <row r="35" spans="1:18" ht="15" customHeight="1">
      <c r="A35" s="8"/>
      <c r="B35" s="44" t="s">
        <v>325</v>
      </c>
      <c r="C35" s="44"/>
      <c r="D35" s="44"/>
      <c r="E35" s="44"/>
      <c r="F35" s="44"/>
      <c r="G35" s="44" t="s">
        <v>326</v>
      </c>
      <c r="H35" s="44"/>
      <c r="I35" s="44"/>
      <c r="J35" s="44"/>
      <c r="K35" s="44" t="s">
        <v>49</v>
      </c>
      <c r="L35" s="44"/>
      <c r="M35" s="44"/>
      <c r="N35" s="44"/>
      <c r="O35" s="44"/>
      <c r="P35" s="44"/>
    </row>
    <row r="36" spans="1:18" ht="15" customHeight="1">
      <c r="A36" s="8"/>
      <c r="B36" s="44" t="s">
        <v>327</v>
      </c>
      <c r="C36" s="44"/>
      <c r="D36" s="44"/>
      <c r="E36" s="44"/>
      <c r="F36" s="44"/>
      <c r="G36" s="44" t="s">
        <v>328</v>
      </c>
      <c r="H36" s="44"/>
      <c r="I36" s="44"/>
      <c r="J36" s="44"/>
      <c r="K36" s="44" t="s">
        <v>49</v>
      </c>
      <c r="L36" s="44"/>
      <c r="M36" s="44"/>
      <c r="N36" s="44"/>
      <c r="O36" s="44"/>
      <c r="P36" s="44"/>
    </row>
    <row r="37" spans="1:18" ht="15" customHeight="1">
      <c r="A37" s="8"/>
      <c r="B37" s="44" t="s">
        <v>329</v>
      </c>
      <c r="C37" s="44"/>
      <c r="D37" s="44"/>
      <c r="E37" s="44"/>
      <c r="F37" s="44"/>
      <c r="G37" s="44" t="s">
        <v>330</v>
      </c>
      <c r="H37" s="44"/>
      <c r="I37" s="44"/>
      <c r="J37" s="44"/>
      <c r="K37" s="44" t="s">
        <v>49</v>
      </c>
      <c r="L37" s="44"/>
      <c r="M37" s="44"/>
      <c r="N37" s="44"/>
      <c r="O37" s="44"/>
      <c r="P37" s="44"/>
    </row>
    <row r="38" spans="1:18" ht="15" customHeight="1">
      <c r="A38" s="8"/>
      <c r="B38" s="44" t="s">
        <v>331</v>
      </c>
      <c r="C38" s="44"/>
      <c r="D38" s="44"/>
      <c r="E38" s="44"/>
      <c r="F38" s="44"/>
      <c r="G38" s="44" t="s">
        <v>332</v>
      </c>
      <c r="H38" s="44"/>
      <c r="I38" s="44"/>
      <c r="J38" s="44"/>
      <c r="K38" s="44" t="s">
        <v>49</v>
      </c>
      <c r="L38" s="44"/>
      <c r="M38" s="44"/>
      <c r="N38" s="44"/>
      <c r="O38" s="44"/>
      <c r="P38" s="44"/>
    </row>
    <row r="39" spans="1:18" ht="15" customHeight="1">
      <c r="A39" s="8"/>
      <c r="B39" s="44" t="s">
        <v>333</v>
      </c>
      <c r="C39" s="44"/>
      <c r="D39" s="44"/>
      <c r="E39" s="44"/>
      <c r="F39" s="44"/>
      <c r="G39" s="44" t="s">
        <v>334</v>
      </c>
      <c r="H39" s="44"/>
      <c r="I39" s="44"/>
      <c r="J39" s="44"/>
      <c r="K39" s="44" t="s">
        <v>49</v>
      </c>
      <c r="L39" s="44"/>
      <c r="M39" s="44"/>
      <c r="N39" s="44"/>
      <c r="O39" s="44"/>
      <c r="P39" s="44"/>
    </row>
    <row r="40" spans="1:18" ht="15" customHeight="1">
      <c r="A40" s="8"/>
      <c r="B40" s="44" t="s">
        <v>335</v>
      </c>
      <c r="C40" s="44"/>
      <c r="D40" s="44"/>
      <c r="E40" s="44"/>
      <c r="F40" s="44"/>
      <c r="G40" s="44" t="s">
        <v>336</v>
      </c>
      <c r="H40" s="44"/>
      <c r="I40" s="44"/>
      <c r="J40" s="44"/>
      <c r="K40" s="44" t="s">
        <v>49</v>
      </c>
      <c r="L40" s="44"/>
      <c r="M40" s="44"/>
      <c r="N40" s="44"/>
      <c r="O40" s="44"/>
      <c r="P40" s="44"/>
    </row>
    <row r="41" spans="1:18" ht="15" customHeight="1">
      <c r="A41" s="8"/>
      <c r="B41" s="44" t="s">
        <v>337</v>
      </c>
      <c r="C41" s="44"/>
      <c r="D41" s="44"/>
      <c r="E41" s="44"/>
      <c r="F41" s="44"/>
      <c r="G41" s="44" t="s">
        <v>338</v>
      </c>
      <c r="H41" s="44"/>
      <c r="I41" s="44"/>
      <c r="J41" s="44"/>
      <c r="K41" s="44" t="s">
        <v>49</v>
      </c>
      <c r="L41" s="44"/>
      <c r="M41" s="44"/>
      <c r="N41" s="44"/>
      <c r="O41" s="44"/>
      <c r="P41" s="44"/>
    </row>
    <row r="42" spans="1:18" ht="176.85" customHeight="1">
      <c r="A42" s="6" t="s">
        <v>12</v>
      </c>
      <c r="B42" s="36" t="s">
        <v>344</v>
      </c>
      <c r="C42" s="37"/>
      <c r="D42" s="37"/>
      <c r="E42" s="37"/>
      <c r="F42" s="37"/>
      <c r="G42" s="37" t="s">
        <v>349</v>
      </c>
      <c r="H42" s="37"/>
      <c r="I42" s="37"/>
      <c r="J42" s="37"/>
      <c r="K42" s="37" t="s">
        <v>345</v>
      </c>
      <c r="L42" s="37"/>
      <c r="M42" s="37"/>
      <c r="N42" s="37"/>
      <c r="O42" s="42">
        <f>ROUND((252000 + 7280 * (0.4 * 30 + 0.6 * (30 / 2))) * 1 * 0.3 * 7.1 * 1, 0)</f>
        <v>862394</v>
      </c>
      <c r="P42" s="37"/>
      <c r="R42" s="9"/>
    </row>
    <row r="43" spans="1:18" ht="15" customHeight="1">
      <c r="A43" s="7"/>
      <c r="B43" s="43" t="s">
        <v>96</v>
      </c>
      <c r="C43" s="43"/>
      <c r="D43" s="43"/>
      <c r="E43" s="43"/>
      <c r="F43" s="43"/>
      <c r="G43" s="43" t="s">
        <v>49</v>
      </c>
      <c r="H43" s="43"/>
      <c r="I43" s="43"/>
      <c r="J43" s="43"/>
      <c r="K43" s="43" t="s">
        <v>49</v>
      </c>
      <c r="L43" s="43"/>
      <c r="M43" s="43"/>
      <c r="N43" s="43"/>
      <c r="O43" s="43"/>
      <c r="P43" s="43"/>
    </row>
    <row r="44" spans="1:18" ht="15" customHeight="1">
      <c r="A44" s="8"/>
      <c r="B44" s="44" t="s">
        <v>244</v>
      </c>
      <c r="C44" s="44"/>
      <c r="D44" s="44"/>
      <c r="E44" s="44"/>
      <c r="F44" s="44"/>
      <c r="G44" s="44" t="s">
        <v>226</v>
      </c>
      <c r="H44" s="44"/>
      <c r="I44" s="44"/>
      <c r="J44" s="44"/>
      <c r="K44" s="44" t="s">
        <v>49</v>
      </c>
      <c r="L44" s="44"/>
      <c r="M44" s="44"/>
      <c r="N44" s="44"/>
      <c r="O44" s="44"/>
      <c r="P44" s="44"/>
    </row>
    <row r="45" spans="1:18" ht="40.9" customHeight="1">
      <c r="A45" s="8"/>
      <c r="B45" s="44" t="s">
        <v>245</v>
      </c>
      <c r="C45" s="44"/>
      <c r="D45" s="44"/>
      <c r="E45" s="44"/>
      <c r="F45" s="44"/>
      <c r="G45" s="44" t="s">
        <v>246</v>
      </c>
      <c r="H45" s="44"/>
      <c r="I45" s="44"/>
      <c r="J45" s="44"/>
      <c r="K45" s="44" t="s">
        <v>49</v>
      </c>
      <c r="L45" s="44"/>
      <c r="M45" s="44"/>
      <c r="N45" s="44"/>
      <c r="O45" s="44"/>
      <c r="P45" s="44"/>
    </row>
    <row r="46" spans="1:18" ht="95.25" customHeight="1">
      <c r="A46" s="8"/>
      <c r="B46" s="44" t="s">
        <v>346</v>
      </c>
      <c r="C46" s="44"/>
      <c r="D46" s="44"/>
      <c r="E46" s="44"/>
      <c r="F46" s="44"/>
      <c r="G46" s="44" t="s">
        <v>347</v>
      </c>
      <c r="H46" s="44"/>
      <c r="I46" s="44"/>
      <c r="J46" s="44"/>
      <c r="K46" s="44" t="s">
        <v>49</v>
      </c>
      <c r="L46" s="44"/>
      <c r="M46" s="44"/>
      <c r="N46" s="44"/>
      <c r="O46" s="44"/>
      <c r="P46" s="44"/>
    </row>
    <row r="47" spans="1:18" ht="15" customHeight="1">
      <c r="A47" s="7"/>
      <c r="B47" s="43" t="s">
        <v>249</v>
      </c>
      <c r="C47" s="43"/>
      <c r="D47" s="43"/>
      <c r="E47" s="43"/>
      <c r="F47" s="43"/>
      <c r="G47" s="43" t="s">
        <v>49</v>
      </c>
      <c r="H47" s="43"/>
      <c r="I47" s="43"/>
      <c r="J47" s="43"/>
      <c r="K47" s="43" t="s">
        <v>49</v>
      </c>
      <c r="L47" s="43"/>
      <c r="M47" s="43"/>
      <c r="N47" s="43"/>
      <c r="O47" s="43"/>
      <c r="P47" s="43"/>
    </row>
    <row r="48" spans="1:18" ht="15" customHeight="1">
      <c r="A48" s="8"/>
      <c r="B48" s="44" t="s">
        <v>250</v>
      </c>
      <c r="C48" s="44"/>
      <c r="D48" s="44"/>
      <c r="E48" s="44"/>
      <c r="F48" s="44"/>
      <c r="G48" s="44" t="s">
        <v>251</v>
      </c>
      <c r="H48" s="44"/>
      <c r="I48" s="44"/>
      <c r="J48" s="44"/>
      <c r="K48" s="44" t="s">
        <v>49</v>
      </c>
      <c r="L48" s="44"/>
      <c r="M48" s="44"/>
      <c r="N48" s="44"/>
      <c r="O48" s="44"/>
      <c r="P48" s="44"/>
    </row>
    <row r="49" spans="1:16" ht="15" customHeight="1">
      <c r="A49" s="4" t="s">
        <v>14</v>
      </c>
      <c r="B49" s="28" t="s">
        <v>84</v>
      </c>
      <c r="C49" s="28"/>
      <c r="D49" s="28"/>
      <c r="E49" s="28"/>
      <c r="F49" s="28"/>
      <c r="G49" s="28"/>
      <c r="H49" s="28"/>
      <c r="I49" s="28"/>
      <c r="J49" s="28"/>
      <c r="K49" s="28" t="s">
        <v>49</v>
      </c>
      <c r="L49" s="28"/>
      <c r="M49" s="28"/>
      <c r="N49" s="28"/>
      <c r="O49" s="45">
        <f>ROUND(SUM($O$17:$O$42),0)</f>
        <v>1105624</v>
      </c>
      <c r="P49" s="28"/>
    </row>
    <row r="50" spans="1:16" ht="15" customHeight="1">
      <c r="A50" s="4" t="s">
        <v>16</v>
      </c>
      <c r="B50" s="28" t="s">
        <v>88</v>
      </c>
      <c r="C50" s="28"/>
      <c r="D50" s="28"/>
      <c r="E50" s="28"/>
      <c r="F50" s="28"/>
      <c r="G50" s="28"/>
      <c r="H50" s="28"/>
      <c r="I50" s="28"/>
      <c r="J50" s="28"/>
      <c r="K50" s="28" t="s">
        <v>49</v>
      </c>
      <c r="L50" s="28"/>
      <c r="M50" s="28"/>
      <c r="N50" s="28"/>
      <c r="O50" s="45">
        <f>ROUND(($O$49),0)</f>
        <v>1105624</v>
      </c>
      <c r="P50" s="28"/>
    </row>
    <row r="51" spans="1:16" ht="15" customHeight="1"/>
    <row r="52" spans="1:16" ht="15" customHeight="1">
      <c r="A52" s="21" t="s">
        <v>89</v>
      </c>
      <c r="B52" s="21"/>
      <c r="C52" s="21"/>
      <c r="D52" s="55" t="s">
        <v>373</v>
      </c>
      <c r="E52" s="55"/>
      <c r="F52" s="55"/>
      <c r="G52" s="55"/>
      <c r="H52" s="55"/>
      <c r="I52" s="55"/>
      <c r="J52" s="55"/>
      <c r="K52" s="55"/>
      <c r="L52" s="55"/>
      <c r="M52" s="55"/>
      <c r="N52" s="55"/>
      <c r="O52" s="55"/>
      <c r="P52" s="55"/>
    </row>
    <row r="53" spans="1:16" ht="15" customHeight="1">
      <c r="A53" s="14"/>
      <c r="B53" s="14"/>
      <c r="C53" s="14"/>
      <c r="D53" s="60" t="s">
        <v>90</v>
      </c>
      <c r="E53" s="60"/>
      <c r="F53" s="60"/>
      <c r="G53" s="60"/>
      <c r="H53" s="60"/>
      <c r="I53" s="60"/>
      <c r="J53" s="60"/>
      <c r="K53" s="60"/>
      <c r="L53" s="60"/>
      <c r="M53" s="60"/>
      <c r="N53" s="60"/>
      <c r="O53" s="60"/>
      <c r="P53" s="60"/>
    </row>
  </sheetData>
  <mergeCells count="159">
    <mergeCell ref="B50:F50"/>
    <mergeCell ref="G50:J50"/>
    <mergeCell ref="K50:N50"/>
    <mergeCell ref="O50:P50"/>
    <mergeCell ref="A52:C52"/>
    <mergeCell ref="D52:P52"/>
    <mergeCell ref="D53:P53"/>
    <mergeCell ref="B47:F47"/>
    <mergeCell ref="G47:J47"/>
    <mergeCell ref="K47:N47"/>
    <mergeCell ref="O47:P47"/>
    <mergeCell ref="B48:F48"/>
    <mergeCell ref="G48:J48"/>
    <mergeCell ref="K48:N48"/>
    <mergeCell ref="O48:P48"/>
    <mergeCell ref="B49:F49"/>
    <mergeCell ref="G49:J49"/>
    <mergeCell ref="K49:N49"/>
    <mergeCell ref="O49:P49"/>
    <mergeCell ref="B44:F44"/>
    <mergeCell ref="G44:J44"/>
    <mergeCell ref="K44:N44"/>
    <mergeCell ref="O44:P44"/>
    <mergeCell ref="B45:F45"/>
    <mergeCell ref="G45:J45"/>
    <mergeCell ref="K45:N45"/>
    <mergeCell ref="O45:P45"/>
    <mergeCell ref="B46:F46"/>
    <mergeCell ref="G46:J46"/>
    <mergeCell ref="K46:N46"/>
    <mergeCell ref="O46:P46"/>
    <mergeCell ref="B41:F41"/>
    <mergeCell ref="G41:J41"/>
    <mergeCell ref="K41:N41"/>
    <mergeCell ref="O41:P41"/>
    <mergeCell ref="B42:F42"/>
    <mergeCell ref="G42:J42"/>
    <mergeCell ref="K42:N42"/>
    <mergeCell ref="O42:P42"/>
    <mergeCell ref="B43:F43"/>
    <mergeCell ref="G43:J43"/>
    <mergeCell ref="K43:N43"/>
    <mergeCell ref="O43:P43"/>
    <mergeCell ref="B38:F38"/>
    <mergeCell ref="G38:J38"/>
    <mergeCell ref="K38:N38"/>
    <mergeCell ref="O38:P38"/>
    <mergeCell ref="B39:F39"/>
    <mergeCell ref="G39:J39"/>
    <mergeCell ref="K39:N39"/>
    <mergeCell ref="O39:P39"/>
    <mergeCell ref="B40:F40"/>
    <mergeCell ref="G40:J40"/>
    <mergeCell ref="K40:N40"/>
    <mergeCell ref="O40:P40"/>
    <mergeCell ref="B35:F35"/>
    <mergeCell ref="G35:J35"/>
    <mergeCell ref="K35:N35"/>
    <mergeCell ref="O35:P35"/>
    <mergeCell ref="B36:F36"/>
    <mergeCell ref="G36:J36"/>
    <mergeCell ref="K36:N36"/>
    <mergeCell ref="O36:P36"/>
    <mergeCell ref="B37:F37"/>
    <mergeCell ref="G37:J37"/>
    <mergeCell ref="K37:N37"/>
    <mergeCell ref="O37:P37"/>
    <mergeCell ref="B32:F32"/>
    <mergeCell ref="G32:J32"/>
    <mergeCell ref="K32:N32"/>
    <mergeCell ref="O32:P32"/>
    <mergeCell ref="B33:F33"/>
    <mergeCell ref="G33:J33"/>
    <mergeCell ref="K33:N33"/>
    <mergeCell ref="O33:P33"/>
    <mergeCell ref="B34:F34"/>
    <mergeCell ref="G34:J34"/>
    <mergeCell ref="K34:N34"/>
    <mergeCell ref="O34:P34"/>
    <mergeCell ref="B29:F29"/>
    <mergeCell ref="G29:J29"/>
    <mergeCell ref="K29:N29"/>
    <mergeCell ref="O29:P29"/>
    <mergeCell ref="B30:F30"/>
    <mergeCell ref="G30:J30"/>
    <mergeCell ref="K30:N30"/>
    <mergeCell ref="O30:P30"/>
    <mergeCell ref="B31:F31"/>
    <mergeCell ref="G31:J31"/>
    <mergeCell ref="K31:N31"/>
    <mergeCell ref="O31:P31"/>
    <mergeCell ref="B26:F26"/>
    <mergeCell ref="G26:J26"/>
    <mergeCell ref="K26:N26"/>
    <mergeCell ref="O26:P26"/>
    <mergeCell ref="B27:F27"/>
    <mergeCell ref="G27:J27"/>
    <mergeCell ref="K27:N27"/>
    <mergeCell ref="O27:P27"/>
    <mergeCell ref="B28:F28"/>
    <mergeCell ref="G28:J28"/>
    <mergeCell ref="K28:N28"/>
    <mergeCell ref="O28:P28"/>
    <mergeCell ref="B23:F23"/>
    <mergeCell ref="G23:J23"/>
    <mergeCell ref="K23:N23"/>
    <mergeCell ref="O23:P23"/>
    <mergeCell ref="B24:F24"/>
    <mergeCell ref="G24:J24"/>
    <mergeCell ref="K24:N24"/>
    <mergeCell ref="O24:P24"/>
    <mergeCell ref="B25:F25"/>
    <mergeCell ref="G25:J25"/>
    <mergeCell ref="K25:N25"/>
    <mergeCell ref="O25:P25"/>
    <mergeCell ref="B20:F20"/>
    <mergeCell ref="G20:J20"/>
    <mergeCell ref="K20:N20"/>
    <mergeCell ref="O20:P20"/>
    <mergeCell ref="B21:F21"/>
    <mergeCell ref="G21:J21"/>
    <mergeCell ref="K21:N21"/>
    <mergeCell ref="O21:P21"/>
    <mergeCell ref="B22:F22"/>
    <mergeCell ref="G22:J22"/>
    <mergeCell ref="K22:N22"/>
    <mergeCell ref="O22:P22"/>
    <mergeCell ref="B17:F17"/>
    <mergeCell ref="G17:J17"/>
    <mergeCell ref="K17:N17"/>
    <mergeCell ref="O17:P17"/>
    <mergeCell ref="B18:F18"/>
    <mergeCell ref="G18:J18"/>
    <mergeCell ref="K18:N18"/>
    <mergeCell ref="O18:P18"/>
    <mergeCell ref="B19:F19"/>
    <mergeCell ref="G19:J19"/>
    <mergeCell ref="K19:N19"/>
    <mergeCell ref="O19:P19"/>
    <mergeCell ref="B15:F15"/>
    <mergeCell ref="B16:F16"/>
    <mergeCell ref="G15:J15"/>
    <mergeCell ref="G16:J16"/>
    <mergeCell ref="K15:N15"/>
    <mergeCell ref="K16:N16"/>
    <mergeCell ref="O15:P15"/>
    <mergeCell ref="O16:P16"/>
    <mergeCell ref="A1:D1"/>
    <mergeCell ref="E1:P1"/>
    <mergeCell ref="A8:P8"/>
    <mergeCell ref="A9:P9"/>
    <mergeCell ref="A11:E11"/>
    <mergeCell ref="F11:P11"/>
    <mergeCell ref="A13:E13"/>
    <mergeCell ref="F13:P13"/>
    <mergeCell ref="L2:P2"/>
    <mergeCell ref="L3:P3"/>
    <mergeCell ref="O4:P4"/>
    <mergeCell ref="L5:P5"/>
  </mergeCells>
  <pageMargins left="0.4" right="0.4" top="0.75" bottom="0.75" header="0.3" footer="0.3"/>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7</vt:i4>
      </vt:variant>
    </vt:vector>
  </HeadingPairs>
  <TitlesOfParts>
    <vt:vector size="14" baseType="lpstr">
      <vt:lpstr>Св.смета_№1_1</vt:lpstr>
      <vt:lpstr>Смета_№1_Инженерно-геодезическ</vt:lpstr>
      <vt:lpstr>Смета_№2_Инженерно-геологическ</vt:lpstr>
      <vt:lpstr>Смета_№3_Инженерно-экологическ</vt:lpstr>
      <vt:lpstr>Смета_№4_Проектные работы ПС 1</vt:lpstr>
      <vt:lpstr>Смета_№5_Проектные работы ВЛ 1</vt:lpstr>
      <vt:lpstr>Смета_№6_Проектные работы КЛ 6</vt:lpstr>
      <vt:lpstr>Св.смета_№1_1!Область_печати</vt:lpstr>
      <vt:lpstr>'Смета_№1_Инженерно-геодезическ'!Область_печати</vt:lpstr>
      <vt:lpstr>'Смета_№2_Инженерно-геологическ'!Область_печати</vt:lpstr>
      <vt:lpstr>'Смета_№3_Инженерно-экологическ'!Область_печати</vt:lpstr>
      <vt:lpstr>'Смета_№4_Проектные работы ПС 1'!Область_печати</vt:lpstr>
      <vt:lpstr>'Смета_№5_Проектные работы ВЛ 1'!Область_печати</vt:lpstr>
      <vt:lpstr>'Смета_№6_Проектные работы КЛ 6'!Область_печати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Qt Xlsx Library</dc:creator>
  <cp:lastModifiedBy>nloskutova</cp:lastModifiedBy>
  <cp:lastPrinted>2026-08-28T12:14:50Z</cp:lastPrinted>
  <dcterms:created xsi:type="dcterms:W3CDTF">2026-08-19T08:43:20Z</dcterms:created>
  <dcterms:modified xsi:type="dcterms:W3CDTF">2026-08-28T12:17:32Z</dcterms:modified>
</cp:coreProperties>
</file>